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.a.drakos/Desktop/ACADEMIC CONTEMPORARY FILES/ACADEMIC COURSES/INVESTMENTS MANAGEMENT/2020-2021/ΕΡΓΑΣΙΑ/"/>
    </mc:Choice>
  </mc:AlternateContent>
  <xr:revisionPtr revIDLastSave="0" documentId="8_{4B2091C5-897C-D945-B336-BEAD29A509B1}" xr6:coauthVersionLast="46" xr6:coauthVersionMax="46" xr10:uidLastSave="{00000000-0000-0000-0000-000000000000}"/>
  <bookViews>
    <workbookView xWindow="0" yWindow="460" windowWidth="28800" windowHeight="16300" tabRatio="606" xr2:uid="{00000000-000D-0000-FFFF-FFFF00000000}"/>
  </bookViews>
  <sheets>
    <sheet name="Αποτελέσματα" sheetId="10" r:id="rId1"/>
    <sheet name="Διαχείριση Σταθμίσεων" sheetId="1" r:id="rId2"/>
    <sheet name="Διαχείριση Αποδόσεων" sheetId="6" r:id="rId3"/>
    <sheet name="Τυπική Απόκλιση" sheetId="8" r:id="rId4"/>
    <sheet name="Sharp Ratio" sheetId="7" r:id="rId5"/>
    <sheet name="Βήτα Χαρτοφυλακίου" sheetId="11" r:id="rId6"/>
    <sheet name="Διαχείριση Μετρητών" sheetId="5" r:id="rId7"/>
    <sheet name="Ημερολόγιο Συναλλαγών" sheetId="2" r:id="rId8"/>
    <sheet name="Ημερολόγιο Ειδήσεων" sheetId="12" r:id="rId9"/>
    <sheet name="Περιεχόμενο Χαρτοφυλακίου" sheetId="4" r:id="rId10"/>
    <sheet name="Ανάλυση Μετοχών" sheetId="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0" i="8" l="1"/>
  <c r="K52" i="1"/>
  <c r="C66" i="1" s="1"/>
  <c r="E66" i="1" s="1"/>
  <c r="G66" i="1" s="1"/>
  <c r="I66" i="1" s="1"/>
  <c r="K66" i="1" s="1"/>
  <c r="C80" i="1" s="1"/>
  <c r="E80" i="1" s="1"/>
  <c r="G80" i="1" s="1"/>
  <c r="I80" i="1" s="1"/>
  <c r="K80" i="1" s="1"/>
  <c r="G65" i="1"/>
  <c r="I65" i="1" s="1"/>
  <c r="K65" i="1" s="1"/>
  <c r="C79" i="1" s="1"/>
  <c r="E79" i="1" s="1"/>
  <c r="G79" i="1" s="1"/>
  <c r="I79" i="1" s="1"/>
  <c r="K79" i="1" s="1"/>
  <c r="E21" i="1"/>
  <c r="G21" i="1" s="1"/>
  <c r="I21" i="1" s="1"/>
  <c r="C35" i="1" s="1"/>
  <c r="E35" i="1" s="1"/>
  <c r="G35" i="1" s="1"/>
  <c r="I35" i="1" s="1"/>
  <c r="K35" i="1" s="1"/>
  <c r="C49" i="1" s="1"/>
  <c r="E49" i="1" s="1"/>
  <c r="G49" i="1" s="1"/>
  <c r="I49" i="1" s="1"/>
  <c r="K49" i="1" s="1"/>
  <c r="C63" i="1" s="1"/>
  <c r="E63" i="1" s="1"/>
  <c r="G63" i="1" s="1"/>
  <c r="I63" i="1" s="1"/>
  <c r="K63" i="1" s="1"/>
  <c r="C77" i="1" s="1"/>
  <c r="E77" i="1" s="1"/>
  <c r="G77" i="1" s="1"/>
  <c r="I77" i="1" s="1"/>
  <c r="K77" i="1" s="1"/>
  <c r="E20" i="1"/>
  <c r="G20" i="1" s="1"/>
  <c r="I20" i="1" s="1"/>
  <c r="C34" i="1" s="1"/>
  <c r="E34" i="1" s="1"/>
  <c r="G34" i="1" s="1"/>
  <c r="I34" i="1" s="1"/>
  <c r="K34" i="1" s="1"/>
  <c r="C48" i="1" s="1"/>
  <c r="E48" i="1" s="1"/>
  <c r="G48" i="1" s="1"/>
  <c r="I48" i="1" s="1"/>
  <c r="K48" i="1" s="1"/>
  <c r="C62" i="1" s="1"/>
  <c r="E62" i="1" s="1"/>
  <c r="G62" i="1" s="1"/>
  <c r="I62" i="1" s="1"/>
  <c r="K62" i="1" s="1"/>
  <c r="C76" i="1" s="1"/>
  <c r="E76" i="1" s="1"/>
  <c r="G76" i="1" s="1"/>
  <c r="I76" i="1" s="1"/>
  <c r="K76" i="1" s="1"/>
  <c r="E32" i="1"/>
  <c r="G32" i="1"/>
  <c r="I32" i="1"/>
  <c r="K32" i="1" s="1"/>
  <c r="E33" i="1"/>
  <c r="G33" i="1" s="1"/>
  <c r="I33" i="1" s="1"/>
  <c r="K33" i="1" s="1"/>
  <c r="C47" i="1" s="1"/>
  <c r="E47" i="1" s="1"/>
  <c r="G47" i="1" s="1"/>
  <c r="I47" i="1" s="1"/>
  <c r="K47" i="1" s="1"/>
  <c r="C61" i="1" s="1"/>
  <c r="E61" i="1" s="1"/>
  <c r="G61" i="1" s="1"/>
  <c r="I61" i="1" s="1"/>
  <c r="K61" i="1" s="1"/>
  <c r="C75" i="1" s="1"/>
  <c r="E75" i="1" s="1"/>
  <c r="G75" i="1" s="1"/>
  <c r="I75" i="1" s="1"/>
  <c r="K75" i="1" s="1"/>
  <c r="G10" i="4"/>
  <c r="F10" i="4"/>
  <c r="E19" i="1"/>
  <c r="G19" i="1" s="1"/>
  <c r="I19" i="1" s="1"/>
  <c r="C36" i="1" s="1"/>
  <c r="E36" i="1" s="1"/>
  <c r="G36" i="1" s="1"/>
  <c r="I36" i="1" s="1"/>
  <c r="K36" i="1" s="1"/>
  <c r="C50" i="1" s="1"/>
  <c r="E50" i="1" s="1"/>
  <c r="G50" i="1" s="1"/>
  <c r="E17" i="1"/>
  <c r="G17" i="1"/>
  <c r="I17" i="1"/>
  <c r="C31" i="1" s="1"/>
  <c r="E22" i="1"/>
  <c r="G22" i="1" s="1"/>
  <c r="I22" i="1" s="1"/>
  <c r="E18" i="1"/>
  <c r="G18" i="1"/>
  <c r="I18" i="1" s="1"/>
  <c r="C3" i="1"/>
  <c r="C9" i="1" s="1"/>
  <c r="C4" i="1"/>
  <c r="C5" i="1"/>
  <c r="C6" i="1"/>
  <c r="C7" i="1"/>
  <c r="C8" i="1"/>
  <c r="H5" i="2"/>
  <c r="C3" i="5"/>
  <c r="H3" i="2"/>
  <c r="D3" i="5" s="1"/>
  <c r="H9" i="2"/>
  <c r="C5" i="5" s="1"/>
  <c r="H10" i="2"/>
  <c r="D5" i="5"/>
  <c r="B14" i="10"/>
  <c r="C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3" i="11"/>
  <c r="E105" i="3"/>
  <c r="F105" i="3"/>
  <c r="G105" i="3"/>
  <c r="K105" i="3"/>
  <c r="L105" i="3"/>
  <c r="M105" i="3"/>
  <c r="Q105" i="3"/>
  <c r="R105" i="3"/>
  <c r="S105" i="3"/>
  <c r="W105" i="3"/>
  <c r="X105" i="3"/>
  <c r="Y105" i="3"/>
  <c r="AC105" i="3"/>
  <c r="AD105" i="3"/>
  <c r="AE105" i="3"/>
  <c r="E106" i="3"/>
  <c r="F106" i="3"/>
  <c r="G106" i="3"/>
  <c r="K106" i="3"/>
  <c r="L106" i="3"/>
  <c r="M106" i="3"/>
  <c r="Q106" i="3"/>
  <c r="R106" i="3"/>
  <c r="S106" i="3"/>
  <c r="W106" i="3"/>
  <c r="X106" i="3"/>
  <c r="Y106" i="3"/>
  <c r="AC106" i="3"/>
  <c r="AD106" i="3"/>
  <c r="AE106" i="3"/>
  <c r="E107" i="3"/>
  <c r="F107" i="3"/>
  <c r="G107" i="3"/>
  <c r="K107" i="3"/>
  <c r="L107" i="3"/>
  <c r="M107" i="3"/>
  <c r="Q107" i="3"/>
  <c r="R107" i="3"/>
  <c r="S107" i="3"/>
  <c r="W107" i="3"/>
  <c r="X107" i="3"/>
  <c r="Y107" i="3"/>
  <c r="AC107" i="3"/>
  <c r="AD107" i="3"/>
  <c r="AE107" i="3"/>
  <c r="E108" i="3"/>
  <c r="F108" i="3"/>
  <c r="G108" i="3"/>
  <c r="K108" i="3"/>
  <c r="L108" i="3"/>
  <c r="M108" i="3"/>
  <c r="Q108" i="3"/>
  <c r="R108" i="3"/>
  <c r="S108" i="3"/>
  <c r="W108" i="3"/>
  <c r="X108" i="3"/>
  <c r="Y108" i="3"/>
  <c r="AC108" i="3"/>
  <c r="AD108" i="3"/>
  <c r="AE108" i="3"/>
  <c r="E109" i="3"/>
  <c r="F109" i="3"/>
  <c r="G109" i="3"/>
  <c r="K109" i="3"/>
  <c r="L109" i="3"/>
  <c r="M109" i="3"/>
  <c r="Q109" i="3"/>
  <c r="R109" i="3"/>
  <c r="S109" i="3"/>
  <c r="W109" i="3"/>
  <c r="X109" i="3"/>
  <c r="Y109" i="3"/>
  <c r="AC109" i="3"/>
  <c r="AD109" i="3"/>
  <c r="AE109" i="3"/>
  <c r="E110" i="3"/>
  <c r="F110" i="3"/>
  <c r="G110" i="3"/>
  <c r="K110" i="3"/>
  <c r="L110" i="3"/>
  <c r="M110" i="3"/>
  <c r="Q110" i="3"/>
  <c r="R110" i="3"/>
  <c r="S110" i="3"/>
  <c r="W110" i="3"/>
  <c r="X110" i="3"/>
  <c r="Y110" i="3"/>
  <c r="AC110" i="3"/>
  <c r="AD110" i="3"/>
  <c r="AE110" i="3"/>
  <c r="E111" i="3"/>
  <c r="F111" i="3"/>
  <c r="G111" i="3"/>
  <c r="K111" i="3"/>
  <c r="L111" i="3"/>
  <c r="M111" i="3"/>
  <c r="Q111" i="3"/>
  <c r="R111" i="3"/>
  <c r="S111" i="3"/>
  <c r="W111" i="3"/>
  <c r="X111" i="3"/>
  <c r="Y111" i="3"/>
  <c r="AC111" i="3"/>
  <c r="AD111" i="3"/>
  <c r="AE111" i="3"/>
  <c r="E112" i="3"/>
  <c r="F112" i="3"/>
  <c r="G112" i="3"/>
  <c r="K112" i="3"/>
  <c r="L112" i="3"/>
  <c r="M112" i="3"/>
  <c r="Q112" i="3"/>
  <c r="R112" i="3"/>
  <c r="S112" i="3"/>
  <c r="W112" i="3"/>
  <c r="X112" i="3"/>
  <c r="Y112" i="3"/>
  <c r="AC112" i="3"/>
  <c r="AD112" i="3"/>
  <c r="AE112" i="3"/>
  <c r="E113" i="3"/>
  <c r="F113" i="3"/>
  <c r="G113" i="3"/>
  <c r="K113" i="3"/>
  <c r="L113" i="3"/>
  <c r="M113" i="3"/>
  <c r="Q113" i="3"/>
  <c r="R113" i="3"/>
  <c r="S113" i="3"/>
  <c r="W113" i="3"/>
  <c r="X113" i="3"/>
  <c r="Y113" i="3"/>
  <c r="AC113" i="3"/>
  <c r="AD113" i="3"/>
  <c r="AE113" i="3"/>
  <c r="E114" i="3"/>
  <c r="F114" i="3"/>
  <c r="G114" i="3"/>
  <c r="K114" i="3"/>
  <c r="L114" i="3"/>
  <c r="M114" i="3"/>
  <c r="Q114" i="3"/>
  <c r="R114" i="3"/>
  <c r="S114" i="3"/>
  <c r="W114" i="3"/>
  <c r="X114" i="3"/>
  <c r="Y114" i="3"/>
  <c r="AC114" i="3"/>
  <c r="AD114" i="3"/>
  <c r="AE114" i="3"/>
  <c r="E115" i="3"/>
  <c r="F115" i="3"/>
  <c r="G115" i="3"/>
  <c r="K115" i="3"/>
  <c r="L115" i="3"/>
  <c r="M115" i="3"/>
  <c r="Q115" i="3"/>
  <c r="R115" i="3"/>
  <c r="S115" i="3"/>
  <c r="W115" i="3"/>
  <c r="X115" i="3"/>
  <c r="Y115" i="3"/>
  <c r="AC115" i="3"/>
  <c r="AD115" i="3"/>
  <c r="AE115" i="3"/>
  <c r="E116" i="3"/>
  <c r="F116" i="3"/>
  <c r="G116" i="3"/>
  <c r="K116" i="3"/>
  <c r="L116" i="3"/>
  <c r="M116" i="3"/>
  <c r="Q116" i="3"/>
  <c r="R116" i="3"/>
  <c r="S116" i="3"/>
  <c r="W116" i="3"/>
  <c r="X116" i="3"/>
  <c r="Y116" i="3"/>
  <c r="AC116" i="3"/>
  <c r="AD116" i="3"/>
  <c r="AE116" i="3"/>
  <c r="E117" i="3"/>
  <c r="F117" i="3"/>
  <c r="G117" i="3"/>
  <c r="K117" i="3"/>
  <c r="L117" i="3"/>
  <c r="M117" i="3"/>
  <c r="Q117" i="3"/>
  <c r="R117" i="3"/>
  <c r="S117" i="3"/>
  <c r="W117" i="3"/>
  <c r="X117" i="3"/>
  <c r="Y117" i="3"/>
  <c r="AC117" i="3"/>
  <c r="AD117" i="3"/>
  <c r="AE117" i="3"/>
  <c r="E118" i="3"/>
  <c r="F118" i="3"/>
  <c r="G118" i="3"/>
  <c r="K118" i="3"/>
  <c r="L118" i="3"/>
  <c r="M118" i="3"/>
  <c r="Q118" i="3"/>
  <c r="R118" i="3"/>
  <c r="S118" i="3"/>
  <c r="W118" i="3"/>
  <c r="X118" i="3"/>
  <c r="Y118" i="3"/>
  <c r="AC118" i="3"/>
  <c r="AD118" i="3"/>
  <c r="AE118" i="3"/>
  <c r="E119" i="3"/>
  <c r="F119" i="3"/>
  <c r="G119" i="3"/>
  <c r="K119" i="3"/>
  <c r="L119" i="3"/>
  <c r="M119" i="3"/>
  <c r="Q119" i="3"/>
  <c r="R119" i="3"/>
  <c r="S119" i="3"/>
  <c r="W119" i="3"/>
  <c r="X119" i="3"/>
  <c r="Y119" i="3"/>
  <c r="AC119" i="3"/>
  <c r="AD119" i="3"/>
  <c r="AE119" i="3"/>
  <c r="E120" i="3"/>
  <c r="F120" i="3"/>
  <c r="G120" i="3"/>
  <c r="K120" i="3"/>
  <c r="L120" i="3"/>
  <c r="M120" i="3"/>
  <c r="Q120" i="3"/>
  <c r="R120" i="3"/>
  <c r="S120" i="3"/>
  <c r="W120" i="3"/>
  <c r="X120" i="3"/>
  <c r="Y120" i="3"/>
  <c r="AC120" i="3"/>
  <c r="AD120" i="3"/>
  <c r="AE120" i="3"/>
  <c r="E121" i="3"/>
  <c r="F121" i="3"/>
  <c r="G121" i="3"/>
  <c r="K121" i="3"/>
  <c r="L121" i="3"/>
  <c r="M121" i="3"/>
  <c r="Q121" i="3"/>
  <c r="R121" i="3"/>
  <c r="S121" i="3"/>
  <c r="W121" i="3"/>
  <c r="X121" i="3"/>
  <c r="Y121" i="3"/>
  <c r="AC121" i="3"/>
  <c r="AD121" i="3"/>
  <c r="AE121" i="3"/>
  <c r="E122" i="3"/>
  <c r="F122" i="3"/>
  <c r="G122" i="3"/>
  <c r="K122" i="3"/>
  <c r="L122" i="3"/>
  <c r="M122" i="3"/>
  <c r="Q122" i="3"/>
  <c r="R122" i="3"/>
  <c r="S122" i="3"/>
  <c r="W122" i="3"/>
  <c r="X122" i="3"/>
  <c r="Y122" i="3"/>
  <c r="AC122" i="3"/>
  <c r="AD122" i="3"/>
  <c r="AE122" i="3"/>
  <c r="E123" i="3"/>
  <c r="F123" i="3"/>
  <c r="G123" i="3"/>
  <c r="K123" i="3"/>
  <c r="L123" i="3"/>
  <c r="M123" i="3"/>
  <c r="Q123" i="3"/>
  <c r="R123" i="3"/>
  <c r="S123" i="3"/>
  <c r="W123" i="3"/>
  <c r="X123" i="3"/>
  <c r="Y123" i="3"/>
  <c r="AC123" i="3"/>
  <c r="AD123" i="3"/>
  <c r="AE123" i="3"/>
  <c r="E124" i="3"/>
  <c r="F124" i="3"/>
  <c r="G124" i="3"/>
  <c r="K124" i="3"/>
  <c r="L124" i="3"/>
  <c r="M124" i="3"/>
  <c r="Q124" i="3"/>
  <c r="R124" i="3"/>
  <c r="S124" i="3"/>
  <c r="W124" i="3"/>
  <c r="X124" i="3"/>
  <c r="Y124" i="3"/>
  <c r="AC124" i="3"/>
  <c r="AD124" i="3"/>
  <c r="AE124" i="3"/>
  <c r="E125" i="3"/>
  <c r="F125" i="3"/>
  <c r="G125" i="3"/>
  <c r="K125" i="3"/>
  <c r="L125" i="3"/>
  <c r="M125" i="3"/>
  <c r="Q125" i="3"/>
  <c r="R125" i="3"/>
  <c r="S125" i="3"/>
  <c r="W125" i="3"/>
  <c r="X125" i="3"/>
  <c r="Y125" i="3"/>
  <c r="AC125" i="3"/>
  <c r="AD125" i="3"/>
  <c r="AE125" i="3"/>
  <c r="E126" i="3"/>
  <c r="F126" i="3"/>
  <c r="G126" i="3"/>
  <c r="K126" i="3"/>
  <c r="L126" i="3"/>
  <c r="M126" i="3"/>
  <c r="Q126" i="3"/>
  <c r="R126" i="3"/>
  <c r="S126" i="3"/>
  <c r="W126" i="3"/>
  <c r="X126" i="3"/>
  <c r="Y126" i="3"/>
  <c r="AC126" i="3"/>
  <c r="AD126" i="3"/>
  <c r="AE126" i="3"/>
  <c r="E127" i="3"/>
  <c r="F127" i="3"/>
  <c r="G127" i="3"/>
  <c r="K127" i="3"/>
  <c r="L127" i="3"/>
  <c r="M127" i="3"/>
  <c r="Q127" i="3"/>
  <c r="R127" i="3"/>
  <c r="S127" i="3"/>
  <c r="W127" i="3"/>
  <c r="X127" i="3"/>
  <c r="Y127" i="3"/>
  <c r="AC127" i="3"/>
  <c r="AD127" i="3"/>
  <c r="AE127" i="3"/>
  <c r="E128" i="3"/>
  <c r="F128" i="3"/>
  <c r="G128" i="3"/>
  <c r="K128" i="3"/>
  <c r="L128" i="3"/>
  <c r="M128" i="3"/>
  <c r="Q128" i="3"/>
  <c r="R128" i="3"/>
  <c r="S128" i="3"/>
  <c r="W128" i="3"/>
  <c r="X128" i="3"/>
  <c r="Y128" i="3"/>
  <c r="AC128" i="3"/>
  <c r="AD128" i="3"/>
  <c r="AE128" i="3"/>
  <c r="AC62" i="3"/>
  <c r="AD62" i="3"/>
  <c r="AE62" i="3"/>
  <c r="AC63" i="3"/>
  <c r="AD63" i="3"/>
  <c r="AE63" i="3"/>
  <c r="AC64" i="3"/>
  <c r="AD64" i="3"/>
  <c r="AE64" i="3"/>
  <c r="AC65" i="3"/>
  <c r="AD65" i="3"/>
  <c r="AE65" i="3"/>
  <c r="AC66" i="3"/>
  <c r="AD66" i="3"/>
  <c r="AE66" i="3"/>
  <c r="AC67" i="3"/>
  <c r="AD67" i="3"/>
  <c r="AE67" i="3"/>
  <c r="AC68" i="3"/>
  <c r="AD68" i="3"/>
  <c r="AE68" i="3"/>
  <c r="AC69" i="3"/>
  <c r="AD69" i="3"/>
  <c r="AE69" i="3"/>
  <c r="AC70" i="3"/>
  <c r="AD70" i="3"/>
  <c r="AE70" i="3"/>
  <c r="AC71" i="3"/>
  <c r="AD71" i="3"/>
  <c r="AE71" i="3"/>
  <c r="AC72" i="3"/>
  <c r="AD72" i="3"/>
  <c r="AE72" i="3"/>
  <c r="AC73" i="3"/>
  <c r="AD73" i="3"/>
  <c r="AE73" i="3"/>
  <c r="AC74" i="3"/>
  <c r="AD74" i="3"/>
  <c r="AE74" i="3"/>
  <c r="AC75" i="3"/>
  <c r="AD75" i="3"/>
  <c r="AE75" i="3"/>
  <c r="AC76" i="3"/>
  <c r="AD76" i="3"/>
  <c r="AE76" i="3"/>
  <c r="AC77" i="3"/>
  <c r="AD77" i="3"/>
  <c r="AE77" i="3"/>
  <c r="AC78" i="3"/>
  <c r="AD78" i="3"/>
  <c r="AE78" i="3"/>
  <c r="AC79" i="3"/>
  <c r="AD79" i="3"/>
  <c r="AE79" i="3"/>
  <c r="AC80" i="3"/>
  <c r="AD80" i="3"/>
  <c r="AE80" i="3"/>
  <c r="AC81" i="3"/>
  <c r="AD81" i="3"/>
  <c r="AE81" i="3"/>
  <c r="AC82" i="3"/>
  <c r="AD82" i="3"/>
  <c r="AE82" i="3"/>
  <c r="AC83" i="3"/>
  <c r="AD83" i="3"/>
  <c r="AE83" i="3"/>
  <c r="AC84" i="3"/>
  <c r="AD84" i="3"/>
  <c r="AE84" i="3"/>
  <c r="AC85" i="3"/>
  <c r="AD85" i="3"/>
  <c r="AE85" i="3"/>
  <c r="AE38" i="3"/>
  <c r="AD39" i="3"/>
  <c r="AC40" i="3"/>
  <c r="AC19" i="3"/>
  <c r="AD19" i="3"/>
  <c r="AE19" i="3"/>
  <c r="AC20" i="3"/>
  <c r="AD20" i="3"/>
  <c r="AE20" i="3"/>
  <c r="AC21" i="3"/>
  <c r="AD21" i="3"/>
  <c r="AE21" i="3"/>
  <c r="AC22" i="3"/>
  <c r="AD22" i="3"/>
  <c r="AE22" i="3"/>
  <c r="AC23" i="3"/>
  <c r="AD23" i="3"/>
  <c r="AE23" i="3"/>
  <c r="AC24" i="3"/>
  <c r="AD24" i="3"/>
  <c r="AE24" i="3"/>
  <c r="AC25" i="3"/>
  <c r="AD25" i="3"/>
  <c r="AE25" i="3"/>
  <c r="AC26" i="3"/>
  <c r="AD26" i="3"/>
  <c r="AE26" i="3"/>
  <c r="AC27" i="3"/>
  <c r="AD27" i="3"/>
  <c r="AE27" i="3"/>
  <c r="AC28" i="3"/>
  <c r="AD28" i="3"/>
  <c r="AE28" i="3"/>
  <c r="AC29" i="3"/>
  <c r="AD29" i="3"/>
  <c r="AE29" i="3"/>
  <c r="AC30" i="3"/>
  <c r="AD30" i="3"/>
  <c r="AE30" i="3"/>
  <c r="AC31" i="3"/>
  <c r="AD31" i="3"/>
  <c r="AE31" i="3"/>
  <c r="AC32" i="3"/>
  <c r="AD32" i="3"/>
  <c r="AE32" i="3"/>
  <c r="AC33" i="3"/>
  <c r="AD33" i="3"/>
  <c r="AE33" i="3"/>
  <c r="AC34" i="3"/>
  <c r="AD34" i="3"/>
  <c r="AE34" i="3"/>
  <c r="AC35" i="3"/>
  <c r="AD35" i="3"/>
  <c r="AE35" i="3"/>
  <c r="AC36" i="3"/>
  <c r="AD36" i="3"/>
  <c r="AE36" i="3"/>
  <c r="AC37" i="3"/>
  <c r="AD37" i="3"/>
  <c r="AE37" i="3"/>
  <c r="AC38" i="3"/>
  <c r="AD38" i="3"/>
  <c r="AC39" i="3"/>
  <c r="AE39" i="3"/>
  <c r="AD40" i="3"/>
  <c r="AE40" i="3"/>
  <c r="AC41" i="3"/>
  <c r="AD41" i="3"/>
  <c r="AE41" i="3"/>
  <c r="AC42" i="3"/>
  <c r="AD42" i="3"/>
  <c r="AE42" i="3"/>
  <c r="B3" i="10"/>
  <c r="S5" i="6"/>
  <c r="Q28" i="6"/>
  <c r="R28" i="6" s="1"/>
  <c r="K38" i="8" s="1"/>
  <c r="Q27" i="6"/>
  <c r="P29" i="6"/>
  <c r="R29" i="6" s="1"/>
  <c r="G4" i="8"/>
  <c r="G5" i="8"/>
  <c r="G6" i="8"/>
  <c r="G7" i="8"/>
  <c r="G8" i="8"/>
  <c r="G9" i="8"/>
  <c r="G10" i="8"/>
  <c r="G11" i="8"/>
  <c r="G12" i="8"/>
  <c r="G13" i="8"/>
  <c r="G14" i="8"/>
  <c r="G3" i="8"/>
  <c r="F14" i="8"/>
  <c r="F4" i="8"/>
  <c r="F5" i="8"/>
  <c r="F6" i="8"/>
  <c r="F7" i="8"/>
  <c r="F8" i="8"/>
  <c r="F9" i="8"/>
  <c r="F10" i="8"/>
  <c r="F11" i="8"/>
  <c r="F12" i="8"/>
  <c r="F13" i="8"/>
  <c r="F3" i="8"/>
  <c r="E4" i="8"/>
  <c r="E5" i="8"/>
  <c r="E6" i="8"/>
  <c r="E7" i="8"/>
  <c r="E8" i="8"/>
  <c r="E9" i="8"/>
  <c r="E10" i="8"/>
  <c r="E11" i="8"/>
  <c r="E12" i="8"/>
  <c r="E13" i="8"/>
  <c r="E14" i="8"/>
  <c r="E3" i="8"/>
  <c r="D4" i="8"/>
  <c r="D5" i="8"/>
  <c r="D6" i="8"/>
  <c r="D7" i="8"/>
  <c r="D8" i="8"/>
  <c r="D9" i="8"/>
  <c r="D10" i="8"/>
  <c r="D11" i="8"/>
  <c r="D12" i="8"/>
  <c r="D13" i="8"/>
  <c r="D14" i="8"/>
  <c r="D3" i="8"/>
  <c r="C4" i="8"/>
  <c r="C5" i="8"/>
  <c r="C6" i="8"/>
  <c r="C7" i="8"/>
  <c r="C8" i="8"/>
  <c r="C9" i="8"/>
  <c r="C10" i="8"/>
  <c r="C11" i="8"/>
  <c r="C12" i="8"/>
  <c r="C13" i="8"/>
  <c r="C14" i="8"/>
  <c r="C3" i="8"/>
  <c r="B4" i="8"/>
  <c r="B5" i="8"/>
  <c r="B6" i="8"/>
  <c r="B7" i="8"/>
  <c r="B8" i="8"/>
  <c r="B9" i="8"/>
  <c r="B10" i="8"/>
  <c r="B11" i="8"/>
  <c r="B12" i="8"/>
  <c r="B13" i="8"/>
  <c r="B14" i="8"/>
  <c r="B3" i="8"/>
  <c r="Q26" i="6"/>
  <c r="C24" i="11"/>
  <c r="R26" i="6"/>
  <c r="K36" i="8" s="1"/>
  <c r="Q25" i="6"/>
  <c r="R25" i="6" s="1"/>
  <c r="K35" i="8" s="1"/>
  <c r="C23" i="11"/>
  <c r="E40" i="3"/>
  <c r="E31" i="3"/>
  <c r="Q24" i="6"/>
  <c r="C22" i="11"/>
  <c r="R24" i="6"/>
  <c r="L15" i="8"/>
  <c r="L14" i="8"/>
  <c r="Q23" i="6"/>
  <c r="C21" i="11" s="1"/>
  <c r="R23" i="6"/>
  <c r="Q22" i="6"/>
  <c r="R22" i="6" s="1"/>
  <c r="K32" i="8" s="1"/>
  <c r="G19" i="3"/>
  <c r="G85" i="3"/>
  <c r="F85" i="3"/>
  <c r="E85" i="3"/>
  <c r="G84" i="3"/>
  <c r="F84" i="3"/>
  <c r="E84" i="3"/>
  <c r="G83" i="3"/>
  <c r="F83" i="3"/>
  <c r="E83" i="3"/>
  <c r="G82" i="3"/>
  <c r="F82" i="3"/>
  <c r="E82" i="3"/>
  <c r="G81" i="3"/>
  <c r="F81" i="3"/>
  <c r="E81" i="3"/>
  <c r="G80" i="3"/>
  <c r="F80" i="3"/>
  <c r="E80" i="3"/>
  <c r="G79" i="3"/>
  <c r="F79" i="3"/>
  <c r="E79" i="3"/>
  <c r="G78" i="3"/>
  <c r="F78" i="3"/>
  <c r="E78" i="3"/>
  <c r="G77" i="3"/>
  <c r="F77" i="3"/>
  <c r="E77" i="3"/>
  <c r="G76" i="3"/>
  <c r="F76" i="3"/>
  <c r="E76" i="3"/>
  <c r="G75" i="3"/>
  <c r="F75" i="3"/>
  <c r="E75" i="3"/>
  <c r="G74" i="3"/>
  <c r="F74" i="3"/>
  <c r="E74" i="3"/>
  <c r="G73" i="3"/>
  <c r="F73" i="3"/>
  <c r="E73" i="3"/>
  <c r="G72" i="3"/>
  <c r="F72" i="3"/>
  <c r="E72" i="3"/>
  <c r="G71" i="3"/>
  <c r="F71" i="3"/>
  <c r="E71" i="3"/>
  <c r="G70" i="3"/>
  <c r="F70" i="3"/>
  <c r="E70" i="3"/>
  <c r="G69" i="3"/>
  <c r="F69" i="3"/>
  <c r="E69" i="3"/>
  <c r="G68" i="3"/>
  <c r="F68" i="3"/>
  <c r="E68" i="3"/>
  <c r="G67" i="3"/>
  <c r="F67" i="3"/>
  <c r="E67" i="3"/>
  <c r="G66" i="3"/>
  <c r="F66" i="3"/>
  <c r="E66" i="3"/>
  <c r="G65" i="3"/>
  <c r="F65" i="3"/>
  <c r="E65" i="3"/>
  <c r="G64" i="3"/>
  <c r="F64" i="3"/>
  <c r="E64" i="3"/>
  <c r="G63" i="3"/>
  <c r="F63" i="3"/>
  <c r="E63" i="3"/>
  <c r="G62" i="3"/>
  <c r="F62" i="3"/>
  <c r="E62" i="3"/>
  <c r="M85" i="3"/>
  <c r="L85" i="3"/>
  <c r="K85" i="3"/>
  <c r="M84" i="3"/>
  <c r="L84" i="3"/>
  <c r="K84" i="3"/>
  <c r="M83" i="3"/>
  <c r="L83" i="3"/>
  <c r="K83" i="3"/>
  <c r="M82" i="3"/>
  <c r="L82" i="3"/>
  <c r="K82" i="3"/>
  <c r="M81" i="3"/>
  <c r="L81" i="3"/>
  <c r="K81" i="3"/>
  <c r="M80" i="3"/>
  <c r="L80" i="3"/>
  <c r="K80" i="3"/>
  <c r="M79" i="3"/>
  <c r="L79" i="3"/>
  <c r="K79" i="3"/>
  <c r="M78" i="3"/>
  <c r="L78" i="3"/>
  <c r="K78" i="3"/>
  <c r="M77" i="3"/>
  <c r="L77" i="3"/>
  <c r="K77" i="3"/>
  <c r="M76" i="3"/>
  <c r="L76" i="3"/>
  <c r="K76" i="3"/>
  <c r="M75" i="3"/>
  <c r="L75" i="3"/>
  <c r="K75" i="3"/>
  <c r="M74" i="3"/>
  <c r="L74" i="3"/>
  <c r="K74" i="3"/>
  <c r="M73" i="3"/>
  <c r="L73" i="3"/>
  <c r="K73" i="3"/>
  <c r="M72" i="3"/>
  <c r="L72" i="3"/>
  <c r="K72" i="3"/>
  <c r="M71" i="3"/>
  <c r="L71" i="3"/>
  <c r="K71" i="3"/>
  <c r="M70" i="3"/>
  <c r="L70" i="3"/>
  <c r="K70" i="3"/>
  <c r="M69" i="3"/>
  <c r="L69" i="3"/>
  <c r="K69" i="3"/>
  <c r="M68" i="3"/>
  <c r="L68" i="3"/>
  <c r="K68" i="3"/>
  <c r="M67" i="3"/>
  <c r="L67" i="3"/>
  <c r="K67" i="3"/>
  <c r="M66" i="3"/>
  <c r="L66" i="3"/>
  <c r="K66" i="3"/>
  <c r="M65" i="3"/>
  <c r="L65" i="3"/>
  <c r="K65" i="3"/>
  <c r="M64" i="3"/>
  <c r="L64" i="3"/>
  <c r="K64" i="3"/>
  <c r="M63" i="3"/>
  <c r="L63" i="3"/>
  <c r="K63" i="3"/>
  <c r="M62" i="3"/>
  <c r="L62" i="3"/>
  <c r="K62" i="3"/>
  <c r="S85" i="3"/>
  <c r="R85" i="3"/>
  <c r="Q85" i="3"/>
  <c r="S84" i="3"/>
  <c r="R84" i="3"/>
  <c r="Q84" i="3"/>
  <c r="S83" i="3"/>
  <c r="R83" i="3"/>
  <c r="Q83" i="3"/>
  <c r="S82" i="3"/>
  <c r="R82" i="3"/>
  <c r="Q82" i="3"/>
  <c r="S81" i="3"/>
  <c r="R81" i="3"/>
  <c r="Q81" i="3"/>
  <c r="S80" i="3"/>
  <c r="R80" i="3"/>
  <c r="Q80" i="3"/>
  <c r="S79" i="3"/>
  <c r="R79" i="3"/>
  <c r="Q79" i="3"/>
  <c r="S78" i="3"/>
  <c r="R78" i="3"/>
  <c r="Q78" i="3"/>
  <c r="S77" i="3"/>
  <c r="R77" i="3"/>
  <c r="Q77" i="3"/>
  <c r="S76" i="3"/>
  <c r="R76" i="3"/>
  <c r="Q76" i="3"/>
  <c r="S75" i="3"/>
  <c r="R75" i="3"/>
  <c r="Q75" i="3"/>
  <c r="S74" i="3"/>
  <c r="R74" i="3"/>
  <c r="Q74" i="3"/>
  <c r="S73" i="3"/>
  <c r="R73" i="3"/>
  <c r="Q73" i="3"/>
  <c r="S72" i="3"/>
  <c r="R72" i="3"/>
  <c r="Q72" i="3"/>
  <c r="S71" i="3"/>
  <c r="R71" i="3"/>
  <c r="Q71" i="3"/>
  <c r="S70" i="3"/>
  <c r="R70" i="3"/>
  <c r="Q70" i="3"/>
  <c r="S69" i="3"/>
  <c r="R69" i="3"/>
  <c r="Q69" i="3"/>
  <c r="S68" i="3"/>
  <c r="R68" i="3"/>
  <c r="Q68" i="3"/>
  <c r="S67" i="3"/>
  <c r="R67" i="3"/>
  <c r="Q67" i="3"/>
  <c r="S66" i="3"/>
  <c r="R66" i="3"/>
  <c r="Q66" i="3"/>
  <c r="S65" i="3"/>
  <c r="R65" i="3"/>
  <c r="Q65" i="3"/>
  <c r="S64" i="3"/>
  <c r="R64" i="3"/>
  <c r="Q64" i="3"/>
  <c r="S63" i="3"/>
  <c r="R63" i="3"/>
  <c r="Q63" i="3"/>
  <c r="S62" i="3"/>
  <c r="R62" i="3"/>
  <c r="Q62" i="3"/>
  <c r="Y85" i="3"/>
  <c r="X85" i="3"/>
  <c r="W85" i="3"/>
  <c r="Y84" i="3"/>
  <c r="X84" i="3"/>
  <c r="W84" i="3"/>
  <c r="Y83" i="3"/>
  <c r="X83" i="3"/>
  <c r="W83" i="3"/>
  <c r="Y82" i="3"/>
  <c r="X82" i="3"/>
  <c r="W82" i="3"/>
  <c r="Y81" i="3"/>
  <c r="X81" i="3"/>
  <c r="W81" i="3"/>
  <c r="Y80" i="3"/>
  <c r="X80" i="3"/>
  <c r="W80" i="3"/>
  <c r="Y79" i="3"/>
  <c r="X79" i="3"/>
  <c r="W79" i="3"/>
  <c r="Y78" i="3"/>
  <c r="X78" i="3"/>
  <c r="W78" i="3"/>
  <c r="Y77" i="3"/>
  <c r="X77" i="3"/>
  <c r="W77" i="3"/>
  <c r="Y76" i="3"/>
  <c r="X76" i="3"/>
  <c r="W76" i="3"/>
  <c r="Y75" i="3"/>
  <c r="X75" i="3"/>
  <c r="W75" i="3"/>
  <c r="Y74" i="3"/>
  <c r="X74" i="3"/>
  <c r="W74" i="3"/>
  <c r="Y73" i="3"/>
  <c r="X73" i="3"/>
  <c r="W73" i="3"/>
  <c r="Y72" i="3"/>
  <c r="X72" i="3"/>
  <c r="W72" i="3"/>
  <c r="Y71" i="3"/>
  <c r="X71" i="3"/>
  <c r="W71" i="3"/>
  <c r="Y70" i="3"/>
  <c r="X70" i="3"/>
  <c r="W70" i="3"/>
  <c r="Y69" i="3"/>
  <c r="X69" i="3"/>
  <c r="W69" i="3"/>
  <c r="Y68" i="3"/>
  <c r="X68" i="3"/>
  <c r="W68" i="3"/>
  <c r="Y67" i="3"/>
  <c r="X67" i="3"/>
  <c r="W67" i="3"/>
  <c r="Y66" i="3"/>
  <c r="X66" i="3"/>
  <c r="W66" i="3"/>
  <c r="Y65" i="3"/>
  <c r="X65" i="3"/>
  <c r="W65" i="3"/>
  <c r="Y64" i="3"/>
  <c r="X64" i="3"/>
  <c r="W64" i="3"/>
  <c r="Y63" i="3"/>
  <c r="X63" i="3"/>
  <c r="W63" i="3"/>
  <c r="Y62" i="3"/>
  <c r="X62" i="3"/>
  <c r="W62" i="3"/>
  <c r="Y42" i="3"/>
  <c r="X42" i="3"/>
  <c r="W42" i="3"/>
  <c r="Y41" i="3"/>
  <c r="X41" i="3"/>
  <c r="W41" i="3"/>
  <c r="Y40" i="3"/>
  <c r="X40" i="3"/>
  <c r="W40" i="3"/>
  <c r="Y39" i="3"/>
  <c r="X39" i="3"/>
  <c r="W39" i="3"/>
  <c r="Y38" i="3"/>
  <c r="X38" i="3"/>
  <c r="W38" i="3"/>
  <c r="Y37" i="3"/>
  <c r="X37" i="3"/>
  <c r="W37" i="3"/>
  <c r="Y36" i="3"/>
  <c r="X36" i="3"/>
  <c r="W36" i="3"/>
  <c r="Y35" i="3"/>
  <c r="X35" i="3"/>
  <c r="W35" i="3"/>
  <c r="Y34" i="3"/>
  <c r="X34" i="3"/>
  <c r="W34" i="3"/>
  <c r="Y33" i="3"/>
  <c r="X33" i="3"/>
  <c r="W33" i="3"/>
  <c r="Y32" i="3"/>
  <c r="X32" i="3"/>
  <c r="W32" i="3"/>
  <c r="Y31" i="3"/>
  <c r="X31" i="3"/>
  <c r="W31" i="3"/>
  <c r="Y30" i="3"/>
  <c r="X30" i="3"/>
  <c r="W30" i="3"/>
  <c r="Y29" i="3"/>
  <c r="X29" i="3"/>
  <c r="W29" i="3"/>
  <c r="Y28" i="3"/>
  <c r="X28" i="3"/>
  <c r="W28" i="3"/>
  <c r="Y27" i="3"/>
  <c r="X27" i="3"/>
  <c r="W27" i="3"/>
  <c r="Y26" i="3"/>
  <c r="X26" i="3"/>
  <c r="W26" i="3"/>
  <c r="Y25" i="3"/>
  <c r="X25" i="3"/>
  <c r="W25" i="3"/>
  <c r="Y24" i="3"/>
  <c r="X24" i="3"/>
  <c r="W24" i="3"/>
  <c r="Y23" i="3"/>
  <c r="X23" i="3"/>
  <c r="W23" i="3"/>
  <c r="Y22" i="3"/>
  <c r="X22" i="3"/>
  <c r="W22" i="3"/>
  <c r="Y21" i="3"/>
  <c r="X21" i="3"/>
  <c r="W21" i="3"/>
  <c r="Y20" i="3"/>
  <c r="X20" i="3"/>
  <c r="W20" i="3"/>
  <c r="Y19" i="3"/>
  <c r="X19" i="3"/>
  <c r="W19" i="3"/>
  <c r="S42" i="3"/>
  <c r="R42" i="3"/>
  <c r="Q42" i="3"/>
  <c r="S41" i="3"/>
  <c r="R41" i="3"/>
  <c r="Q41" i="3"/>
  <c r="S40" i="3"/>
  <c r="R40" i="3"/>
  <c r="Q40" i="3"/>
  <c r="S39" i="3"/>
  <c r="R39" i="3"/>
  <c r="Q39" i="3"/>
  <c r="S38" i="3"/>
  <c r="R38" i="3"/>
  <c r="Q38" i="3"/>
  <c r="S37" i="3"/>
  <c r="R37" i="3"/>
  <c r="Q37" i="3"/>
  <c r="S36" i="3"/>
  <c r="R36" i="3"/>
  <c r="Q36" i="3"/>
  <c r="S35" i="3"/>
  <c r="R35" i="3"/>
  <c r="Q35" i="3"/>
  <c r="S34" i="3"/>
  <c r="R34" i="3"/>
  <c r="Q34" i="3"/>
  <c r="S33" i="3"/>
  <c r="R33" i="3"/>
  <c r="Q33" i="3"/>
  <c r="S32" i="3"/>
  <c r="R32" i="3"/>
  <c r="Q32" i="3"/>
  <c r="S31" i="3"/>
  <c r="R31" i="3"/>
  <c r="Q31" i="3"/>
  <c r="S30" i="3"/>
  <c r="R30" i="3"/>
  <c r="Q30" i="3"/>
  <c r="S29" i="3"/>
  <c r="R29" i="3"/>
  <c r="Q29" i="3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M42" i="3"/>
  <c r="L42" i="3"/>
  <c r="K42" i="3"/>
  <c r="M41" i="3"/>
  <c r="L41" i="3"/>
  <c r="K41" i="3"/>
  <c r="M40" i="3"/>
  <c r="L40" i="3"/>
  <c r="K40" i="3"/>
  <c r="M39" i="3"/>
  <c r="L39" i="3"/>
  <c r="K39" i="3"/>
  <c r="M38" i="3"/>
  <c r="L38" i="3"/>
  <c r="K38" i="3"/>
  <c r="M37" i="3"/>
  <c r="L37" i="3"/>
  <c r="K37" i="3"/>
  <c r="M36" i="3"/>
  <c r="L36" i="3"/>
  <c r="K36" i="3"/>
  <c r="M35" i="3"/>
  <c r="L35" i="3"/>
  <c r="K35" i="3"/>
  <c r="M34" i="3"/>
  <c r="L34" i="3"/>
  <c r="K34" i="3"/>
  <c r="M33" i="3"/>
  <c r="L33" i="3"/>
  <c r="K33" i="3"/>
  <c r="M32" i="3"/>
  <c r="L32" i="3"/>
  <c r="K32" i="3"/>
  <c r="M31" i="3"/>
  <c r="L31" i="3"/>
  <c r="K31" i="3"/>
  <c r="M30" i="3"/>
  <c r="L30" i="3"/>
  <c r="K30" i="3"/>
  <c r="M29" i="3"/>
  <c r="L29" i="3"/>
  <c r="K29" i="3"/>
  <c r="M28" i="3"/>
  <c r="L28" i="3"/>
  <c r="K28" i="3"/>
  <c r="M27" i="3"/>
  <c r="L27" i="3"/>
  <c r="K27" i="3"/>
  <c r="M26" i="3"/>
  <c r="L26" i="3"/>
  <c r="K26" i="3"/>
  <c r="M25" i="3"/>
  <c r="L25" i="3"/>
  <c r="K25" i="3"/>
  <c r="M24" i="3"/>
  <c r="L24" i="3"/>
  <c r="K24" i="3"/>
  <c r="M23" i="3"/>
  <c r="L23" i="3"/>
  <c r="K23" i="3"/>
  <c r="M22" i="3"/>
  <c r="L22" i="3"/>
  <c r="K22" i="3"/>
  <c r="M21" i="3"/>
  <c r="L21" i="3"/>
  <c r="K21" i="3"/>
  <c r="M20" i="3"/>
  <c r="L20" i="3"/>
  <c r="K20" i="3"/>
  <c r="M19" i="3"/>
  <c r="L19" i="3"/>
  <c r="K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19" i="3"/>
  <c r="E20" i="3"/>
  <c r="E21" i="3"/>
  <c r="E22" i="3"/>
  <c r="E23" i="3"/>
  <c r="E24" i="3"/>
  <c r="E25" i="3"/>
  <c r="E26" i="3"/>
  <c r="E27" i="3"/>
  <c r="E28" i="3"/>
  <c r="E29" i="3"/>
  <c r="E30" i="3"/>
  <c r="E32" i="3"/>
  <c r="E33" i="3"/>
  <c r="E34" i="3"/>
  <c r="E35" i="3"/>
  <c r="E36" i="3"/>
  <c r="E37" i="3"/>
  <c r="E38" i="3"/>
  <c r="E39" i="3"/>
  <c r="E41" i="3"/>
  <c r="E42" i="3"/>
  <c r="E19" i="3"/>
  <c r="P24" i="4"/>
  <c r="R24" i="4" s="1"/>
  <c r="B42" i="4" s="1"/>
  <c r="D42" i="4" s="1"/>
  <c r="F42" i="4" s="1"/>
  <c r="H42" i="4" s="1"/>
  <c r="J42" i="4" s="1"/>
  <c r="L42" i="4" s="1"/>
  <c r="Q21" i="6"/>
  <c r="R21" i="6" s="1"/>
  <c r="K31" i="8" s="1"/>
  <c r="Q20" i="6"/>
  <c r="R20" i="6" s="1"/>
  <c r="K30" i="8" s="1"/>
  <c r="H28" i="2"/>
  <c r="I8" i="5"/>
  <c r="H27" i="2"/>
  <c r="H8" i="5" s="1"/>
  <c r="Q19" i="6"/>
  <c r="R19" i="6"/>
  <c r="K29" i="8" s="1"/>
  <c r="C17" i="11"/>
  <c r="J26" i="4"/>
  <c r="L26" i="4" s="1"/>
  <c r="N26" i="4" s="1"/>
  <c r="P26" i="4" s="1"/>
  <c r="R26" i="4" s="1"/>
  <c r="B44" i="4" s="1"/>
  <c r="D44" i="4" s="1"/>
  <c r="F44" i="4" s="1"/>
  <c r="H44" i="4" s="1"/>
  <c r="J44" i="4" s="1"/>
  <c r="L44" i="4" s="1"/>
  <c r="K26" i="4"/>
  <c r="M26" i="4" s="1"/>
  <c r="O26" i="4" s="1"/>
  <c r="Q26" i="4" s="1"/>
  <c r="S26" i="4" s="1"/>
  <c r="C44" i="4" s="1"/>
  <c r="E44" i="4" s="1"/>
  <c r="G44" i="4" s="1"/>
  <c r="I44" i="4" s="1"/>
  <c r="K44" i="4" s="1"/>
  <c r="M44" i="4" s="1"/>
  <c r="K21" i="4"/>
  <c r="M21" i="4" s="1"/>
  <c r="O21" i="4" s="1"/>
  <c r="Q21" i="4" s="1"/>
  <c r="S21" i="4" s="1"/>
  <c r="C39" i="4" s="1"/>
  <c r="E39" i="4" s="1"/>
  <c r="G39" i="4" s="1"/>
  <c r="I39" i="4" s="1"/>
  <c r="K39" i="4" s="1"/>
  <c r="M39" i="4" s="1"/>
  <c r="Q18" i="6"/>
  <c r="C16" i="11" s="1"/>
  <c r="Q17" i="6"/>
  <c r="H23" i="2"/>
  <c r="H3" i="5" s="1"/>
  <c r="H22" i="2"/>
  <c r="I3" i="5" s="1"/>
  <c r="I27" i="4"/>
  <c r="K27" i="4" s="1"/>
  <c r="M27" i="4" s="1"/>
  <c r="O27" i="4" s="1"/>
  <c r="Q27" i="4" s="1"/>
  <c r="S27" i="4" s="1"/>
  <c r="C45" i="4" s="1"/>
  <c r="E45" i="4" s="1"/>
  <c r="G45" i="4" s="1"/>
  <c r="I45" i="4" s="1"/>
  <c r="K45" i="4" s="1"/>
  <c r="M45" i="4" s="1"/>
  <c r="H27" i="4"/>
  <c r="J27" i="4" s="1"/>
  <c r="L27" i="4" s="1"/>
  <c r="N27" i="4" s="1"/>
  <c r="P27" i="4" s="1"/>
  <c r="R27" i="4" s="1"/>
  <c r="B45" i="4" s="1"/>
  <c r="D45" i="4" s="1"/>
  <c r="F45" i="4" s="1"/>
  <c r="H45" i="4" s="1"/>
  <c r="J45" i="4" s="1"/>
  <c r="L45" i="4" s="1"/>
  <c r="H24" i="2"/>
  <c r="H29" i="2" s="1"/>
  <c r="H9" i="5" s="1"/>
  <c r="H21" i="4"/>
  <c r="J21" i="4" s="1"/>
  <c r="L21" i="4" s="1"/>
  <c r="N21" i="4" s="1"/>
  <c r="P21" i="4" s="1"/>
  <c r="R21" i="4" s="1"/>
  <c r="B39" i="4" s="1"/>
  <c r="D39" i="4" s="1"/>
  <c r="F39" i="4" s="1"/>
  <c r="H39" i="4" s="1"/>
  <c r="J39" i="4" s="1"/>
  <c r="L39" i="4" s="1"/>
  <c r="Q16" i="6"/>
  <c r="R16" i="6" s="1"/>
  <c r="H19" i="2"/>
  <c r="I2" i="5"/>
  <c r="H18" i="2"/>
  <c r="H2" i="5" s="1"/>
  <c r="Q15" i="6"/>
  <c r="Q7" i="6"/>
  <c r="R7" i="6" s="1"/>
  <c r="K17" i="8" s="1"/>
  <c r="Q8" i="6"/>
  <c r="R8" i="6" s="1"/>
  <c r="K18" i="8" s="1"/>
  <c r="Q9" i="6"/>
  <c r="R9" i="6" s="1"/>
  <c r="K19" i="8" s="1"/>
  <c r="Q10" i="6"/>
  <c r="Q11" i="6"/>
  <c r="Q12" i="6"/>
  <c r="C10" i="11" s="1"/>
  <c r="Q13" i="6"/>
  <c r="Q14" i="6"/>
  <c r="Q6" i="6"/>
  <c r="R5" i="6"/>
  <c r="R11" i="6"/>
  <c r="K21" i="8" s="1"/>
  <c r="C9" i="11"/>
  <c r="C5" i="11"/>
  <c r="R14" i="6"/>
  <c r="C12" i="11"/>
  <c r="R10" i="6"/>
  <c r="K20" i="8" s="1"/>
  <c r="C8" i="11"/>
  <c r="R15" i="6"/>
  <c r="K25" i="8" s="1"/>
  <c r="C13" i="11"/>
  <c r="R13" i="6"/>
  <c r="C11" i="11"/>
  <c r="K24" i="8"/>
  <c r="C6" i="4"/>
  <c r="E6" i="4" s="1"/>
  <c r="G6" i="4" s="1"/>
  <c r="I6" i="4" s="1"/>
  <c r="K6" i="4" s="1"/>
  <c r="M6" i="4" s="1"/>
  <c r="O6" i="4" s="1"/>
  <c r="Q6" i="4" s="1"/>
  <c r="S6" i="4" s="1"/>
  <c r="C24" i="4" s="1"/>
  <c r="E24" i="4" s="1"/>
  <c r="G24" i="4" s="1"/>
  <c r="I24" i="4" s="1"/>
  <c r="K24" i="4" s="1"/>
  <c r="M24" i="4" s="1"/>
  <c r="O24" i="4" s="1"/>
  <c r="Q24" i="4" s="1"/>
  <c r="S24" i="4" s="1"/>
  <c r="C42" i="4" s="1"/>
  <c r="E42" i="4" s="1"/>
  <c r="G42" i="4" s="1"/>
  <c r="I42" i="4" s="1"/>
  <c r="K42" i="4" s="1"/>
  <c r="M42" i="4" s="1"/>
  <c r="H9" i="4"/>
  <c r="J9" i="4" s="1"/>
  <c r="L9" i="4" s="1"/>
  <c r="N9" i="4" s="1"/>
  <c r="P9" i="4" s="1"/>
  <c r="R9" i="4" s="1"/>
  <c r="B27" i="4" s="1"/>
  <c r="D27" i="4" s="1"/>
  <c r="H11" i="4"/>
  <c r="J11" i="4" s="1"/>
  <c r="L11" i="4" s="1"/>
  <c r="N11" i="4" s="1"/>
  <c r="P11" i="4" s="1"/>
  <c r="R11" i="4" s="1"/>
  <c r="B29" i="4" s="1"/>
  <c r="D29" i="4" s="1"/>
  <c r="F29" i="4" s="1"/>
  <c r="H29" i="4" s="1"/>
  <c r="J29" i="4" s="1"/>
  <c r="L29" i="4" s="1"/>
  <c r="N29" i="4" s="1"/>
  <c r="P29" i="4" s="1"/>
  <c r="R29" i="4" s="1"/>
  <c r="B47" i="4" s="1"/>
  <c r="D47" i="4" s="1"/>
  <c r="F47" i="4" s="1"/>
  <c r="H47" i="4" s="1"/>
  <c r="J47" i="4" s="1"/>
  <c r="L47" i="4" s="1"/>
  <c r="I11" i="4"/>
  <c r="K11" i="4"/>
  <c r="M11" i="4" s="1"/>
  <c r="O11" i="4" s="1"/>
  <c r="Q11" i="4" s="1"/>
  <c r="S11" i="4" s="1"/>
  <c r="C29" i="4" s="1"/>
  <c r="E29" i="4" s="1"/>
  <c r="G29" i="4" s="1"/>
  <c r="I29" i="4" s="1"/>
  <c r="K29" i="4" s="1"/>
  <c r="M29" i="4" s="1"/>
  <c r="O29" i="4" s="1"/>
  <c r="Q29" i="4" s="1"/>
  <c r="S29" i="4" s="1"/>
  <c r="C47" i="4" s="1"/>
  <c r="E47" i="4" s="1"/>
  <c r="G47" i="4" s="1"/>
  <c r="I47" i="4" s="1"/>
  <c r="K47" i="4" s="1"/>
  <c r="M47" i="4" s="1"/>
  <c r="H12" i="4"/>
  <c r="J12" i="4" s="1"/>
  <c r="L12" i="4" s="1"/>
  <c r="N12" i="4" s="1"/>
  <c r="P12" i="4" s="1"/>
  <c r="R12" i="4" s="1"/>
  <c r="B30" i="4" s="1"/>
  <c r="D30" i="4" s="1"/>
  <c r="F30" i="4" s="1"/>
  <c r="H30" i="4" s="1"/>
  <c r="J30" i="4" s="1"/>
  <c r="L30" i="4" s="1"/>
  <c r="N30" i="4" s="1"/>
  <c r="P30" i="4" s="1"/>
  <c r="R30" i="4" s="1"/>
  <c r="B48" i="4" s="1"/>
  <c r="D48" i="4" s="1"/>
  <c r="F48" i="4" s="1"/>
  <c r="H48" i="4" s="1"/>
  <c r="J48" i="4" s="1"/>
  <c r="L48" i="4" s="1"/>
  <c r="I12" i="4"/>
  <c r="K12" i="4" s="1"/>
  <c r="M12" i="4" s="1"/>
  <c r="O12" i="4" s="1"/>
  <c r="Q12" i="4" s="1"/>
  <c r="S12" i="4" s="1"/>
  <c r="C30" i="4" s="1"/>
  <c r="E30" i="4" s="1"/>
  <c r="G30" i="4" s="1"/>
  <c r="I30" i="4" s="1"/>
  <c r="K30" i="4" s="1"/>
  <c r="M30" i="4" s="1"/>
  <c r="O30" i="4" s="1"/>
  <c r="Q30" i="4" s="1"/>
  <c r="S30" i="4" s="1"/>
  <c r="C48" i="4" s="1"/>
  <c r="E48" i="4" s="1"/>
  <c r="G48" i="4" s="1"/>
  <c r="I48" i="4" s="1"/>
  <c r="K48" i="4" s="1"/>
  <c r="M48" i="4" s="1"/>
  <c r="H13" i="4"/>
  <c r="J13" i="4" s="1"/>
  <c r="L13" i="4" s="1"/>
  <c r="N13" i="4" s="1"/>
  <c r="P13" i="4" s="1"/>
  <c r="R13" i="4" s="1"/>
  <c r="B31" i="4" s="1"/>
  <c r="D31" i="4" s="1"/>
  <c r="F31" i="4" s="1"/>
  <c r="H31" i="4" s="1"/>
  <c r="J31" i="4" s="1"/>
  <c r="L31" i="4" s="1"/>
  <c r="N31" i="4" s="1"/>
  <c r="P31" i="4" s="1"/>
  <c r="R31" i="4" s="1"/>
  <c r="B49" i="4" s="1"/>
  <c r="D49" i="4" s="1"/>
  <c r="F49" i="4" s="1"/>
  <c r="H49" i="4" s="1"/>
  <c r="J49" i="4" s="1"/>
  <c r="L49" i="4" s="1"/>
  <c r="I13" i="4"/>
  <c r="K13" i="4" s="1"/>
  <c r="M13" i="4" s="1"/>
  <c r="O13" i="4" s="1"/>
  <c r="Q13" i="4"/>
  <c r="S13" i="4" s="1"/>
  <c r="C31" i="4" s="1"/>
  <c r="E31" i="4" s="1"/>
  <c r="G31" i="4" s="1"/>
  <c r="I31" i="4" s="1"/>
  <c r="K31" i="4" s="1"/>
  <c r="M31" i="4" s="1"/>
  <c r="O31" i="4" s="1"/>
  <c r="Q31" i="4" s="1"/>
  <c r="S31" i="4" s="1"/>
  <c r="C49" i="4" s="1"/>
  <c r="E49" i="4" s="1"/>
  <c r="G49" i="4" s="1"/>
  <c r="I49" i="4" s="1"/>
  <c r="K49" i="4" s="1"/>
  <c r="M49" i="4" s="1"/>
  <c r="H14" i="4"/>
  <c r="J14" i="4" s="1"/>
  <c r="L14" i="4" s="1"/>
  <c r="N14" i="4" s="1"/>
  <c r="P14" i="4" s="1"/>
  <c r="R14" i="4" s="1"/>
  <c r="B32" i="4" s="1"/>
  <c r="D32" i="4" s="1"/>
  <c r="F32" i="4" s="1"/>
  <c r="H32" i="4" s="1"/>
  <c r="J32" i="4" s="1"/>
  <c r="L32" i="4" s="1"/>
  <c r="N32" i="4" s="1"/>
  <c r="P32" i="4" s="1"/>
  <c r="R32" i="4" s="1"/>
  <c r="B50" i="4" s="1"/>
  <c r="D50" i="4" s="1"/>
  <c r="F50" i="4" s="1"/>
  <c r="H50" i="4" s="1"/>
  <c r="J50" i="4" s="1"/>
  <c r="L50" i="4" s="1"/>
  <c r="I14" i="4"/>
  <c r="K14" i="4" s="1"/>
  <c r="M14" i="4" s="1"/>
  <c r="O14" i="4" s="1"/>
  <c r="Q14" i="4" s="1"/>
  <c r="S14" i="4"/>
  <c r="C32" i="4" s="1"/>
  <c r="E32" i="4" s="1"/>
  <c r="G32" i="4" s="1"/>
  <c r="I32" i="4" s="1"/>
  <c r="K32" i="4" s="1"/>
  <c r="M32" i="4" s="1"/>
  <c r="O32" i="4" s="1"/>
  <c r="Q32" i="4" s="1"/>
  <c r="S32" i="4" s="1"/>
  <c r="C50" i="4" s="1"/>
  <c r="E50" i="4" s="1"/>
  <c r="G50" i="4" s="1"/>
  <c r="I50" i="4" s="1"/>
  <c r="K50" i="4" s="1"/>
  <c r="M50" i="4" s="1"/>
  <c r="H15" i="4"/>
  <c r="J15" i="4" s="1"/>
  <c r="L15" i="4" s="1"/>
  <c r="N15" i="4" s="1"/>
  <c r="P15" i="4" s="1"/>
  <c r="R15" i="4" s="1"/>
  <c r="B33" i="4" s="1"/>
  <c r="D33" i="4" s="1"/>
  <c r="F33" i="4" s="1"/>
  <c r="H33" i="4" s="1"/>
  <c r="J33" i="4" s="1"/>
  <c r="L33" i="4" s="1"/>
  <c r="N33" i="4" s="1"/>
  <c r="P33" i="4" s="1"/>
  <c r="R33" i="4" s="1"/>
  <c r="B51" i="4" s="1"/>
  <c r="D51" i="4" s="1"/>
  <c r="F51" i="4" s="1"/>
  <c r="H51" i="4" s="1"/>
  <c r="J51" i="4" s="1"/>
  <c r="L51" i="4" s="1"/>
  <c r="I15" i="4"/>
  <c r="K15" i="4" s="1"/>
  <c r="M15" i="4" s="1"/>
  <c r="O15" i="4" s="1"/>
  <c r="Q15" i="4" s="1"/>
  <c r="S15" i="4" s="1"/>
  <c r="C33" i="4" s="1"/>
  <c r="E33" i="4" s="1"/>
  <c r="G33" i="4" s="1"/>
  <c r="I33" i="4" s="1"/>
  <c r="K33" i="4" s="1"/>
  <c r="M33" i="4" s="1"/>
  <c r="O33" i="4" s="1"/>
  <c r="Q33" i="4" s="1"/>
  <c r="S33" i="4" s="1"/>
  <c r="C51" i="4" s="1"/>
  <c r="E51" i="4" s="1"/>
  <c r="G51" i="4" s="1"/>
  <c r="I51" i="4" s="1"/>
  <c r="K51" i="4" s="1"/>
  <c r="M51" i="4" s="1"/>
  <c r="H16" i="4"/>
  <c r="J16" i="4"/>
  <c r="L16" i="4" s="1"/>
  <c r="N16" i="4" s="1"/>
  <c r="P16" i="4" s="1"/>
  <c r="R16" i="4" s="1"/>
  <c r="B34" i="4" s="1"/>
  <c r="D34" i="4" s="1"/>
  <c r="F34" i="4" s="1"/>
  <c r="H34" i="4" s="1"/>
  <c r="J34" i="4" s="1"/>
  <c r="L34" i="4" s="1"/>
  <c r="N34" i="4" s="1"/>
  <c r="P34" i="4" s="1"/>
  <c r="R34" i="4" s="1"/>
  <c r="B52" i="4" s="1"/>
  <c r="D52" i="4" s="1"/>
  <c r="F52" i="4" s="1"/>
  <c r="H52" i="4" s="1"/>
  <c r="J52" i="4" s="1"/>
  <c r="L52" i="4" s="1"/>
  <c r="I16" i="4"/>
  <c r="K16" i="4" s="1"/>
  <c r="M16" i="4" s="1"/>
  <c r="O16" i="4" s="1"/>
  <c r="Q16" i="4" s="1"/>
  <c r="S16" i="4" s="1"/>
  <c r="C34" i="4" s="1"/>
  <c r="E34" i="4" s="1"/>
  <c r="G34" i="4" s="1"/>
  <c r="I34" i="4" s="1"/>
  <c r="K34" i="4" s="1"/>
  <c r="M34" i="4" s="1"/>
  <c r="O34" i="4" s="1"/>
  <c r="Q34" i="4" s="1"/>
  <c r="S34" i="4" s="1"/>
  <c r="C52" i="4" s="1"/>
  <c r="E52" i="4" s="1"/>
  <c r="G52" i="4" s="1"/>
  <c r="I52" i="4" s="1"/>
  <c r="K52" i="4" s="1"/>
  <c r="M52" i="4" s="1"/>
  <c r="H17" i="4"/>
  <c r="J17" i="4" s="1"/>
  <c r="L17" i="4" s="1"/>
  <c r="N17" i="4" s="1"/>
  <c r="P17" i="4" s="1"/>
  <c r="R17" i="4" s="1"/>
  <c r="B35" i="4" s="1"/>
  <c r="D35" i="4" s="1"/>
  <c r="F35" i="4" s="1"/>
  <c r="H35" i="4" s="1"/>
  <c r="J35" i="4" s="1"/>
  <c r="L35" i="4" s="1"/>
  <c r="N35" i="4" s="1"/>
  <c r="P35" i="4" s="1"/>
  <c r="R35" i="4" s="1"/>
  <c r="B53" i="4" s="1"/>
  <c r="D53" i="4" s="1"/>
  <c r="F53" i="4" s="1"/>
  <c r="H53" i="4" s="1"/>
  <c r="J53" i="4" s="1"/>
  <c r="L53" i="4" s="1"/>
  <c r="I17" i="4"/>
  <c r="K17" i="4" s="1"/>
  <c r="M17" i="4" s="1"/>
  <c r="O17" i="4" s="1"/>
  <c r="Q17" i="4" s="1"/>
  <c r="S17" i="4" s="1"/>
  <c r="C35" i="4" s="1"/>
  <c r="E35" i="4" s="1"/>
  <c r="G35" i="4" s="1"/>
  <c r="I35" i="4" s="1"/>
  <c r="K35" i="4" s="1"/>
  <c r="M35" i="4" s="1"/>
  <c r="O35" i="4" s="1"/>
  <c r="Q35" i="4" s="1"/>
  <c r="S35" i="4" s="1"/>
  <c r="C53" i="4" s="1"/>
  <c r="E53" i="4" s="1"/>
  <c r="G53" i="4" s="1"/>
  <c r="I53" i="4" s="1"/>
  <c r="K53" i="4" s="1"/>
  <c r="M53" i="4" s="1"/>
  <c r="I10" i="4"/>
  <c r="K10" i="4"/>
  <c r="M10" i="4"/>
  <c r="O10" i="4" s="1"/>
  <c r="Q10" i="4" s="1"/>
  <c r="S10" i="4" s="1"/>
  <c r="C28" i="4" s="1"/>
  <c r="E28" i="4" s="1"/>
  <c r="G28" i="4" s="1"/>
  <c r="I28" i="4" s="1"/>
  <c r="K28" i="4" s="1"/>
  <c r="M28" i="4" s="1"/>
  <c r="H10" i="4"/>
  <c r="J10" i="4"/>
  <c r="L10" i="4" s="1"/>
  <c r="N10" i="4" s="1"/>
  <c r="P10" i="4" s="1"/>
  <c r="R10" i="4" s="1"/>
  <c r="B28" i="4" s="1"/>
  <c r="D28" i="4" s="1"/>
  <c r="F28" i="4" s="1"/>
  <c r="H28" i="4" s="1"/>
  <c r="J28" i="4" s="1"/>
  <c r="L28" i="4" s="1"/>
  <c r="N28" i="4" s="1"/>
  <c r="P28" i="4" s="1"/>
  <c r="E9" i="4"/>
  <c r="G9" i="4" s="1"/>
  <c r="I9" i="4" s="1"/>
  <c r="K9" i="4"/>
  <c r="M9" i="4" s="1"/>
  <c r="O9" i="4" s="1"/>
  <c r="Q9" i="4" s="1"/>
  <c r="S9" i="4" s="1"/>
  <c r="C27" i="4" s="1"/>
  <c r="E27" i="4" s="1"/>
  <c r="E10" i="4"/>
  <c r="E11" i="4"/>
  <c r="E12" i="4"/>
  <c r="E13" i="4"/>
  <c r="E14" i="4"/>
  <c r="E15" i="4"/>
  <c r="E16" i="4"/>
  <c r="E17" i="4"/>
  <c r="D10" i="4"/>
  <c r="D11" i="4"/>
  <c r="D12" i="4"/>
  <c r="D13" i="4"/>
  <c r="D14" i="4"/>
  <c r="D15" i="4"/>
  <c r="D16" i="4"/>
  <c r="D17" i="4"/>
  <c r="C8" i="4"/>
  <c r="E8" i="4" s="1"/>
  <c r="G8" i="4" s="1"/>
  <c r="I8" i="4" s="1"/>
  <c r="K8" i="4" s="1"/>
  <c r="M8" i="4" s="1"/>
  <c r="O8" i="4" s="1"/>
  <c r="Q8" i="4" s="1"/>
  <c r="S8" i="4" s="1"/>
  <c r="C26" i="4" s="1"/>
  <c r="E26" i="4" s="1"/>
  <c r="G26" i="4" s="1"/>
  <c r="C7" i="4"/>
  <c r="E7" i="4"/>
  <c r="G7" i="4" s="1"/>
  <c r="I7" i="4" s="1"/>
  <c r="C5" i="4"/>
  <c r="E5" i="4"/>
  <c r="G5" i="4"/>
  <c r="I5" i="4" s="1"/>
  <c r="K5" i="4" s="1"/>
  <c r="M5" i="4" s="1"/>
  <c r="O5" i="4" s="1"/>
  <c r="Q5" i="4" s="1"/>
  <c r="S5" i="4" s="1"/>
  <c r="C23" i="4" s="1"/>
  <c r="E23" i="4" s="1"/>
  <c r="G23" i="4" s="1"/>
  <c r="I23" i="4" s="1"/>
  <c r="K23" i="4" s="1"/>
  <c r="M23" i="4" s="1"/>
  <c r="O23" i="4" s="1"/>
  <c r="Q23" i="4" s="1"/>
  <c r="S23" i="4" s="1"/>
  <c r="C41" i="4" s="1"/>
  <c r="E41" i="4" s="1"/>
  <c r="G41" i="4" s="1"/>
  <c r="I41" i="4" s="1"/>
  <c r="K41" i="4" s="1"/>
  <c r="M41" i="4" s="1"/>
  <c r="C4" i="4"/>
  <c r="E4" i="4"/>
  <c r="G4" i="4"/>
  <c r="I4" i="4" s="1"/>
  <c r="K4" i="4" s="1"/>
  <c r="M4" i="4" s="1"/>
  <c r="O4" i="4" s="1"/>
  <c r="Q4" i="4" s="1"/>
  <c r="S4" i="4" s="1"/>
  <c r="C22" i="4" s="1"/>
  <c r="E22" i="4" s="1"/>
  <c r="G22" i="4" s="1"/>
  <c r="I22" i="4" s="1"/>
  <c r="K22" i="4" s="1"/>
  <c r="M22" i="4" s="1"/>
  <c r="O22" i="4" s="1"/>
  <c r="Q22" i="4" s="1"/>
  <c r="S22" i="4" s="1"/>
  <c r="C40" i="4" s="1"/>
  <c r="E40" i="4" s="1"/>
  <c r="G40" i="4" s="1"/>
  <c r="I40" i="4" s="1"/>
  <c r="K40" i="4" s="1"/>
  <c r="M40" i="4" s="1"/>
  <c r="C3" i="4"/>
  <c r="E3" i="4"/>
  <c r="G3" i="4" s="1"/>
  <c r="I3" i="4" s="1"/>
  <c r="K3" i="4" s="1"/>
  <c r="M3" i="4" s="1"/>
  <c r="O3" i="4" s="1"/>
  <c r="Q3" i="4" s="1"/>
  <c r="S3" i="4" s="1"/>
  <c r="C21" i="4" s="1"/>
  <c r="E21" i="4" s="1"/>
  <c r="B9" i="4"/>
  <c r="D9" i="4" s="1"/>
  <c r="B8" i="4"/>
  <c r="D8" i="4" s="1"/>
  <c r="F8" i="4" s="1"/>
  <c r="H8" i="4" s="1"/>
  <c r="J8" i="4" s="1"/>
  <c r="L8" i="4" s="1"/>
  <c r="N8" i="4" s="1"/>
  <c r="P8" i="4" s="1"/>
  <c r="R8" i="4" s="1"/>
  <c r="B26" i="4" s="1"/>
  <c r="D26" i="4" s="1"/>
  <c r="F26" i="4" s="1"/>
  <c r="B7" i="4"/>
  <c r="D7" i="4" s="1"/>
  <c r="F7" i="4" s="1"/>
  <c r="H7" i="4" s="1"/>
  <c r="J7" i="4" s="1"/>
  <c r="L7" i="4" s="1"/>
  <c r="N7" i="4" s="1"/>
  <c r="P7" i="4" s="1"/>
  <c r="R7" i="4" s="1"/>
  <c r="B25" i="4" s="1"/>
  <c r="D25" i="4" s="1"/>
  <c r="F25" i="4" s="1"/>
  <c r="H25" i="4" s="1"/>
  <c r="J25" i="4" s="1"/>
  <c r="L25" i="4" s="1"/>
  <c r="N25" i="4" s="1"/>
  <c r="P25" i="4" s="1"/>
  <c r="R25" i="4" s="1"/>
  <c r="B43" i="4" s="1"/>
  <c r="D43" i="4" s="1"/>
  <c r="F43" i="4" s="1"/>
  <c r="H43" i="4" s="1"/>
  <c r="J43" i="4" s="1"/>
  <c r="L43" i="4" s="1"/>
  <c r="B6" i="4"/>
  <c r="D6" i="4" s="1"/>
  <c r="F6" i="4" s="1"/>
  <c r="H6" i="4" s="1"/>
  <c r="J6" i="4" s="1"/>
  <c r="B5" i="4"/>
  <c r="D5" i="4" s="1"/>
  <c r="F5" i="4" s="1"/>
  <c r="H5" i="4" s="1"/>
  <c r="J5" i="4" s="1"/>
  <c r="L5" i="4" s="1"/>
  <c r="N5" i="4" s="1"/>
  <c r="P5" i="4" s="1"/>
  <c r="R5" i="4" s="1"/>
  <c r="B23" i="4" s="1"/>
  <c r="D23" i="4" s="1"/>
  <c r="F23" i="4" s="1"/>
  <c r="H23" i="4" s="1"/>
  <c r="J23" i="4" s="1"/>
  <c r="L23" i="4" s="1"/>
  <c r="N23" i="4" s="1"/>
  <c r="P23" i="4" s="1"/>
  <c r="R23" i="4" s="1"/>
  <c r="B41" i="4" s="1"/>
  <c r="D41" i="4" s="1"/>
  <c r="F41" i="4" s="1"/>
  <c r="H41" i="4" s="1"/>
  <c r="J41" i="4" s="1"/>
  <c r="L41" i="4" s="1"/>
  <c r="B4" i="4"/>
  <c r="D4" i="4"/>
  <c r="F4" i="4" s="1"/>
  <c r="H4" i="4" s="1"/>
  <c r="J4" i="4" s="1"/>
  <c r="L4" i="4" s="1"/>
  <c r="N4" i="4" s="1"/>
  <c r="P4" i="4" s="1"/>
  <c r="R4" i="4" s="1"/>
  <c r="B22" i="4" s="1"/>
  <c r="D22" i="4" s="1"/>
  <c r="F22" i="4" s="1"/>
  <c r="H22" i="4" s="1"/>
  <c r="J22" i="4" s="1"/>
  <c r="L22" i="4" s="1"/>
  <c r="N22" i="4" s="1"/>
  <c r="P22" i="4" s="1"/>
  <c r="R22" i="4" s="1"/>
  <c r="B40" i="4" s="1"/>
  <c r="D40" i="4" s="1"/>
  <c r="F40" i="4" s="1"/>
  <c r="H40" i="4" s="1"/>
  <c r="J40" i="4" s="1"/>
  <c r="L40" i="4" s="1"/>
  <c r="B3" i="4"/>
  <c r="D3" i="4" s="1"/>
  <c r="F3" i="4" s="1"/>
  <c r="H3" i="4" s="1"/>
  <c r="J3" i="4" s="1"/>
  <c r="L3" i="4" s="1"/>
  <c r="N3" i="4" s="1"/>
  <c r="P3" i="4" s="1"/>
  <c r="R3" i="4" s="1"/>
  <c r="B21" i="4" s="1"/>
  <c r="D21" i="4" s="1"/>
  <c r="H13" i="2"/>
  <c r="D10" i="5" s="1"/>
  <c r="B2" i="5" l="1"/>
  <c r="C7" i="11"/>
  <c r="R18" i="6"/>
  <c r="K28" i="8" s="1"/>
  <c r="C19" i="11"/>
  <c r="C20" i="11"/>
  <c r="C10" i="1"/>
  <c r="B9" i="1" s="1"/>
  <c r="C6" i="11"/>
  <c r="C14" i="11"/>
  <c r="C18" i="11"/>
  <c r="C26" i="11"/>
  <c r="G23" i="1"/>
  <c r="I23" i="1" s="1"/>
  <c r="C37" i="1" s="1"/>
  <c r="E37" i="1" s="1"/>
  <c r="G37" i="1" s="1"/>
  <c r="I37" i="1" s="1"/>
  <c r="K37" i="1" s="1"/>
  <c r="C51" i="1" s="1"/>
  <c r="E51" i="1" s="1"/>
  <c r="G51" i="1" s="1"/>
  <c r="I51" i="1" s="1"/>
  <c r="K51" i="1" s="1"/>
  <c r="C65" i="1" s="1"/>
  <c r="R12" i="6"/>
  <c r="O28" i="4"/>
  <c r="Q28" i="4" s="1"/>
  <c r="S28" i="4" s="1"/>
  <c r="C46" i="4" s="1"/>
  <c r="E46" i="4" s="1"/>
  <c r="G46" i="4" s="1"/>
  <c r="I46" i="4" s="1"/>
  <c r="K46" i="4" s="1"/>
  <c r="M46" i="4" s="1"/>
  <c r="K7" i="4"/>
  <c r="M7" i="4" s="1"/>
  <c r="O7" i="4" s="1"/>
  <c r="Q7" i="4" s="1"/>
  <c r="S7" i="4" s="1"/>
  <c r="C25" i="4" s="1"/>
  <c r="E25" i="4" s="1"/>
  <c r="G25" i="4" s="1"/>
  <c r="I25" i="4" s="1"/>
  <c r="K25" i="4" s="1"/>
  <c r="M25" i="4" s="1"/>
  <c r="O25" i="4" s="1"/>
  <c r="Q25" i="4" s="1"/>
  <c r="S25" i="4" s="1"/>
  <c r="C43" i="4" s="1"/>
  <c r="E43" i="4" s="1"/>
  <c r="G43" i="4" s="1"/>
  <c r="I43" i="4" s="1"/>
  <c r="K43" i="4" s="1"/>
  <c r="M43" i="4" s="1"/>
  <c r="H30" i="2"/>
  <c r="H31" i="2" s="1"/>
  <c r="H15" i="5" s="1"/>
  <c r="R28" i="4"/>
  <c r="B46" i="4" s="1"/>
  <c r="D46" i="4" s="1"/>
  <c r="F46" i="4" s="1"/>
  <c r="H46" i="4" s="1"/>
  <c r="J46" i="4" s="1"/>
  <c r="L46" i="4" s="1"/>
  <c r="K34" i="8"/>
  <c r="E31" i="1"/>
  <c r="H14" i="2"/>
  <c r="I15" i="2"/>
  <c r="C13" i="5" s="1"/>
  <c r="L6" i="4"/>
  <c r="N6" i="4" s="1"/>
  <c r="P6" i="4" s="1"/>
  <c r="R6" i="4" s="1"/>
  <c r="B24" i="4" s="1"/>
  <c r="D24" i="4" s="1"/>
  <c r="F24" i="4" s="1"/>
  <c r="H24" i="4" s="1"/>
  <c r="J24" i="4" s="1"/>
  <c r="L24" i="4" s="1"/>
  <c r="K23" i="8"/>
  <c r="K33" i="8"/>
  <c r="B5" i="10"/>
  <c r="C46" i="1"/>
  <c r="K22" i="8"/>
  <c r="K26" i="8"/>
  <c r="R17" i="6"/>
  <c r="C15" i="11"/>
  <c r="C4" i="11"/>
  <c r="R6" i="6"/>
  <c r="R27" i="6"/>
  <c r="C25" i="11"/>
  <c r="L4" i="7"/>
  <c r="E4" i="7"/>
  <c r="B3" i="5"/>
  <c r="I5" i="6" l="1"/>
  <c r="G2" i="1"/>
  <c r="B1" i="10" s="1"/>
  <c r="B3" i="1"/>
  <c r="B5" i="6"/>
  <c r="B5" i="1"/>
  <c r="B6" i="1"/>
  <c r="B8" i="1"/>
  <c r="B4" i="1"/>
  <c r="B7" i="1"/>
  <c r="K27" i="8"/>
  <c r="G31" i="1"/>
  <c r="B4" i="5"/>
  <c r="C26" i="1"/>
  <c r="K37" i="8"/>
  <c r="E46" i="1"/>
  <c r="K16" i="8"/>
  <c r="H10" i="8" l="1"/>
  <c r="H8" i="8"/>
  <c r="H12" i="8"/>
  <c r="H5" i="8"/>
  <c r="H7" i="8"/>
  <c r="H13" i="8"/>
  <c r="B10" i="1"/>
  <c r="H3" i="8"/>
  <c r="H6" i="8"/>
  <c r="H11" i="8"/>
  <c r="H14" i="8"/>
  <c r="H4" i="8"/>
  <c r="H9" i="8"/>
  <c r="B5" i="5"/>
  <c r="E26" i="1"/>
  <c r="G46" i="1"/>
  <c r="L19" i="8"/>
  <c r="L25" i="8"/>
  <c r="L17" i="8"/>
  <c r="L30" i="8"/>
  <c r="L27" i="8"/>
  <c r="L20" i="8"/>
  <c r="L18" i="8"/>
  <c r="L29" i="8"/>
  <c r="L26" i="8"/>
  <c r="L34" i="8"/>
  <c r="L31" i="8"/>
  <c r="L32" i="8"/>
  <c r="L16" i="8"/>
  <c r="L28" i="8"/>
  <c r="L21" i="8"/>
  <c r="L37" i="8"/>
  <c r="L23" i="8"/>
  <c r="L33" i="8"/>
  <c r="L35" i="8"/>
  <c r="L38" i="8"/>
  <c r="L24" i="8"/>
  <c r="L36" i="8"/>
  <c r="L22" i="8"/>
  <c r="M3" i="8"/>
  <c r="C27" i="1"/>
  <c r="D26" i="1" s="1"/>
  <c r="I31" i="1"/>
  <c r="I14" i="8" l="1"/>
  <c r="E27" i="7"/>
  <c r="L27" i="7"/>
  <c r="E21" i="7"/>
  <c r="L21" i="7"/>
  <c r="E18" i="7"/>
  <c r="L18" i="7"/>
  <c r="L11" i="7"/>
  <c r="E11" i="7"/>
  <c r="E24" i="7"/>
  <c r="L24" i="7"/>
  <c r="L10" i="7"/>
  <c r="E10" i="7"/>
  <c r="L20" i="7"/>
  <c r="E20" i="7"/>
  <c r="E7" i="7"/>
  <c r="L7" i="7"/>
  <c r="E6" i="7"/>
  <c r="L6" i="7"/>
  <c r="I46" i="1"/>
  <c r="E25" i="7"/>
  <c r="L25" i="7"/>
  <c r="L22" i="7"/>
  <c r="E22" i="7"/>
  <c r="L17" i="7"/>
  <c r="E17" i="7"/>
  <c r="E23" i="7"/>
  <c r="L23" i="7"/>
  <c r="L9" i="7"/>
  <c r="E9" i="7"/>
  <c r="L14" i="7"/>
  <c r="E14" i="7"/>
  <c r="E27" i="1"/>
  <c r="B10" i="10"/>
  <c r="F5" i="7"/>
  <c r="B13" i="10" s="1"/>
  <c r="M4" i="7"/>
  <c r="L26" i="7"/>
  <c r="E26" i="7"/>
  <c r="L19" i="7"/>
  <c r="E19" i="7"/>
  <c r="K31" i="1"/>
  <c r="C5" i="6"/>
  <c r="D20" i="1"/>
  <c r="D22" i="1"/>
  <c r="D19" i="1"/>
  <c r="J5" i="6"/>
  <c r="D18" i="1"/>
  <c r="I6" i="6"/>
  <c r="D17" i="1"/>
  <c r="D21" i="1"/>
  <c r="E13" i="7"/>
  <c r="L13" i="7"/>
  <c r="E12" i="7"/>
  <c r="L12" i="7"/>
  <c r="E5" i="7"/>
  <c r="L5" i="7"/>
  <c r="E15" i="7"/>
  <c r="L15" i="7"/>
  <c r="L16" i="7"/>
  <c r="E16" i="7"/>
  <c r="E8" i="7"/>
  <c r="L8" i="7"/>
  <c r="G26" i="1"/>
  <c r="B6" i="5"/>
  <c r="G27" i="1" l="1"/>
  <c r="C45" i="1"/>
  <c r="F18" i="1"/>
  <c r="F19" i="1"/>
  <c r="F17" i="1"/>
  <c r="J6" i="6"/>
  <c r="C6" i="6"/>
  <c r="F20" i="1"/>
  <c r="F22" i="1"/>
  <c r="F21" i="1"/>
  <c r="K46" i="1"/>
  <c r="K5" i="6"/>
  <c r="L5" i="6"/>
  <c r="B6" i="6"/>
  <c r="H5" i="6"/>
  <c r="E5" i="6"/>
  <c r="B3" i="11" s="1"/>
  <c r="D5" i="6"/>
  <c r="F26" i="1"/>
  <c r="B7" i="5"/>
  <c r="B8" i="5" s="1"/>
  <c r="B9" i="5" s="1"/>
  <c r="B10" i="5" s="1"/>
  <c r="I26" i="1"/>
  <c r="D27" i="1"/>
  <c r="I27" i="1" l="1"/>
  <c r="J26" i="1" s="1"/>
  <c r="M5" i="6"/>
  <c r="N5" i="6"/>
  <c r="O5" i="6" s="1"/>
  <c r="B11" i="5"/>
  <c r="C40" i="1"/>
  <c r="F27" i="1"/>
  <c r="E45" i="1"/>
  <c r="G5" i="6"/>
  <c r="F5" i="6"/>
  <c r="H15" i="8"/>
  <c r="C60" i="1"/>
  <c r="D6" i="6"/>
  <c r="B7" i="6"/>
  <c r="E6" i="6"/>
  <c r="B4" i="11" s="1"/>
  <c r="H6" i="6"/>
  <c r="H17" i="1"/>
  <c r="H21" i="1"/>
  <c r="H20" i="1"/>
  <c r="C7" i="6"/>
  <c r="H18" i="1"/>
  <c r="H22" i="1"/>
  <c r="H23" i="1"/>
  <c r="H19" i="1"/>
  <c r="I8" i="6"/>
  <c r="J7" i="6"/>
  <c r="L6" i="6"/>
  <c r="I7" i="6"/>
  <c r="K6" i="6"/>
  <c r="H26" i="1"/>
  <c r="E60" i="1" l="1"/>
  <c r="M6" i="6"/>
  <c r="N6" i="6"/>
  <c r="O6" i="6" s="1"/>
  <c r="H27" i="1"/>
  <c r="H16" i="8"/>
  <c r="F6" i="6"/>
  <c r="G6" i="6"/>
  <c r="D40" i="1"/>
  <c r="C41" i="1"/>
  <c r="L7" i="6"/>
  <c r="K7" i="6"/>
  <c r="H7" i="6"/>
  <c r="D7" i="6"/>
  <c r="E7" i="6"/>
  <c r="B5" i="11" s="1"/>
  <c r="B8" i="6"/>
  <c r="I15" i="8"/>
  <c r="I4" i="7" s="1"/>
  <c r="I16" i="8"/>
  <c r="I5" i="7" s="1"/>
  <c r="B12" i="5"/>
  <c r="E40" i="1"/>
  <c r="J22" i="1"/>
  <c r="I9" i="6"/>
  <c r="J20" i="1"/>
  <c r="J19" i="1"/>
  <c r="J21" i="1"/>
  <c r="C8" i="6"/>
  <c r="J18" i="1"/>
  <c r="J17" i="1"/>
  <c r="J8" i="6"/>
  <c r="J23" i="1"/>
  <c r="G7" i="6" l="1"/>
  <c r="F7" i="6"/>
  <c r="H17" i="8"/>
  <c r="J27" i="1"/>
  <c r="E41" i="1"/>
  <c r="F40" i="1" s="1"/>
  <c r="B13" i="5"/>
  <c r="G40" i="1"/>
  <c r="H8" i="6"/>
  <c r="D8" i="6"/>
  <c r="B9" i="6"/>
  <c r="E8" i="6"/>
  <c r="B6" i="11" s="1"/>
  <c r="B5" i="7"/>
  <c r="G60" i="1"/>
  <c r="K8" i="6"/>
  <c r="L8" i="6"/>
  <c r="M7" i="6"/>
  <c r="N7" i="6"/>
  <c r="O7" i="6" s="1"/>
  <c r="I10" i="6"/>
  <c r="D35" i="1"/>
  <c r="J9" i="6"/>
  <c r="D33" i="1"/>
  <c r="D32" i="1"/>
  <c r="D34" i="1"/>
  <c r="C9" i="6"/>
  <c r="D36" i="1"/>
  <c r="D37" i="1"/>
  <c r="D31" i="1"/>
  <c r="B4" i="7"/>
  <c r="H18" i="8" l="1"/>
  <c r="F8" i="6"/>
  <c r="G8" i="6"/>
  <c r="M8" i="6"/>
  <c r="N8" i="6"/>
  <c r="O8" i="6" s="1"/>
  <c r="E9" i="6"/>
  <c r="B7" i="11" s="1"/>
  <c r="B10" i="6"/>
  <c r="H9" i="6"/>
  <c r="D9" i="6"/>
  <c r="K9" i="6"/>
  <c r="L9" i="6"/>
  <c r="G41" i="1"/>
  <c r="H40" i="1" s="1"/>
  <c r="I60" i="1"/>
  <c r="I11" i="6"/>
  <c r="F32" i="1"/>
  <c r="F34" i="1"/>
  <c r="J10" i="6"/>
  <c r="F36" i="1"/>
  <c r="F37" i="1"/>
  <c r="C10" i="6"/>
  <c r="F35" i="1"/>
  <c r="F33" i="1"/>
  <c r="F31" i="1"/>
  <c r="D41" i="1"/>
  <c r="B14" i="5"/>
  <c r="I40" i="1"/>
  <c r="I17" i="8"/>
  <c r="I6" i="7" s="1"/>
  <c r="I18" i="8"/>
  <c r="I7" i="7" s="1"/>
  <c r="F41" i="1" l="1"/>
  <c r="B15" i="5"/>
  <c r="B16" i="5" s="1"/>
  <c r="B17" i="5" s="1"/>
  <c r="K40" i="1"/>
  <c r="K10" i="6"/>
  <c r="L10" i="6"/>
  <c r="B7" i="7"/>
  <c r="K60" i="1"/>
  <c r="M9" i="6"/>
  <c r="N9" i="6"/>
  <c r="O9" i="6" s="1"/>
  <c r="I41" i="1"/>
  <c r="J40" i="1" s="1"/>
  <c r="J11" i="6"/>
  <c r="H35" i="1"/>
  <c r="C11" i="6"/>
  <c r="H32" i="1"/>
  <c r="H33" i="1"/>
  <c r="H34" i="1"/>
  <c r="H36" i="1"/>
  <c r="I12" i="6"/>
  <c r="H37" i="1"/>
  <c r="H31" i="1"/>
  <c r="F9" i="6"/>
  <c r="H19" i="8"/>
  <c r="G9" i="6"/>
  <c r="B11" i="6"/>
  <c r="H10" i="6"/>
  <c r="D10" i="6"/>
  <c r="E10" i="6"/>
  <c r="B8" i="11" s="1"/>
  <c r="B6" i="7"/>
  <c r="B12" i="6" l="1"/>
  <c r="H11" i="6"/>
  <c r="E11" i="6"/>
  <c r="B9" i="11" s="1"/>
  <c r="D11" i="6"/>
  <c r="M10" i="6"/>
  <c r="N10" i="6"/>
  <c r="O10" i="6" s="1"/>
  <c r="J12" i="6"/>
  <c r="J36" i="1"/>
  <c r="C12" i="6"/>
  <c r="J33" i="1"/>
  <c r="J37" i="1"/>
  <c r="J34" i="1"/>
  <c r="J32" i="1"/>
  <c r="J35" i="1"/>
  <c r="I13" i="6"/>
  <c r="J31" i="1"/>
  <c r="C74" i="1"/>
  <c r="K41" i="1"/>
  <c r="H41" i="1"/>
  <c r="H20" i="8"/>
  <c r="G10" i="6"/>
  <c r="F10" i="6"/>
  <c r="I19" i="8"/>
  <c r="I8" i="7" s="1"/>
  <c r="K11" i="6"/>
  <c r="L11" i="6"/>
  <c r="C54" i="1"/>
  <c r="B18" i="5"/>
  <c r="D54" i="1" l="1"/>
  <c r="C55" i="1"/>
  <c r="I9" i="7"/>
  <c r="K12" i="6"/>
  <c r="L12" i="6"/>
  <c r="L33" i="1"/>
  <c r="L37" i="1"/>
  <c r="L34" i="1"/>
  <c r="L35" i="1"/>
  <c r="L36" i="1"/>
  <c r="I14" i="6"/>
  <c r="J13" i="6"/>
  <c r="C13" i="6"/>
  <c r="L32" i="1"/>
  <c r="L31" i="1"/>
  <c r="E74" i="1"/>
  <c r="D12" i="6"/>
  <c r="H12" i="6"/>
  <c r="B13" i="6"/>
  <c r="E12" i="6"/>
  <c r="B10" i="11" s="1"/>
  <c r="M11" i="6"/>
  <c r="N11" i="6"/>
  <c r="O11" i="6" s="1"/>
  <c r="E54" i="1"/>
  <c r="G2" i="5"/>
  <c r="L40" i="1"/>
  <c r="J41" i="1"/>
  <c r="H21" i="8"/>
  <c r="F11" i="6"/>
  <c r="G11" i="6"/>
  <c r="B8" i="7"/>
  <c r="B14" i="6" l="1"/>
  <c r="D13" i="6"/>
  <c r="H13" i="6"/>
  <c r="E13" i="6"/>
  <c r="B11" i="11" s="1"/>
  <c r="B9" i="7"/>
  <c r="I15" i="6"/>
  <c r="C14" i="6"/>
  <c r="D51" i="1"/>
  <c r="J14" i="6"/>
  <c r="D49" i="1"/>
  <c r="D47" i="1"/>
  <c r="D48" i="1"/>
  <c r="D50" i="1"/>
  <c r="D55" i="1"/>
  <c r="D46" i="1"/>
  <c r="D45" i="1"/>
  <c r="I21" i="8"/>
  <c r="I10" i="7" s="1"/>
  <c r="L13" i="6"/>
  <c r="K13" i="6"/>
  <c r="N12" i="6"/>
  <c r="O12" i="6" s="1"/>
  <c r="M12" i="6"/>
  <c r="G3" i="5"/>
  <c r="G54" i="1"/>
  <c r="G74" i="1"/>
  <c r="F54" i="1"/>
  <c r="E55" i="1"/>
  <c r="F12" i="6"/>
  <c r="H22" i="8"/>
  <c r="G12" i="6"/>
  <c r="L41" i="1"/>
  <c r="I16" i="6" l="1"/>
  <c r="F49" i="1"/>
  <c r="C15" i="6"/>
  <c r="F48" i="1"/>
  <c r="F50" i="1"/>
  <c r="J15" i="6"/>
  <c r="F47" i="1"/>
  <c r="F51" i="1"/>
  <c r="F46" i="1"/>
  <c r="F45" i="1"/>
  <c r="M13" i="6"/>
  <c r="N13" i="6"/>
  <c r="O13" i="6" s="1"/>
  <c r="I74" i="1"/>
  <c r="B15" i="6"/>
  <c r="D14" i="6"/>
  <c r="H14" i="6"/>
  <c r="E14" i="6"/>
  <c r="B12" i="11" s="1"/>
  <c r="I22" i="8"/>
  <c r="I11" i="7" s="1"/>
  <c r="G55" i="1"/>
  <c r="G13" i="6"/>
  <c r="H23" i="8"/>
  <c r="I23" i="8" s="1"/>
  <c r="I12" i="7" s="1"/>
  <c r="F13" i="6"/>
  <c r="B12" i="7" s="1"/>
  <c r="B10" i="7"/>
  <c r="G4" i="5"/>
  <c r="I54" i="1"/>
  <c r="K14" i="6"/>
  <c r="L14" i="6"/>
  <c r="N14" i="6" l="1"/>
  <c r="O14" i="6" s="1"/>
  <c r="M14" i="6"/>
  <c r="H15" i="6"/>
  <c r="D15" i="6"/>
  <c r="B16" i="6"/>
  <c r="E15" i="6"/>
  <c r="B13" i="11" s="1"/>
  <c r="L15" i="6"/>
  <c r="K15" i="6"/>
  <c r="I55" i="1"/>
  <c r="F55" i="1"/>
  <c r="H50" i="1"/>
  <c r="H52" i="1"/>
  <c r="H47" i="1"/>
  <c r="H49" i="1"/>
  <c r="C16" i="6"/>
  <c r="H48" i="1"/>
  <c r="H51" i="1"/>
  <c r="I17" i="6"/>
  <c r="J16" i="6"/>
  <c r="H46" i="1"/>
  <c r="F14" i="6"/>
  <c r="G14" i="6"/>
  <c r="H24" i="8"/>
  <c r="I24" i="8" s="1"/>
  <c r="I13" i="7" s="1"/>
  <c r="K74" i="1"/>
  <c r="G5" i="5"/>
  <c r="G6" i="5" s="1"/>
  <c r="G7" i="5" s="1"/>
  <c r="K54" i="1"/>
  <c r="H54" i="1"/>
  <c r="B11" i="7"/>
  <c r="L16" i="6" l="1"/>
  <c r="K16" i="6"/>
  <c r="H16" i="6"/>
  <c r="E16" i="6"/>
  <c r="B14" i="11" s="1"/>
  <c r="D16" i="6"/>
  <c r="B17" i="6"/>
  <c r="M15" i="6"/>
  <c r="N15" i="6"/>
  <c r="O15" i="6" s="1"/>
  <c r="G15" i="6"/>
  <c r="H25" i="8"/>
  <c r="I25" i="8" s="1"/>
  <c r="F15" i="6"/>
  <c r="I14" i="7"/>
  <c r="K55" i="1"/>
  <c r="B13" i="7"/>
  <c r="J48" i="1"/>
  <c r="J47" i="1"/>
  <c r="J49" i="1"/>
  <c r="J52" i="1"/>
  <c r="J17" i="6"/>
  <c r="J51" i="1"/>
  <c r="I18" i="6"/>
  <c r="C17" i="6"/>
  <c r="J46" i="1"/>
  <c r="C68" i="1"/>
  <c r="G8" i="5"/>
  <c r="H55" i="1"/>
  <c r="J54" i="1"/>
  <c r="B14" i="7" l="1"/>
  <c r="J55" i="1"/>
  <c r="M16" i="6"/>
  <c r="N16" i="6"/>
  <c r="O16" i="6" s="1"/>
  <c r="E68" i="1"/>
  <c r="G9" i="5"/>
  <c r="C69" i="1"/>
  <c r="D68" i="1" s="1"/>
  <c r="L17" i="6"/>
  <c r="K17" i="6"/>
  <c r="I19" i="6"/>
  <c r="L51" i="1"/>
  <c r="L52" i="1"/>
  <c r="C18" i="6"/>
  <c r="J18" i="6"/>
  <c r="L48" i="1"/>
  <c r="L47" i="1"/>
  <c r="L49" i="1"/>
  <c r="L46" i="1"/>
  <c r="B18" i="6"/>
  <c r="E17" i="6"/>
  <c r="B15" i="11" s="1"/>
  <c r="D17" i="6"/>
  <c r="H17" i="6"/>
  <c r="L54" i="1"/>
  <c r="F16" i="6"/>
  <c r="G16" i="6"/>
  <c r="H26" i="8"/>
  <c r="I26" i="8" s="1"/>
  <c r="I15" i="7" s="1"/>
  <c r="B15" i="7" l="1"/>
  <c r="E69" i="1"/>
  <c r="L55" i="1"/>
  <c r="L18" i="6"/>
  <c r="K18" i="6"/>
  <c r="D62" i="1"/>
  <c r="I20" i="6"/>
  <c r="D65" i="1"/>
  <c r="D61" i="1"/>
  <c r="C19" i="6"/>
  <c r="D66" i="1"/>
  <c r="D63" i="1"/>
  <c r="J19" i="6"/>
  <c r="D60" i="1"/>
  <c r="F17" i="6"/>
  <c r="B16" i="7" s="1"/>
  <c r="I16" i="7"/>
  <c r="H27" i="8"/>
  <c r="I27" i="8" s="1"/>
  <c r="G17" i="6"/>
  <c r="H18" i="6"/>
  <c r="B19" i="6"/>
  <c r="E18" i="6"/>
  <c r="B16" i="11" s="1"/>
  <c r="D18" i="6"/>
  <c r="M17" i="6"/>
  <c r="N17" i="6"/>
  <c r="O17" i="6" s="1"/>
  <c r="G10" i="5"/>
  <c r="G68" i="1"/>
  <c r="G69" i="1" l="1"/>
  <c r="G18" i="6"/>
  <c r="H28" i="8"/>
  <c r="I28" i="8" s="1"/>
  <c r="I17" i="7" s="1"/>
  <c r="F18" i="6"/>
  <c r="D69" i="1"/>
  <c r="H19" i="6"/>
  <c r="B20" i="6"/>
  <c r="E19" i="6"/>
  <c r="B17" i="11" s="1"/>
  <c r="D19" i="6"/>
  <c r="J20" i="6"/>
  <c r="I21" i="6"/>
  <c r="F63" i="1"/>
  <c r="F66" i="1"/>
  <c r="F65" i="1"/>
  <c r="F61" i="1"/>
  <c r="C20" i="6"/>
  <c r="F62" i="1"/>
  <c r="F60" i="1"/>
  <c r="I68" i="1"/>
  <c r="G11" i="5"/>
  <c r="L19" i="6"/>
  <c r="K19" i="6"/>
  <c r="M18" i="6"/>
  <c r="N18" i="6"/>
  <c r="O18" i="6" s="1"/>
  <c r="F68" i="1"/>
  <c r="F69" i="1" l="1"/>
  <c r="B17" i="7"/>
  <c r="M19" i="6"/>
  <c r="N19" i="6"/>
  <c r="O19" i="6" s="1"/>
  <c r="K20" i="6"/>
  <c r="L20" i="6"/>
  <c r="H29" i="8"/>
  <c r="I29" i="8" s="1"/>
  <c r="I18" i="7" s="1"/>
  <c r="F19" i="6"/>
  <c r="B18" i="7" s="1"/>
  <c r="G19" i="6"/>
  <c r="G12" i="5"/>
  <c r="G13" i="5" s="1"/>
  <c r="G14" i="5" s="1"/>
  <c r="K68" i="1"/>
  <c r="H20" i="6"/>
  <c r="E20" i="6"/>
  <c r="B18" i="11" s="1"/>
  <c r="D20" i="6"/>
  <c r="B21" i="6"/>
  <c r="I22" i="6"/>
  <c r="H61" i="1"/>
  <c r="J21" i="6"/>
  <c r="H66" i="1"/>
  <c r="H65" i="1"/>
  <c r="H62" i="1"/>
  <c r="H63" i="1"/>
  <c r="C21" i="6"/>
  <c r="H60" i="1"/>
  <c r="I69" i="1"/>
  <c r="J68" i="1" s="1"/>
  <c r="H68" i="1"/>
  <c r="N20" i="6" l="1"/>
  <c r="O20" i="6" s="1"/>
  <c r="M20" i="6"/>
  <c r="H21" i="6"/>
  <c r="B22" i="6"/>
  <c r="E21" i="6"/>
  <c r="B19" i="11" s="1"/>
  <c r="D21" i="6"/>
  <c r="K69" i="1"/>
  <c r="H69" i="1"/>
  <c r="J66" i="1"/>
  <c r="J62" i="1"/>
  <c r="J63" i="1"/>
  <c r="C22" i="6"/>
  <c r="J22" i="6"/>
  <c r="J61" i="1"/>
  <c r="I23" i="6"/>
  <c r="J65" i="1"/>
  <c r="J60" i="1"/>
  <c r="K21" i="6"/>
  <c r="L21" i="6"/>
  <c r="F20" i="6"/>
  <c r="G20" i="6"/>
  <c r="H30" i="8"/>
  <c r="I30" i="8" s="1"/>
  <c r="I19" i="7" s="1"/>
  <c r="G15" i="5"/>
  <c r="C82" i="1"/>
  <c r="C23" i="6" l="1"/>
  <c r="L63" i="1"/>
  <c r="L65" i="1"/>
  <c r="L61" i="1"/>
  <c r="I24" i="6"/>
  <c r="L62" i="1"/>
  <c r="J23" i="6"/>
  <c r="L64" i="1"/>
  <c r="L66" i="1"/>
  <c r="L60" i="1"/>
  <c r="M21" i="6"/>
  <c r="N21" i="6"/>
  <c r="O21" i="6" s="1"/>
  <c r="L68" i="1"/>
  <c r="C83" i="1"/>
  <c r="J69" i="1"/>
  <c r="K22" i="6"/>
  <c r="L22" i="6"/>
  <c r="H31" i="8"/>
  <c r="I31" i="8" s="1"/>
  <c r="I20" i="7" s="1"/>
  <c r="F21" i="6"/>
  <c r="G21" i="6"/>
  <c r="E82" i="1"/>
  <c r="G16" i="5"/>
  <c r="B19" i="7"/>
  <c r="H22" i="6"/>
  <c r="D22" i="6"/>
  <c r="B23" i="6"/>
  <c r="E22" i="6"/>
  <c r="B20" i="11" s="1"/>
  <c r="B20" i="7" l="1"/>
  <c r="J24" i="6"/>
  <c r="D75" i="1"/>
  <c r="D77" i="1"/>
  <c r="D76" i="1"/>
  <c r="D79" i="1"/>
  <c r="C24" i="6"/>
  <c r="D83" i="1"/>
  <c r="D80" i="1"/>
  <c r="I25" i="6"/>
  <c r="D74" i="1"/>
  <c r="F22" i="6"/>
  <c r="B21" i="7" s="1"/>
  <c r="G22" i="6"/>
  <c r="H32" i="8"/>
  <c r="I32" i="8" s="1"/>
  <c r="I21" i="7" s="1"/>
  <c r="E83" i="1"/>
  <c r="K23" i="6"/>
  <c r="L23" i="6"/>
  <c r="D82" i="1"/>
  <c r="L69" i="1"/>
  <c r="G17" i="5"/>
  <c r="G82" i="1"/>
  <c r="M22" i="6"/>
  <c r="N22" i="6"/>
  <c r="O22" i="6" s="1"/>
  <c r="D23" i="6"/>
  <c r="E23" i="6"/>
  <c r="B21" i="11" s="1"/>
  <c r="H23" i="6"/>
  <c r="B24" i="6"/>
  <c r="I26" i="6" l="1"/>
  <c r="J25" i="6"/>
  <c r="C25" i="6"/>
  <c r="F78" i="1"/>
  <c r="F79" i="1"/>
  <c r="F75" i="1"/>
  <c r="F76" i="1"/>
  <c r="F77" i="1"/>
  <c r="F80" i="1"/>
  <c r="F74" i="1"/>
  <c r="F82" i="1"/>
  <c r="G83" i="1"/>
  <c r="H82" i="1" s="1"/>
  <c r="B25" i="6"/>
  <c r="H24" i="6"/>
  <c r="D24" i="6"/>
  <c r="E24" i="6"/>
  <c r="B22" i="11" s="1"/>
  <c r="H33" i="8"/>
  <c r="I33" i="8" s="1"/>
  <c r="I22" i="7" s="1"/>
  <c r="F23" i="6"/>
  <c r="B22" i="7" s="1"/>
  <c r="G23" i="6"/>
  <c r="G18" i="5"/>
  <c r="K82" i="1" s="1"/>
  <c r="I82" i="1"/>
  <c r="N23" i="6"/>
  <c r="O23" i="6" s="1"/>
  <c r="M23" i="6"/>
  <c r="K24" i="6"/>
  <c r="L24" i="6"/>
  <c r="F24" i="6" l="1"/>
  <c r="H34" i="8"/>
  <c r="I34" i="8" s="1"/>
  <c r="G24" i="6"/>
  <c r="I23" i="7"/>
  <c r="H25" i="6"/>
  <c r="E25" i="6"/>
  <c r="B23" i="11" s="1"/>
  <c r="B26" i="6"/>
  <c r="D25" i="6"/>
  <c r="K83" i="1"/>
  <c r="L25" i="6"/>
  <c r="K25" i="6"/>
  <c r="I83" i="1"/>
  <c r="M24" i="6"/>
  <c r="N24" i="6"/>
  <c r="O24" i="6" s="1"/>
  <c r="F83" i="1"/>
  <c r="H76" i="1"/>
  <c r="I27" i="6"/>
  <c r="H75" i="1"/>
  <c r="J26" i="6"/>
  <c r="H78" i="1"/>
  <c r="H77" i="1"/>
  <c r="H80" i="1"/>
  <c r="C26" i="6"/>
  <c r="H79" i="1"/>
  <c r="H74" i="1"/>
  <c r="M25" i="6" l="1"/>
  <c r="N25" i="6"/>
  <c r="O25" i="6" s="1"/>
  <c r="F25" i="6"/>
  <c r="H35" i="8"/>
  <c r="I35" i="8" s="1"/>
  <c r="I24" i="7" s="1"/>
  <c r="G25" i="6"/>
  <c r="H83" i="1"/>
  <c r="J78" i="1"/>
  <c r="J77" i="1"/>
  <c r="J75" i="1"/>
  <c r="J76" i="1"/>
  <c r="J80" i="1"/>
  <c r="J79" i="1"/>
  <c r="J27" i="6"/>
  <c r="C27" i="6"/>
  <c r="I28" i="6"/>
  <c r="J74" i="1"/>
  <c r="L75" i="1"/>
  <c r="G4" i="1"/>
  <c r="C28" i="6"/>
  <c r="L76" i="1"/>
  <c r="L79" i="1"/>
  <c r="L80" i="1"/>
  <c r="L78" i="1"/>
  <c r="J28" i="6"/>
  <c r="L77" i="1"/>
  <c r="L74" i="1"/>
  <c r="H26" i="6"/>
  <c r="B27" i="6"/>
  <c r="D26" i="6"/>
  <c r="E26" i="6"/>
  <c r="B24" i="11" s="1"/>
  <c r="L26" i="6"/>
  <c r="K26" i="6"/>
  <c r="J82" i="1"/>
  <c r="L82" i="1"/>
  <c r="B23" i="7"/>
  <c r="I2" i="1" l="1"/>
  <c r="I4" i="1" s="1"/>
  <c r="G6" i="1"/>
  <c r="B2" i="10"/>
  <c r="B4" i="10" s="1"/>
  <c r="H2" i="1"/>
  <c r="B24" i="7"/>
  <c r="K27" i="6"/>
  <c r="L27" i="6"/>
  <c r="B29" i="6"/>
  <c r="H28" i="6"/>
  <c r="L83" i="1"/>
  <c r="H27" i="6"/>
  <c r="D27" i="6"/>
  <c r="B28" i="6"/>
  <c r="E28" i="6" s="1"/>
  <c r="B26" i="11" s="1"/>
  <c r="E27" i="6"/>
  <c r="B25" i="11" s="1"/>
  <c r="H36" i="8"/>
  <c r="I36" i="8" s="1"/>
  <c r="I25" i="7" s="1"/>
  <c r="F26" i="6"/>
  <c r="B25" i="7" s="1"/>
  <c r="G26" i="6"/>
  <c r="N26" i="6"/>
  <c r="O26" i="6" s="1"/>
  <c r="M26" i="6"/>
  <c r="K28" i="6"/>
  <c r="L28" i="6"/>
  <c r="J83" i="1"/>
  <c r="I6" i="1" l="1"/>
  <c r="H6" i="1"/>
  <c r="H4" i="1"/>
  <c r="M28" i="6"/>
  <c r="N28" i="6"/>
  <c r="O28" i="6" s="1"/>
  <c r="D28" i="6"/>
  <c r="E29" i="6"/>
  <c r="D29" i="6"/>
  <c r="B8" i="10"/>
  <c r="B6" i="10"/>
  <c r="B15" i="10"/>
  <c r="F27" i="6"/>
  <c r="G27" i="6"/>
  <c r="H37" i="8"/>
  <c r="I37" i="8" s="1"/>
  <c r="I26" i="7" s="1"/>
  <c r="N27" i="6"/>
  <c r="O27" i="6" s="1"/>
  <c r="M27" i="6"/>
  <c r="G28" i="6" l="1"/>
  <c r="H38" i="8"/>
  <c r="F28" i="6"/>
  <c r="B26" i="7"/>
  <c r="F29" i="6"/>
  <c r="G29" i="6"/>
  <c r="I38" i="8" l="1"/>
  <c r="I27" i="7" s="1"/>
  <c r="J3" i="8"/>
  <c r="B27" i="7" l="1"/>
  <c r="N3" i="8"/>
  <c r="N6" i="8" s="1"/>
  <c r="B9" i="10"/>
  <c r="J4" i="7"/>
  <c r="C5" i="7"/>
  <c r="N4" i="7" l="1"/>
  <c r="N5" i="7" s="1"/>
  <c r="B11" i="10"/>
  <c r="B12" i="10"/>
  <c r="G5" i="7"/>
  <c r="G6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Nasmis</author>
  </authors>
  <commentList>
    <comment ref="Q5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61"/>
          </rPr>
          <t>Nasmis:</t>
        </r>
        <r>
          <rPr>
            <sz val="9"/>
            <color indexed="81"/>
            <rFont val="Tahoma"/>
            <family val="2"/>
            <charset val="161"/>
          </rPr>
          <t xml:space="preserve">
ΕΊΝΑΙ Η ΤΙΜΗ ΑΝΟΙΓΜΑΤΟΣ ΚΑΘΩΣ ΚΑΙ ΕΜΕΙΣ ΑΓΟΡΑΣΑΜΕ ΜΕ ΤΙΜΕΣ ΑΝΟΙΓΜΑΤΟΣ ΚΑΙ ΕΠΡΕΠΕ ΝΑ ΤΟ ΣΥΚΓΙΡΝΟΥΜΕ ΣΤΗΝ ΙΔΙΑ ΒΑΣΗ</t>
        </r>
      </text>
    </comment>
    <comment ref="J10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161"/>
          </rPr>
          <t>Nasmis:</t>
        </r>
        <r>
          <rPr>
            <sz val="9"/>
            <color indexed="81"/>
            <rFont val="Tahoma"/>
            <family val="2"/>
            <charset val="161"/>
          </rPr>
          <t xml:space="preserve">
ΜΕΡΙΣΜΑ ΕΙΠΡΑΚΤΕΟ ΑΠΌ ΟΛΘ
</t>
        </r>
      </text>
    </comment>
    <comment ref="C12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161"/>
          </rPr>
          <t>Nasmis:</t>
        </r>
        <r>
          <rPr>
            <sz val="9"/>
            <color indexed="81"/>
            <rFont val="Tahoma"/>
            <family val="2"/>
            <charset val="161"/>
          </rPr>
          <t xml:space="preserve">
ΕΙΣΠΡΑΞΗ ΜΕΡΙΣΜΑΤΟΣ ΑΠΌ ΟΛΘ</t>
        </r>
      </text>
    </comment>
    <comment ref="J18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161"/>
          </rPr>
          <t>Nasmis:</t>
        </r>
        <r>
          <rPr>
            <sz val="9"/>
            <color indexed="81"/>
            <rFont val="Tahoma"/>
            <family val="2"/>
            <charset val="161"/>
          </rPr>
          <t xml:space="preserve">
ΜΕΡΙΣΜΑ ΕΙΣΠΡΑΚΤΕΟ ΑΠΌ ΑΡΑΙΓ</t>
        </r>
      </text>
    </comment>
    <comment ref="C21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161"/>
          </rPr>
          <t>Nasmis:</t>
        </r>
        <r>
          <rPr>
            <sz val="9"/>
            <color indexed="81"/>
            <rFont val="Tahoma"/>
            <family val="2"/>
            <charset val="161"/>
          </rPr>
          <t xml:space="preserve">
ΕΙΣΠΡΑΞΗ ΜΕΡΙΣΜΑΤΟΣ ΑΠΌ ΑΡΑΙΓ</t>
        </r>
      </text>
    </comment>
    <comment ref="J21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161"/>
          </rPr>
          <t>Nasmis:</t>
        </r>
        <r>
          <rPr>
            <sz val="9"/>
            <color indexed="81"/>
            <rFont val="Tahoma"/>
            <family val="2"/>
            <charset val="161"/>
          </rPr>
          <t xml:space="preserve">
ΜΕΡΙΣΜΑ ΕΙΣΠΡΑΚΤΕΟ ΑΠΌ ΟΤΟΕΛ</t>
        </r>
      </text>
    </comment>
    <comment ref="C25" authorId="0" shapeId="0" xr:uid="{00000000-0006-0000-0300-000007000000}">
      <text>
        <r>
          <rPr>
            <b/>
            <sz val="9"/>
            <color indexed="81"/>
            <rFont val="Tahoma"/>
            <family val="2"/>
            <charset val="161"/>
          </rPr>
          <t>Nasmis:</t>
        </r>
        <r>
          <rPr>
            <sz val="9"/>
            <color indexed="81"/>
            <rFont val="Tahoma"/>
            <family val="2"/>
            <charset val="161"/>
          </rPr>
          <t xml:space="preserve">
ΕΙΣΠΡΑΞΗ ΜΕΡΙΣΜΑΤΟΣ ΑΠΌ ΟΤΟΕΛ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Nasmis</author>
  </authors>
  <commentList>
    <comment ref="A2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161"/>
          </rPr>
          <t>Nasmis:</t>
        </r>
        <r>
          <rPr>
            <sz val="9"/>
            <color indexed="81"/>
            <rFont val="Tahoma"/>
            <family val="2"/>
            <charset val="161"/>
          </rPr>
          <t xml:space="preserve">
ΠΡΙΝ ΑΝΟΙΞΕΙ ΣΤΙΣ 27/4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Nasmis</author>
  </authors>
  <commentList>
    <comment ref="K5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161"/>
          </rPr>
          <t>Nasmis:</t>
        </r>
        <r>
          <rPr>
            <sz val="9"/>
            <color indexed="81"/>
            <rFont val="Tahoma"/>
            <family val="2"/>
            <charset val="161"/>
          </rPr>
          <t xml:space="preserve">
ΤΗΝ ΕΠΟΜΕΝΗ ΜΕΡΑ ΕΠΕΣΕ 2,27%.</t>
        </r>
      </text>
    </comment>
    <comment ref="K6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161"/>
          </rPr>
          <t>Nasmis:</t>
        </r>
        <r>
          <rPr>
            <sz val="9"/>
            <color indexed="81"/>
            <rFont val="Tahoma"/>
            <family val="2"/>
            <charset val="161"/>
          </rPr>
          <t xml:space="preserve">
Η MOODY'S ΥΠΟΒΑΘΜΙΣΕ ΤΗΝ ΕΛΛΑΔΑ</t>
        </r>
      </text>
    </comment>
    <comment ref="K11" authorId="0" shapeId="0" xr:uid="{00000000-0006-0000-0800-000003000000}">
      <text>
        <r>
          <rPr>
            <b/>
            <sz val="9"/>
            <color indexed="81"/>
            <rFont val="Tahoma"/>
            <family val="2"/>
            <charset val="161"/>
          </rPr>
          <t>Nasmis:</t>
        </r>
        <r>
          <rPr>
            <sz val="9"/>
            <color indexed="81"/>
            <rFont val="Tahoma"/>
            <family val="2"/>
            <charset val="161"/>
          </rPr>
          <t xml:space="preserve">
Έπεσε 9,5%</t>
        </r>
      </text>
    </comment>
    <comment ref="H15" authorId="0" shapeId="0" xr:uid="{00000000-0006-0000-0800-000004000000}">
      <text>
        <r>
          <rPr>
            <b/>
            <sz val="9"/>
            <color indexed="81"/>
            <rFont val="Tahoma"/>
            <family val="2"/>
            <charset val="161"/>
          </rPr>
          <t>Nasmis:</t>
        </r>
        <r>
          <rPr>
            <sz val="9"/>
            <color indexed="81"/>
            <rFont val="Tahoma"/>
            <family val="2"/>
            <charset val="161"/>
          </rPr>
          <t xml:space="preserve">
ΜΕΤΑ ΑΠΌ ΦΟΡΟΥΣ</t>
        </r>
      </text>
    </comment>
    <comment ref="K15" authorId="0" shapeId="0" xr:uid="{00000000-0006-0000-0800-000005000000}">
      <text>
        <r>
          <rPr>
            <b/>
            <sz val="9"/>
            <color indexed="81"/>
            <rFont val="Tahoma"/>
            <family val="2"/>
            <charset val="161"/>
          </rPr>
          <t>Nasmis:</t>
        </r>
        <r>
          <rPr>
            <sz val="9"/>
            <color indexed="81"/>
            <rFont val="Tahoma"/>
            <family val="2"/>
            <charset val="161"/>
          </rPr>
          <t xml:space="preserve">
ΕΙΣΟΔΗΜΑΤΙΚΑ ΠΕΡΝΑΤΕ ΣΤΙΣ 5/5. ΠΡΕΠΕΙ ΝΑ ΤΟ ΒΑΛΩ ΣΤΟ ΚΕΦΑΛΑΙΟ ΠΟΥ ΠΑΙΖΕΤΑΙ?
</t>
        </r>
      </text>
    </comment>
    <comment ref="H24" authorId="0" shapeId="0" xr:uid="{00000000-0006-0000-0800-000006000000}">
      <text>
        <r>
          <rPr>
            <b/>
            <sz val="9"/>
            <color indexed="81"/>
            <rFont val="Tahoma"/>
            <family val="2"/>
            <charset val="161"/>
          </rPr>
          <t>Nasmis:</t>
        </r>
        <r>
          <rPr>
            <sz val="9"/>
            <color indexed="81"/>
            <rFont val="Tahoma"/>
            <family val="2"/>
            <charset val="161"/>
          </rPr>
          <t xml:space="preserve">
ΜΕΤΑ ΑΠΌ ΦΟΡΟΥΣ</t>
        </r>
      </text>
    </comment>
    <comment ref="H30" authorId="0" shapeId="0" xr:uid="{00000000-0006-0000-0800-000007000000}">
      <text>
        <r>
          <rPr>
            <b/>
            <sz val="9"/>
            <color indexed="81"/>
            <rFont val="Tahoma"/>
            <family val="2"/>
            <charset val="161"/>
          </rPr>
          <t>Nasmis:</t>
        </r>
        <r>
          <rPr>
            <sz val="9"/>
            <color indexed="81"/>
            <rFont val="Tahoma"/>
            <family val="2"/>
            <charset val="161"/>
          </rPr>
          <t xml:space="preserve">
ΜΕΤΑ ΑΠΌ ΦΟΡΟΥΣ</t>
        </r>
      </text>
    </comment>
  </commentList>
</comments>
</file>

<file path=xl/sharedStrings.xml><?xml version="1.0" encoding="utf-8"?>
<sst xmlns="http://schemas.openxmlformats.org/spreadsheetml/2006/main" count="553" uniqueCount="179">
  <si>
    <t>1 ΕΒΔΟΜΑΔΑ</t>
  </si>
  <si>
    <t>ΔΕΔΟΜΕΝΑ</t>
  </si>
  <si>
    <t>2 ΕΒΔΟΜΑΔΑ</t>
  </si>
  <si>
    <t>3 ΕΒΔΟΜΑΔΑ</t>
  </si>
  <si>
    <t>4 ΕΒΔΟΜΑΔΑ</t>
  </si>
  <si>
    <t>5 ΕΒΔΟΜΑΔΑ</t>
  </si>
  <si>
    <t>ΑΡΧΙΚΗ ΣΥΣΤΑΣΗ ΧΑΡΤΟΦΥΛΑΚΙΟΥ</t>
  </si>
  <si>
    <t>ΜΕΤΟΧΗ</t>
  </si>
  <si>
    <t>ΣΤΑΘΜΙΣΗ</t>
  </si>
  <si>
    <t>ΤΙΜΗ ΑΓΟΡΑΣ</t>
  </si>
  <si>
    <t>ΚΟΜΜΑΤΙΑ</t>
  </si>
  <si>
    <t>ΑΡΑΙΓ</t>
  </si>
  <si>
    <t>ΠΛΑΙΣ</t>
  </si>
  <si>
    <t>ΟΛΘ</t>
  </si>
  <si>
    <t>ΕΕΕ</t>
  </si>
  <si>
    <t>ΤΙΤΚ</t>
  </si>
  <si>
    <t>ΜΛΣ</t>
  </si>
  <si>
    <t>ΜΕΤΡΗΤΑ</t>
  </si>
  <si>
    <t>ΑΞΙΑ</t>
  </si>
  <si>
    <t>ΣΥΝΟΛΟ</t>
  </si>
  <si>
    <t>ΜΠΕΛΑ</t>
  </si>
  <si>
    <t>ΕΙΔΟΣ ΣΥΝΑΛΛΑΓΗΣ</t>
  </si>
  <si>
    <t>ΤΙΜΗ</t>
  </si>
  <si>
    <t>ΗΜΕΡΟΜΗΝΙΑ / ΩΡΑ</t>
  </si>
  <si>
    <t>ΑΙΤΙΟΛΟΓΗΣΗ</t>
  </si>
  <si>
    <t xml:space="preserve">ΑΥΞΗΣΗ </t>
  </si>
  <si>
    <t>ΜΕΙΩΣΗ</t>
  </si>
  <si>
    <t>ΑΓΟΡΑ</t>
  </si>
  <si>
    <t>ΑΓΟΡΑ ΜΠΕΛΑ</t>
  </si>
  <si>
    <t>ΠΩΛΗΣΗ</t>
  </si>
  <si>
    <t>ΠΩΛΗΣΗ ΜΕΤΟΧΗΣ (ΑΠΟΔΟΗ 7%)</t>
  </si>
  <si>
    <t>ΑΥΞΗΣΗ</t>
  </si>
  <si>
    <t>ΠΩΛΗΣΗ ΑΡΑΙΓ</t>
  </si>
  <si>
    <t>ΥΨΗΛΗ ΠΤΩΣΗ ΠΕΡΑΣΕ ΤΟ ΟΡΙΟ ΤΟΥ 5%( -5,12%) (θέλαμε επιθετική μετοχή και ήταν σε χαμηλό εβδομάδας) ο Τσίπρας έβγαλε το Βαρουφάκη από τις διαπραγματεύσεις και έδωσε τόνοση στην αγορά, ενώ η μπέλα είναι επιθετική</t>
  </si>
  <si>
    <t>ΗΜΕΡΟΜΗΙΑ</t>
  </si>
  <si>
    <t>ΑΡΧΙΚΟ</t>
  </si>
  <si>
    <t>ΜΕΤΡΗΤΑ (ΜΕ ΤΟΚΟΥΣ)</t>
  </si>
  <si>
    <t>ΑΡΧΙΚΗ ΑΞΙΑ</t>
  </si>
  <si>
    <t>ΑΠΟΔΟΣΗ</t>
  </si>
  <si>
    <t>ΗΜΕΡΟΜΗΝΙΑ</t>
  </si>
  <si>
    <t>SHARP RATIO</t>
  </si>
  <si>
    <t>ΡΥΘΜΟΣ ΜΕΤΑΒΟΛΗΣ</t>
  </si>
  <si>
    <t>ΟΤΟΕΛ</t>
  </si>
  <si>
    <t>ΠΩΛΗΣΗ ΚΑΘΩΣ ΕΙΧΕ ΠΤΩΤΙΚΗ ΠΟΡΕΙΑ, ΕΊΝΑΙ ΕΠΙΘΕΤΙΚΗ ΚΑΙ ΤΗΝ ΕΠΟΜΕΝΗ ΒΔΟΜΑΔΑ ΑΝΑΜΕΝΕΤΑΙ ΑΠΟΠΛΗΡΩΜΗ ΕΝΤΟΚΩΝ</t>
  </si>
  <si>
    <t>ΕΙΧΕ ΠΤΩΣΗ 10% ΚΑΙ ΘΕΛΑΜΕ ΝΑ ΑΝΤΙΣΤΑΘΜΙΣΟΥΜΕ ΚΑΛΥΤΕΡΑ ΤΟ ΧΑΡΤΟΦΥΛΑΚΙΟ</t>
  </si>
  <si>
    <t>ΠΩΛΗΣΗ ΜΠΕΛΑ &amp; ΠΛΑΙΣ</t>
  </si>
  <si>
    <t>ΑΓΟΡΑ ΟΤΟΕΛ</t>
  </si>
  <si>
    <t>ΑΓΟΡΑ ΓΙΑ ΝΑ ΜΕΙΩΣΟΥΜΕ ΤΑ ΜΕΤΡΗΤΑ ΚΑΤΩ ΑΠΌ 30%</t>
  </si>
  <si>
    <t>ΑΓΟΡΑ ΜΛΣ ΟΛΘ</t>
  </si>
  <si>
    <t>ΡΥΘΜΟΣ ΜΕΤ.</t>
  </si>
  <si>
    <t>ΕΤΗΣΙΟΠΟΙΗΜΕΝΑ</t>
  </si>
  <si>
    <t>ΑΞΙΑ ΚΤΗΣΗΣ</t>
  </si>
  <si>
    <t>ΛΑΜΔΑ</t>
  </si>
  <si>
    <t>ΟΛΠ</t>
  </si>
  <si>
    <t>ΓΡΙΒ</t>
  </si>
  <si>
    <t>ΦΡΙΓΟ</t>
  </si>
  <si>
    <t>ΙΚΤΙΝ</t>
  </si>
  <si>
    <t>ΙΝΛΟΤ</t>
  </si>
  <si>
    <t>ΠΛΑΘ</t>
  </si>
  <si>
    <t>-</t>
  </si>
  <si>
    <t>ΑΞΙΑ ΑΝΟΙΓΜΑΤΟΣ</t>
  </si>
  <si>
    <t>ΑΞΙΑ ΚΛΕΙΣΙΜΑΤΟΣ</t>
  </si>
  <si>
    <t>ΗΜΕΡΗΣΙΕΣ ΑΠΟΔΟΣΕΙΣ ΣΥΝΟΛΙΚΟΥ ΚΕΦΑΛΑΙΟΥ</t>
  </si>
  <si>
    <t>ΗΜΕΡΗΣΙΕΣ ΑΠΟΔΟΣΕΙΣ ΚΕΦΑΛΑΙΟΥ ΠΟΥ ΔΙΑΠΡΑΓΜΑΤΕΥΕΤΑΙ - ΣΥΚΡΙΣΗ ΜΕ ΓΔ</t>
  </si>
  <si>
    <t>ΕΙΔΟΣ ΑΠΟΔΟΣΗΣ</t>
  </si>
  <si>
    <t>ΠΛΗΡΩΜΗ ΜΕΡΙΣΜΑΤΟΣ ΟΛΘ 1,755€ / ΜΕΤΟΧΗ ΓΙΑ ΤΙΣ ΜΕΤΟΧΕΣ ΠΟΥ ΕΙΧΑ 4/5</t>
  </si>
  <si>
    <t>ΜΕΤΟΧΗ / ΜΕΤΡΗΤΑ</t>
  </si>
  <si>
    <t>ΚΕΡΔΟΣ/ΖΗΜΙΑ</t>
  </si>
  <si>
    <t>ΣΥΝΟΛΙΚΟ SHARP RATIO</t>
  </si>
  <si>
    <t>ΧΑΡΤΟΦ.</t>
  </si>
  <si>
    <t>ΑΠΟΔΟΣΕΙΣ</t>
  </si>
  <si>
    <t>ΤΥΠΙΚΗ ΑΠΟΚΛΙΣΗ ΧΑΡΤΟΦΥΛΑΚΙΟΥ</t>
  </si>
  <si>
    <t>ΚΛΕΙΣΙΜΟ</t>
  </si>
  <si>
    <t>ΠΡΟΗΓΟΥΜΕΝΟ ΚΛΕΙΣΙΜΟ</t>
  </si>
  <si>
    <t>BENCHMARKING</t>
  </si>
  <si>
    <t>ΣΥΝΟΛΙΚΗ ΑΠΟΔΟΣΗ</t>
  </si>
  <si>
    <t>ΣΥΝΟΛΙΚΗ ΤΥΠ. ΑΠΟΚΛΙΣΗ</t>
  </si>
  <si>
    <t>BENCHMARK.</t>
  </si>
  <si>
    <t xml:space="preserve">ΕΙΧΕ ΜΕΓΑΛΗ ΣΥΣΧΕΤΙΣΗ ΜΕ ΜΛΣ ΤΙΤΝ </t>
  </si>
  <si>
    <t>ΓΙΑ ΝΑ ΠΑΡΟΥΜΕ ΤΟ ΜΕΡΙΣΜΑ ΚΑΙ ΝΑ ΞΕΦΟΡΤΩΘΟΥΜΕ ΤΟ ΠΛΑΙΣΙΟ</t>
  </si>
  <si>
    <t>ΠΩΛΗΣΗ ΠΛΑΙΣΙΟ</t>
  </si>
  <si>
    <t>ΑΓΟΡΑ ΑΡΑΙΓ</t>
  </si>
  <si>
    <t>ΜΕ ΕΠΙΤ. ΚΑΤ.</t>
  </si>
  <si>
    <t>ΠΩΛΗΣΗ ΜΠΕΛΑ</t>
  </si>
  <si>
    <t>ΜΕΡΙΣΜΑ</t>
  </si>
  <si>
    <t>ΜΕΡΙΣΜΑ ΕΙΣΠΡΑΚΤΕΟ ΣΤΙΣ 20/5 ΑΠΌ ΤΗΝ ΑΡΑΙΓ, 0,63€ ΑΝΑ ΜΕΤΟΧΗ</t>
  </si>
  <si>
    <t>ΕΙΧΕ ΒΓΑΛΕΙ ΑΠΟΔΟΣΗ 7% ΣΤΟ ΣΥΝΟΛΟ ΚΑΙ 3,89% ΗΜΕΡΑΣ</t>
  </si>
  <si>
    <t>ΘΑ ΔΩΣΕΙ ΜΕΡΙΣΜΑ ΚΑΙ ΕΙΧΕ ΠΕΣΕΙ 4,35%</t>
  </si>
  <si>
    <t>ΠΩΛΗΣΗ ΟΛΘ</t>
  </si>
  <si>
    <t>ΓΕΝΙΚΟΣ ΔΕΙΚΤΗΣ - ΑΠΑΙΤΕΙΤΑΙ ΓΙΑ ΤΟ BENCHMARKING</t>
  </si>
  <si>
    <t>ΕΙΣΠΡΑΞΗ ΜΕΡΙΣΜΑΤΟΣ ΑΡΑΙΓ</t>
  </si>
  <si>
    <t>ΜΕΡΙΣΜΑ ΕΙΣΠΡΑΚΤΕΟ ΣΤΙΣ 26/5 ΑΠΌ ΤΗΝ ΟΤΟΕΛ. 0,72€ ΑΝΑ ΜΕΤΟΧΗ</t>
  </si>
  <si>
    <t>ΠΛΑΙΣΙΟ</t>
  </si>
  <si>
    <t>ΜΕΣΗ ΕΜΠΟΡΕΥΣΙΜΟΤΗΤΑ</t>
  </si>
  <si>
    <t>ΜΕΣΗ ΑΠΟΔΟΣΗ</t>
  </si>
  <si>
    <t>ΤΥΠΙΚΗ ΑΠΟΚΛΙΣΗ</t>
  </si>
  <si>
    <t>ΑΠΛΗ ΑΠΟΔΟΣΗ</t>
  </si>
  <si>
    <t>ΤΙΤΑΝ</t>
  </si>
  <si>
    <t>ΟΓΚΟΣ ΣΥΝΑΛΛΑΓΩΝ</t>
  </si>
  <si>
    <t>Γ.Δ.</t>
  </si>
  <si>
    <t>ΤΥΠΙΚΗ ΑΠΟΚΛΙΣΗ Γ.Δ.</t>
  </si>
  <si>
    <t>ΣΥΝΟΛΙΚΗ ΤΥΠ. ΑΠΟΚΛ. Γ.Δ.</t>
  </si>
  <si>
    <t>Benchmarking</t>
  </si>
  <si>
    <t>ΑΠΟΤΕΛΕΣΜΑ:</t>
  </si>
  <si>
    <t>ΜΕΡΙΣΜΑ ΕΙΣΠΡΑΚΤΕΟ ΣΤΙΣ 7/5 ΑΠΌ ΤΟΝ ΟΛΘ. 1,755€/ΜΕΤΟΧΗ</t>
  </si>
  <si>
    <t>ΚΑΘΗΜΕΡΙΝΕΣ ΑΛΛΑΓΕΣ ΣΤΗ ΣΥΣΤΑΣΗ ΤΟΥ ΧΑΡΤΟΦΥΛΑΚΙΟΥ</t>
  </si>
  <si>
    <t>ΕΙΣΠΡΑΞΗ ΜΕΡΙΣΜΑΤΟΣ ΟΤΟΕΛ</t>
  </si>
  <si>
    <t>ΤΕΛΙΚΗ ΑΞΙΑ</t>
  </si>
  <si>
    <t>ΚΙΝΗΣΕΙΣ</t>
  </si>
  <si>
    <t>1η</t>
  </si>
  <si>
    <t>2η</t>
  </si>
  <si>
    <t>3η</t>
  </si>
  <si>
    <t>4η</t>
  </si>
  <si>
    <t>6η</t>
  </si>
  <si>
    <t>5η</t>
  </si>
  <si>
    <t>ΜΕΡΙΣΜΑ ΑΡΑΙΓ</t>
  </si>
  <si>
    <t>ΜΕΡΙΣΜΑ ΟΤΟΕΛ</t>
  </si>
  <si>
    <t>ΜΕΡΙΣΜΑ ΟΛΘ</t>
  </si>
  <si>
    <t>ΧΑΡΤΟΦΥΛΑΚΙΟ</t>
  </si>
  <si>
    <t>ΣΥΝΟΛΙΚΟ</t>
  </si>
  <si>
    <t>ΑΠΟΔΟΣΗ ΑΝΑ ΜΟΝΑΔΑ ΚΙΝΔΥΝΟΥ - ΣΥΓΚΡΙΣΗ ΜΕ ΓΕΝΙΚΟ ΔΕΙΚΤΗ</t>
  </si>
  <si>
    <t>ΔΙΑΦΟΡΑ</t>
  </si>
  <si>
    <t>ΣΥΚΡΙΣΗ ΜΕ risk free</t>
  </si>
  <si>
    <t>ΤΕΛΙΚΟ ΚΕΦΑΛΑΙΟ (29/5/2015)</t>
  </si>
  <si>
    <t>ΑΡΧΙΚΟ ΚΕΦΑΛΑΙΟ (27/4/2015)</t>
  </si>
  <si>
    <t>ΑΠΟΔΟΣΗ ΑΝΑ ΜΟΝΑΔΑ ΚΙΝΔΥΝΟΥ</t>
  </si>
  <si>
    <t>ΠΟΣΟΣΤΙΑΙΑ ΑΠΟΔΟΣΗ</t>
  </si>
  <si>
    <t>ΠΟΣΟΣΤΙΑΙΑ ΑΠΟΔΟΣΗ Γ.Δ.</t>
  </si>
  <si>
    <t>ΣΥΓΚΡΙΣΗ ΑΠΟΔΟΣΗΣ ΜΕ RISK FREE</t>
  </si>
  <si>
    <t>SHARP RATIO (ΜΕ RISK FREE)</t>
  </si>
  <si>
    <t>RISK FREE</t>
  </si>
  <si>
    <t>ΗΜΕΡΕΣ ΔΙΑΧΕΙΡΙΣΗΣ</t>
  </si>
  <si>
    <t>ΑΠΟΤΕΛΕΣΜΑ</t>
  </si>
  <si>
    <t>ΕΙΔΟΣ ΧΑΡΤΟΦΥΛΑΚΙΟΥ</t>
  </si>
  <si>
    <t>ΣΥΣΣΩΡΕΥΜΕΝΗ ΑΠΟΔΟΣΗ</t>
  </si>
  <si>
    <t>SHARP RATIO ΓΕΝΙΚΟΥ ΔΕΙΚΤΗ</t>
  </si>
  <si>
    <t>SHARP RATIO ΧΑΡΤΟΦΥΛΑΚΙΟΥ</t>
  </si>
  <si>
    <t>ΣΥΓΚΡΙΣΗ</t>
  </si>
  <si>
    <t>SHARP RATIO Γ.Δ.</t>
  </si>
  <si>
    <t>Στατιστικά παλινδρόμησης</t>
  </si>
  <si>
    <t>Πολλαπλό R</t>
  </si>
  <si>
    <t>R Τετράγωνο</t>
  </si>
  <si>
    <t>Προσαρμοσμένο R Τετράγωνο</t>
  </si>
  <si>
    <t>Τυπικό σφάλμα</t>
  </si>
  <si>
    <t>Μέγεθος δείγματος</t>
  </si>
  <si>
    <t>Τεταγμένη επί την αρχή</t>
  </si>
  <si>
    <t>Συντελεστές</t>
  </si>
  <si>
    <t>t</t>
  </si>
  <si>
    <t>τιμή-P</t>
  </si>
  <si>
    <t>ΠΑΛΙΝΔΡΟΜΗΣΗ</t>
  </si>
  <si>
    <t>Βήτα</t>
  </si>
  <si>
    <t>ΒΗΤΑ ΧΑΡΤΟΦΥΛΑΚΙΟΥ</t>
  </si>
  <si>
    <t>ΕΙΔΗΣΗ/ΓΕΓΟΝΟΣ</t>
  </si>
  <si>
    <t>Ανακοίνωση και πληροφορίες για την απόδοση μερίσματος</t>
  </si>
  <si>
    <t xml:space="preserve"> δημοσιοποίηση θετικών αποτελεσμάτων τριμήνου</t>
  </si>
  <si>
    <t>Ανακοίνωση μειωμένων αποτελεσμάτων τριμήνου</t>
  </si>
  <si>
    <t>Μεταβολή ονομαστικής αξίας μετοχής  και επιστροφή κεφαλαίου</t>
  </si>
  <si>
    <t>ΟΤΟΕΛ , ΑΡΑΙΓ</t>
  </si>
  <si>
    <t>Αλλαγή σύνθεσης διοικητικού συμβουλίου</t>
  </si>
  <si>
    <t>Αποεπένδυση απο κλάδο υαλουργίας</t>
  </si>
  <si>
    <t>Εντονη επικέντρωση μέσων στην  στάση πληρωμών που πραγματοποιεί ουσιαστικά το δημόσιο(ΓΡΙΒ του ενοικιάζει αρκετά ακίνητα)</t>
  </si>
  <si>
    <t>Απόκτηση ακινήτου και συμφωνία Leasing  επι αυτού με μεγάλη απόδοση</t>
  </si>
  <si>
    <t>Παράλληλη ανακοίνωση θετικών αποτελεσμάτων 9μήνου και  ημερομηνίας λειτουργίας νέου καταστήματος</t>
  </si>
  <si>
    <t>ΟΛΘ,ΟΛΠ,LAMDA</t>
  </si>
  <si>
    <t>Ριζική αλλαγή  σύνθεσης διοικητικού συμβουλίου</t>
  </si>
  <si>
    <t>Ανακοίνωση ιδιαίτερα θετικών αποτελεσμάτν τριμήνου</t>
  </si>
  <si>
    <t xml:space="preserve">Ανακοίνωση   "μπαράζ" επενδύσεων </t>
  </si>
  <si>
    <t>TITK</t>
  </si>
  <si>
    <t>Διάθεση μετοχών σε στελέχη της εταιρίας</t>
  </si>
  <si>
    <t>ΟΙΚΟΝΟΜΙΑ</t>
  </si>
  <si>
    <t>Θετικά νέα ως προς τη συνέχιση των αποκρατικοποιήσεων</t>
  </si>
  <si>
    <t xml:space="preserve"> Φαίνεται να επικρατεί Θετικό  και συναινετικό κλίμα ανάμεσα σε κυβέρνηση και δανειστές</t>
  </si>
  <si>
    <t>EEE,FRIGOGLASS</t>
  </si>
  <si>
    <t>Διάψευση συγχώνευσης τους και μεταφορά έδρας της  FRIG (χαμένη ευκαιρίας λόγω μη έγκαιρης πληροφόρησης). Λογικά, όμως μελλοντικά θα επηρρέαζε αρνητικά την τιμή.</t>
  </si>
  <si>
    <t>Ανακοίνωση ιδιαίτερα θετικών αποτελεσμάτων τριμήνου και αναγγελίες για νέα μελλοντικά προιόντα</t>
  </si>
  <si>
    <t>ΛΟΓΩ ΤΟΥ ΜΕΓΑΛΟΥ ΟΓΚΟΥ ΕΙΔΗΣΕΩΝ ΑΠΟΦΑΣΙΣΑΜΕ ΝΑ ΠΕΡΙΛΑΒΟΥΜΕ ΚΥΡΙΩΣ ΑΥΤΕΣ ΠΟΥ ΕΠΗΡΕΑΣΑΝ ΑΜΕΣΑ ΤΗΝ ΣΤΡΑΤΗΓΙΚΗ ΜΑΣ.</t>
  </si>
  <si>
    <t>GRIVALIA</t>
  </si>
  <si>
    <t>ΤΟ ΑΡΧΙΚΟ ΚΕΦΑΛΑΙΟ ΕΧΕΙ ΑΡΧΙΣΕΙ ΝΑ ΑΞΙΟΠΟΙΕΙΤΑΙ ΑΠΌ ΤΟ ΠΡΩΙ ΣΤΙΣ 27/4. ΓΙΑ ΤΟ ΛΟΓΟ ΑΥΤΌ ΚΆΘΕ ΑΝΑΛΥΣΗ ΤΟΥ Γ.Δ. ΞΕΚΙΝΑΕΙ ΜΕ ΤΗΝ ΤΙΜΗ ΑΝΟΙΓΜΑΤΟΣ ΠΟΥ ΕΙΧΕ ΣΤΙΣ 27/4.</t>
  </si>
  <si>
    <t>ΑΦΟΡΑ: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</si>
</sst>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164" formatCode="#,##0.00\ &quot;€&quot;"/>
    <numFmt numFmtId="165" formatCode="0.000%"/>
    <numFmt numFmtId="166" formatCode="#,##0.000\ &quot;€&quot;"/>
    <numFmt numFmtId="167" formatCode="0.0000"/>
    <numFmt numFmtId="168" formatCode="0.000"/>
  </numFmts>
  <fonts count="11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lightTrellis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6AB0FE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EFC2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7" fillId="0" borderId="5" applyNumberFormat="0" applyFill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</cellStyleXfs>
  <cellXfs count="263">
    <xf numFmtId="0" fontId="0" fillId="0" borderId="0" xfId="0"/>
    <xf numFmtId="164" fontId="4" fillId="0" borderId="1" xfId="1" applyNumberFormat="1" applyFont="1" applyFill="1" applyBorder="1"/>
    <xf numFmtId="10" fontId="4" fillId="0" borderId="1" xfId="1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3" fillId="0" borderId="1" xfId="1" applyNumberFormat="1" applyFont="1" applyFill="1" applyBorder="1"/>
    <xf numFmtId="10" fontId="3" fillId="0" borderId="1" xfId="1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14" fontId="4" fillId="3" borderId="1" xfId="1" applyNumberFormat="1" applyFont="1" applyFill="1" applyBorder="1"/>
    <xf numFmtId="1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" fontId="0" fillId="0" borderId="4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" fontId="0" fillId="0" borderId="2" xfId="0" applyNumberForma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0" fillId="0" borderId="1" xfId="0" applyNumberFormat="1" applyBorder="1"/>
    <xf numFmtId="2" fontId="0" fillId="0" borderId="1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/>
    </xf>
    <xf numFmtId="16" fontId="0" fillId="0" borderId="4" xfId="0" applyNumberFormat="1" applyFont="1" applyBorder="1" applyAlignment="1">
      <alignment horizontal="center" vertical="center"/>
    </xf>
    <xf numFmtId="16" fontId="0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165" fontId="0" fillId="0" borderId="2" xfId="0" applyNumberFormat="1" applyBorder="1"/>
    <xf numFmtId="1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0" fontId="0" fillId="3" borderId="1" xfId="0" applyNumberFormat="1" applyFont="1" applyFill="1" applyBorder="1" applyAlignment="1">
      <alignment horizontal="center" vertical="center"/>
    </xf>
    <xf numFmtId="0" fontId="9" fillId="6" borderId="0" xfId="4"/>
    <xf numFmtId="0" fontId="9" fillId="6" borderId="0" xfId="4" applyBorder="1" applyAlignment="1">
      <alignment vertical="center" wrapText="1"/>
    </xf>
    <xf numFmtId="0" fontId="9" fillId="6" borderId="0" xfId="4" applyAlignment="1">
      <alignment vertical="center"/>
    </xf>
    <xf numFmtId="0" fontId="9" fillId="6" borderId="0" xfId="4" applyAlignment="1">
      <alignment horizontal="center" vertical="center"/>
    </xf>
    <xf numFmtId="164" fontId="9" fillId="6" borderId="0" xfId="4" applyNumberFormat="1"/>
    <xf numFmtId="3" fontId="9" fillId="6" borderId="0" xfId="4" applyNumberFormat="1"/>
    <xf numFmtId="0" fontId="9" fillId="6" borderId="0" xfId="4" applyAlignment="1">
      <alignment horizontal="center"/>
    </xf>
    <xf numFmtId="10" fontId="9" fillId="6" borderId="0" xfId="4" applyNumberFormat="1" applyBorder="1" applyAlignment="1">
      <alignment horizontal="center"/>
    </xf>
    <xf numFmtId="0" fontId="9" fillId="6" borderId="0" xfId="4" applyBorder="1" applyAlignment="1">
      <alignment horizontal="center"/>
    </xf>
    <xf numFmtId="0" fontId="9" fillId="6" borderId="0" xfId="4" applyBorder="1" applyAlignment="1">
      <alignment horizontal="center" wrapText="1"/>
    </xf>
    <xf numFmtId="0" fontId="9" fillId="6" borderId="0" xfId="4" applyBorder="1" applyAlignment="1">
      <alignment horizontal="center" vertical="center" wrapText="1"/>
    </xf>
    <xf numFmtId="16" fontId="9" fillId="6" borderId="0" xfId="4" applyNumberFormat="1" applyBorder="1" applyAlignment="1">
      <alignment horizontal="center" vertical="center"/>
    </xf>
    <xf numFmtId="10" fontId="9" fillId="6" borderId="0" xfId="4" applyNumberFormat="1" applyBorder="1" applyAlignment="1">
      <alignment horizontal="center" vertical="center"/>
    </xf>
    <xf numFmtId="0" fontId="9" fillId="6" borderId="0" xfId="4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6" borderId="2" xfId="4" applyBorder="1" applyAlignment="1">
      <alignment horizontal="center"/>
    </xf>
    <xf numFmtId="0" fontId="9" fillId="6" borderId="7" xfId="4" applyBorder="1" applyAlignment="1">
      <alignment horizontal="center"/>
    </xf>
    <xf numFmtId="164" fontId="9" fillId="6" borderId="7" xfId="4" applyNumberFormat="1" applyBorder="1"/>
    <xf numFmtId="10" fontId="9" fillId="6" borderId="7" xfId="4" applyNumberFormat="1" applyBorder="1"/>
    <xf numFmtId="14" fontId="9" fillId="6" borderId="7" xfId="4" applyNumberFormat="1" applyBorder="1"/>
    <xf numFmtId="164" fontId="9" fillId="6" borderId="0" xfId="4" applyNumberFormat="1" applyBorder="1"/>
    <xf numFmtId="10" fontId="9" fillId="6" borderId="0" xfId="4" applyNumberFormat="1" applyBorder="1"/>
    <xf numFmtId="0" fontId="9" fillId="6" borderId="11" xfId="4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right" vertical="center"/>
    </xf>
    <xf numFmtId="10" fontId="4" fillId="0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/>
    </xf>
    <xf numFmtId="10" fontId="3" fillId="0" borderId="1" xfId="1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" fontId="0" fillId="0" borderId="12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9" fillId="6" borderId="0" xfId="4" applyAlignment="1">
      <alignment wrapText="1"/>
    </xf>
    <xf numFmtId="10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12" borderId="1" xfId="0" applyFill="1" applyBorder="1" applyAlignment="1">
      <alignment horizontal="center" vertical="center" wrapText="1"/>
    </xf>
    <xf numFmtId="3" fontId="0" fillId="12" borderId="1" xfId="0" applyNumberFormat="1" applyFill="1" applyBorder="1" applyAlignment="1">
      <alignment horizontal="center" vertical="center" wrapText="1"/>
    </xf>
    <xf numFmtId="22" fontId="0" fillId="12" borderId="1" xfId="0" applyNumberForma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164" fontId="0" fillId="13" borderId="1" xfId="0" applyNumberFormat="1" applyFill="1" applyBorder="1" applyAlignment="1">
      <alignment horizontal="center" vertical="center" wrapText="1"/>
    </xf>
    <xf numFmtId="3" fontId="0" fillId="13" borderId="1" xfId="0" applyNumberFormat="1" applyFill="1" applyBorder="1" applyAlignment="1">
      <alignment horizontal="center" vertical="center" wrapText="1"/>
    </xf>
    <xf numFmtId="22" fontId="0" fillId="13" borderId="1" xfId="0" applyNumberForma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vertical="center" wrapText="1"/>
    </xf>
    <xf numFmtId="22" fontId="0" fillId="4" borderId="1" xfId="0" applyNumberFormat="1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164" fontId="0" fillId="9" borderId="1" xfId="0" applyNumberFormat="1" applyFont="1" applyFill="1" applyBorder="1" applyAlignment="1">
      <alignment horizontal="center" vertical="center" wrapText="1"/>
    </xf>
    <xf numFmtId="3" fontId="0" fillId="9" borderId="1" xfId="0" applyNumberFormat="1" applyFont="1" applyFill="1" applyBorder="1" applyAlignment="1">
      <alignment horizontal="center" vertical="center" wrapText="1"/>
    </xf>
    <xf numFmtId="22" fontId="0" fillId="9" borderId="1" xfId="0" applyNumberFormat="1" applyFont="1" applyFill="1" applyBorder="1" applyAlignment="1">
      <alignment horizontal="center" vertical="center" wrapText="1"/>
    </xf>
    <xf numFmtId="0" fontId="0" fillId="11" borderId="1" xfId="0" applyFont="1" applyFill="1" applyBorder="1" applyAlignment="1">
      <alignment horizontal="center" vertical="center" wrapText="1"/>
    </xf>
    <xf numFmtId="164" fontId="0" fillId="11" borderId="1" xfId="0" applyNumberFormat="1" applyFont="1" applyFill="1" applyBorder="1" applyAlignment="1">
      <alignment horizontal="center" vertical="center" wrapText="1"/>
    </xf>
    <xf numFmtId="3" fontId="0" fillId="11" borderId="1" xfId="0" applyNumberFormat="1" applyFont="1" applyFill="1" applyBorder="1" applyAlignment="1">
      <alignment horizontal="center" vertical="center" wrapText="1"/>
    </xf>
    <xf numFmtId="22" fontId="0" fillId="11" borderId="1" xfId="0" applyNumberFormat="1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164" fontId="0" fillId="14" borderId="1" xfId="0" applyNumberFormat="1" applyFill="1" applyBorder="1" applyAlignment="1">
      <alignment horizontal="center" vertical="center" wrapText="1"/>
    </xf>
    <xf numFmtId="3" fontId="0" fillId="14" borderId="1" xfId="0" applyNumberFormat="1" applyFill="1" applyBorder="1" applyAlignment="1">
      <alignment horizontal="center" vertical="center" wrapText="1"/>
    </xf>
    <xf numFmtId="22" fontId="0" fillId="14" borderId="1" xfId="0" applyNumberFormat="1" applyFill="1" applyBorder="1" applyAlignment="1">
      <alignment horizontal="center" vertical="center" wrapText="1"/>
    </xf>
    <xf numFmtId="164" fontId="0" fillId="12" borderId="2" xfId="0" applyNumberFormat="1" applyFill="1" applyBorder="1" applyAlignment="1">
      <alignment horizontal="center" vertical="center" wrapText="1"/>
    </xf>
    <xf numFmtId="0" fontId="0" fillId="15" borderId="1" xfId="0" applyFont="1" applyFill="1" applyBorder="1" applyAlignment="1">
      <alignment horizontal="center" vertical="center" wrapText="1"/>
    </xf>
    <xf numFmtId="164" fontId="0" fillId="15" borderId="1" xfId="0" applyNumberFormat="1" applyFont="1" applyFill="1" applyBorder="1" applyAlignment="1">
      <alignment horizontal="center" vertical="center" wrapText="1"/>
    </xf>
    <xf numFmtId="3" fontId="0" fillId="15" borderId="1" xfId="0" applyNumberFormat="1" applyFont="1" applyFill="1" applyBorder="1" applyAlignment="1">
      <alignment horizontal="center" vertical="center" wrapText="1"/>
    </xf>
    <xf numFmtId="22" fontId="0" fillId="15" borderId="1" xfId="0" applyNumberFormat="1" applyFont="1" applyFill="1" applyBorder="1" applyAlignment="1">
      <alignment horizontal="center" vertical="center" wrapText="1"/>
    </xf>
    <xf numFmtId="0" fontId="0" fillId="15" borderId="4" xfId="0" applyFill="1" applyBorder="1" applyAlignment="1">
      <alignment horizontal="center" vertical="center" wrapText="1"/>
    </xf>
    <xf numFmtId="164" fontId="0" fillId="15" borderId="12" xfId="0" applyNumberFormat="1" applyFill="1" applyBorder="1" applyAlignment="1">
      <alignment horizontal="center" vertical="center" wrapText="1"/>
    </xf>
    <xf numFmtId="3" fontId="0" fillId="15" borderId="4" xfId="0" applyNumberFormat="1" applyFill="1" applyBorder="1" applyAlignment="1">
      <alignment horizontal="center" vertical="center" wrapText="1"/>
    </xf>
    <xf numFmtId="22" fontId="0" fillId="15" borderId="4" xfId="0" applyNumberFormat="1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 wrapText="1"/>
    </xf>
    <xf numFmtId="164" fontId="0" fillId="15" borderId="2" xfId="0" applyNumberFormat="1" applyFill="1" applyBorder="1" applyAlignment="1">
      <alignment horizontal="center" vertical="center" wrapText="1"/>
    </xf>
    <xf numFmtId="3" fontId="0" fillId="15" borderId="1" xfId="0" applyNumberFormat="1" applyFill="1" applyBorder="1" applyAlignment="1">
      <alignment horizontal="center" vertical="center" wrapText="1"/>
    </xf>
    <xf numFmtId="22" fontId="0" fillId="15" borderId="1" xfId="0" applyNumberForma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164" fontId="0" fillId="8" borderId="1" xfId="0" applyNumberFormat="1" applyFont="1" applyFill="1" applyBorder="1" applyAlignment="1">
      <alignment horizontal="center" vertical="center" wrapText="1"/>
    </xf>
    <xf numFmtId="3" fontId="0" fillId="8" borderId="1" xfId="0" applyNumberFormat="1" applyFont="1" applyFill="1" applyBorder="1" applyAlignment="1">
      <alignment horizontal="center" vertical="center" wrapText="1"/>
    </xf>
    <xf numFmtId="22" fontId="0" fillId="8" borderId="1" xfId="0" applyNumberFormat="1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164" fontId="0" fillId="10" borderId="1" xfId="0" applyNumberFormat="1" applyFont="1" applyFill="1" applyBorder="1" applyAlignment="1">
      <alignment horizontal="center" vertical="center" wrapText="1"/>
    </xf>
    <xf numFmtId="3" fontId="0" fillId="10" borderId="1" xfId="0" applyNumberFormat="1" applyFont="1" applyFill="1" applyBorder="1" applyAlignment="1">
      <alignment horizontal="center" vertical="center" wrapText="1"/>
    </xf>
    <xf numFmtId="22" fontId="0" fillId="10" borderId="1" xfId="0" applyNumberFormat="1" applyFont="1" applyFill="1" applyBorder="1" applyAlignment="1">
      <alignment horizontal="center" vertical="center" wrapText="1"/>
    </xf>
    <xf numFmtId="166" fontId="0" fillId="4" borderId="1" xfId="0" applyNumberFormat="1" applyFont="1" applyFill="1" applyBorder="1" applyAlignment="1">
      <alignment horizontal="center" vertical="center" wrapText="1"/>
    </xf>
    <xf numFmtId="10" fontId="9" fillId="6" borderId="0" xfId="4" applyNumberFormat="1"/>
    <xf numFmtId="164" fontId="0" fillId="0" borderId="24" xfId="0" applyNumberFormat="1" applyBorder="1"/>
    <xf numFmtId="164" fontId="0" fillId="0" borderId="26" xfId="0" applyNumberFormat="1" applyBorder="1"/>
    <xf numFmtId="3" fontId="0" fillId="0" borderId="26" xfId="0" applyNumberFormat="1" applyBorder="1"/>
    <xf numFmtId="165" fontId="0" fillId="0" borderId="26" xfId="0" applyNumberFormat="1" applyBorder="1"/>
    <xf numFmtId="10" fontId="0" fillId="0" borderId="26" xfId="0" applyNumberFormat="1" applyBorder="1"/>
    <xf numFmtId="0" fontId="1" fillId="0" borderId="23" xfId="0" applyFont="1" applyBorder="1"/>
    <xf numFmtId="0" fontId="1" fillId="0" borderId="25" xfId="0" applyFont="1" applyBorder="1"/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27" xfId="0" applyFont="1" applyFill="1" applyBorder="1"/>
    <xf numFmtId="0" fontId="0" fillId="0" borderId="28" xfId="0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7" xfId="0" applyFill="1" applyBorder="1" applyAlignment="1"/>
    <xf numFmtId="0" fontId="10" fillId="0" borderId="29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Continuous"/>
    </xf>
    <xf numFmtId="0" fontId="10" fillId="0" borderId="32" xfId="0" applyFont="1" applyFill="1" applyBorder="1" applyAlignment="1">
      <alignment horizontal="centerContinuous"/>
    </xf>
    <xf numFmtId="0" fontId="0" fillId="0" borderId="31" xfId="0" applyFill="1" applyBorder="1" applyAlignment="1"/>
    <xf numFmtId="0" fontId="0" fillId="0" borderId="16" xfId="0" applyFill="1" applyBorder="1" applyAlignment="1"/>
    <xf numFmtId="0" fontId="10" fillId="0" borderId="32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1" fillId="0" borderId="16" xfId="0" applyFont="1" applyFill="1" applyBorder="1" applyAlignment="1"/>
    <xf numFmtId="0" fontId="9" fillId="6" borderId="31" xfId="4" applyBorder="1"/>
    <xf numFmtId="0" fontId="9" fillId="6" borderId="0" xfId="4" applyBorder="1"/>
    <xf numFmtId="0" fontId="9" fillId="6" borderId="30" xfId="4" applyBorder="1"/>
    <xf numFmtId="0" fontId="9" fillId="6" borderId="14" xfId="4" applyBorder="1" applyAlignment="1">
      <alignment horizontal="center" vertical="center"/>
    </xf>
    <xf numFmtId="0" fontId="9" fillId="6" borderId="15" xfId="4" applyBorder="1" applyAlignment="1">
      <alignment horizontal="center" vertical="center"/>
    </xf>
    <xf numFmtId="0" fontId="9" fillId="6" borderId="0" xfId="4" applyBorder="1" applyAlignment="1"/>
    <xf numFmtId="167" fontId="9" fillId="6" borderId="0" xfId="4" applyNumberFormat="1" applyBorder="1" applyAlignment="1"/>
    <xf numFmtId="0" fontId="1" fillId="0" borderId="34" xfId="0" applyFont="1" applyBorder="1"/>
    <xf numFmtId="168" fontId="0" fillId="0" borderId="35" xfId="0" applyNumberFormat="1" applyBorder="1"/>
    <xf numFmtId="168" fontId="0" fillId="0" borderId="1" xfId="0" applyNumberFormat="1" applyBorder="1" applyAlignment="1">
      <alignment horizontal="center"/>
    </xf>
    <xf numFmtId="168" fontId="9" fillId="6" borderId="0" xfId="4" applyNumberFormat="1" applyAlignment="1">
      <alignment horizontal="center"/>
    </xf>
    <xf numFmtId="168" fontId="0" fillId="0" borderId="2" xfId="0" applyNumberFormat="1" applyBorder="1" applyAlignment="1">
      <alignment horizontal="center"/>
    </xf>
    <xf numFmtId="168" fontId="0" fillId="0" borderId="1" xfId="0" applyNumberFormat="1" applyBorder="1" applyAlignment="1">
      <alignment horizontal="center" vertical="center"/>
    </xf>
    <xf numFmtId="168" fontId="0" fillId="0" borderId="26" xfId="0" applyNumberFormat="1" applyBorder="1"/>
    <xf numFmtId="0" fontId="1" fillId="16" borderId="1" xfId="0" applyFont="1" applyFill="1" applyBorder="1" applyAlignment="1">
      <alignment horizontal="center" vertical="center" wrapText="1"/>
    </xf>
    <xf numFmtId="16" fontId="0" fillId="16" borderId="1" xfId="0" applyNumberFormat="1" applyFill="1" applyBorder="1" applyAlignment="1">
      <alignment horizontal="center" vertical="center" wrapText="1"/>
    </xf>
    <xf numFmtId="14" fontId="0" fillId="16" borderId="1" xfId="0" applyNumberFormat="1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 wrapText="1"/>
    </xf>
    <xf numFmtId="168" fontId="0" fillId="0" borderId="0" xfId="0" applyNumberFormat="1" applyFill="1" applyBorder="1" applyAlignment="1"/>
    <xf numFmtId="168" fontId="0" fillId="0" borderId="30" xfId="0" applyNumberFormat="1" applyFill="1" applyBorder="1" applyAlignment="1"/>
    <xf numFmtId="168" fontId="0" fillId="0" borderId="17" xfId="0" applyNumberFormat="1" applyFill="1" applyBorder="1" applyAlignment="1"/>
    <xf numFmtId="168" fontId="0" fillId="0" borderId="18" xfId="0" applyNumberFormat="1" applyFill="1" applyBorder="1" applyAlignment="1"/>
    <xf numFmtId="164" fontId="0" fillId="0" borderId="1" xfId="0" applyNumberFormat="1" applyBorder="1"/>
    <xf numFmtId="0" fontId="9" fillId="6" borderId="0" xfId="4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16" fontId="3" fillId="0" borderId="1" xfId="1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wrapText="1"/>
    </xf>
    <xf numFmtId="0" fontId="3" fillId="0" borderId="12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16" fontId="3" fillId="0" borderId="4" xfId="1" applyNumberFormat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10" borderId="1" xfId="2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0" fillId="15" borderId="1" xfId="2" applyFont="1" applyFill="1" applyBorder="1" applyAlignment="1">
      <alignment horizontal="center" vertical="center" wrapText="1"/>
    </xf>
    <xf numFmtId="0" fontId="0" fillId="15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0" fillId="11" borderId="2" xfId="0" applyFont="1" applyFill="1" applyBorder="1" applyAlignment="1">
      <alignment horizontal="center" vertical="center" wrapText="1"/>
    </xf>
    <xf numFmtId="0" fontId="0" fillId="11" borderId="7" xfId="0" applyFont="1" applyFill="1" applyBorder="1" applyAlignment="1">
      <alignment horizontal="center" vertical="center" wrapText="1"/>
    </xf>
    <xf numFmtId="0" fontId="0" fillId="11" borderId="3" xfId="0" applyFont="1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 wrapText="1"/>
    </xf>
    <xf numFmtId="0" fontId="0" fillId="14" borderId="7" xfId="0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 wrapText="1"/>
    </xf>
    <xf numFmtId="0" fontId="0" fillId="15" borderId="10" xfId="0" applyFill="1" applyBorder="1" applyAlignment="1">
      <alignment horizontal="center" vertical="center" wrapText="1"/>
    </xf>
    <xf numFmtId="0" fontId="0" fillId="15" borderId="4" xfId="0" applyFill="1" applyBorder="1" applyAlignment="1">
      <alignment horizontal="center" vertical="center" wrapText="1"/>
    </xf>
    <xf numFmtId="0" fontId="0" fillId="15" borderId="3" xfId="0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0" fillId="14" borderId="20" xfId="0" applyFill="1" applyBorder="1" applyAlignment="1">
      <alignment horizontal="center" vertical="center"/>
    </xf>
    <xf numFmtId="0" fontId="0" fillId="14" borderId="21" xfId="0" applyFill="1" applyBorder="1" applyAlignment="1">
      <alignment horizontal="center" vertical="center"/>
    </xf>
    <xf numFmtId="0" fontId="0" fillId="14" borderId="19" xfId="0" applyFill="1" applyBorder="1" applyAlignment="1">
      <alignment horizontal="center" vertical="center"/>
    </xf>
    <xf numFmtId="0" fontId="0" fillId="14" borderId="12" xfId="0" applyFill="1" applyBorder="1" applyAlignment="1">
      <alignment horizontal="center" vertical="center"/>
    </xf>
    <xf numFmtId="0" fontId="0" fillId="14" borderId="22" xfId="0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1" borderId="20" xfId="0" applyFont="1" applyFill="1" applyBorder="1" applyAlignment="1">
      <alignment horizontal="center" vertical="center"/>
    </xf>
    <xf numFmtId="0" fontId="0" fillId="11" borderId="21" xfId="0" applyFont="1" applyFill="1" applyBorder="1" applyAlignment="1">
      <alignment horizontal="center" vertical="center"/>
    </xf>
    <xf numFmtId="0" fontId="0" fillId="11" borderId="19" xfId="0" applyFont="1" applyFill="1" applyBorder="1" applyAlignment="1">
      <alignment horizontal="center" vertical="center"/>
    </xf>
    <xf numFmtId="0" fontId="0" fillId="11" borderId="11" xfId="0" applyFont="1" applyFill="1" applyBorder="1" applyAlignment="1">
      <alignment horizontal="center" vertical="center"/>
    </xf>
    <xf numFmtId="0" fontId="0" fillId="11" borderId="0" xfId="0" applyFont="1" applyFill="1" applyBorder="1" applyAlignment="1">
      <alignment horizontal="center" vertical="center"/>
    </xf>
    <xf numFmtId="0" fontId="0" fillId="11" borderId="9" xfId="0" applyFont="1" applyFill="1" applyBorder="1" applyAlignment="1">
      <alignment horizontal="center" vertical="center"/>
    </xf>
    <xf numFmtId="0" fontId="0" fillId="11" borderId="12" xfId="0" applyFont="1" applyFill="1" applyBorder="1" applyAlignment="1">
      <alignment horizontal="center" vertical="center"/>
    </xf>
    <xf numFmtId="0" fontId="0" fillId="11" borderId="22" xfId="0" applyFont="1" applyFill="1" applyBorder="1" applyAlignment="1">
      <alignment horizontal="center" vertical="center"/>
    </xf>
    <xf numFmtId="0" fontId="0" fillId="11" borderId="10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</cellXfs>
  <cellStyles count="5">
    <cellStyle name="20% - Accent1" xfId="3" builtinId="30" customBuiltin="1"/>
    <cellStyle name="40% - Accent6" xfId="4" builtinId="51"/>
    <cellStyle name="60% - Accent3" xfId="1" builtinId="40"/>
    <cellStyle name="Linked Cell" xfId="2" builtinId="24"/>
    <cellStyle name="Normal" xfId="0" builtinId="0"/>
  </cellStyles>
  <dxfs count="20"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EAE02"/>
      </font>
    </dxf>
    <dxf>
      <font>
        <color rgb="FFFF0000"/>
      </font>
    </dxf>
    <dxf>
      <font>
        <color rgb="FF0EAE02"/>
      </font>
    </dxf>
    <dxf>
      <font>
        <color rgb="FFFF0000"/>
      </font>
    </dxf>
    <dxf>
      <font>
        <color rgb="FFFF0000"/>
      </font>
    </dxf>
    <dxf>
      <font>
        <color rgb="FF0EAE02"/>
      </font>
    </dxf>
    <dxf>
      <font>
        <color rgb="FF0EAE02"/>
      </font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00B050"/>
      </font>
    </dxf>
    <dxf>
      <font>
        <color rgb="FFFF0000"/>
      </font>
    </dxf>
    <dxf>
      <font>
        <color rgb="FF0EAE02"/>
      </font>
    </dxf>
    <dxf>
      <font>
        <color rgb="FFFF0000"/>
      </font>
    </dxf>
    <dxf>
      <fill>
        <patternFill>
          <bgColor rgb="FF0EAE0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EAE02"/>
      <color rgb="FF9EFC20"/>
      <color rgb="FF6AB0FE"/>
      <color rgb="FFB9FD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/>
              <a:t>ΚΑΘΗΜΕΡΙΝΕΣ ΑΠΟΔΟΣΕΙΣ</a:t>
            </a:r>
            <a:endParaRPr lang="el-GR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ΑΠΟΔΟΣΗ ΧΑΡΤΟΦΥΛΑΚΙΟΥ</c:v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'Διαχείριση Αποδόσεων'!$A$5:$A$28</c:f>
              <c:numCache>
                <c:formatCode>d\-mmm</c:formatCode>
                <c:ptCount val="24"/>
                <c:pt idx="0">
                  <c:v>42121</c:v>
                </c:pt>
                <c:pt idx="1">
                  <c:v>42122</c:v>
                </c:pt>
                <c:pt idx="2">
                  <c:v>42123</c:v>
                </c:pt>
                <c:pt idx="3">
                  <c:v>42124</c:v>
                </c:pt>
                <c:pt idx="4">
                  <c:v>42128</c:v>
                </c:pt>
                <c:pt idx="5">
                  <c:v>42129</c:v>
                </c:pt>
                <c:pt idx="6">
                  <c:v>42130</c:v>
                </c:pt>
                <c:pt idx="7">
                  <c:v>42131</c:v>
                </c:pt>
                <c:pt idx="8">
                  <c:v>42132</c:v>
                </c:pt>
                <c:pt idx="9">
                  <c:v>42135</c:v>
                </c:pt>
                <c:pt idx="10">
                  <c:v>42136</c:v>
                </c:pt>
                <c:pt idx="11">
                  <c:v>42137</c:v>
                </c:pt>
                <c:pt idx="12">
                  <c:v>42138</c:v>
                </c:pt>
                <c:pt idx="13">
                  <c:v>42139</c:v>
                </c:pt>
                <c:pt idx="14">
                  <c:v>42142</c:v>
                </c:pt>
                <c:pt idx="15">
                  <c:v>42143</c:v>
                </c:pt>
                <c:pt idx="16">
                  <c:v>42144</c:v>
                </c:pt>
                <c:pt idx="17">
                  <c:v>42145</c:v>
                </c:pt>
                <c:pt idx="18">
                  <c:v>42146</c:v>
                </c:pt>
                <c:pt idx="19">
                  <c:v>42149</c:v>
                </c:pt>
                <c:pt idx="20">
                  <c:v>42150</c:v>
                </c:pt>
                <c:pt idx="21">
                  <c:v>42151</c:v>
                </c:pt>
                <c:pt idx="22">
                  <c:v>42152</c:v>
                </c:pt>
                <c:pt idx="23">
                  <c:v>42153</c:v>
                </c:pt>
              </c:numCache>
            </c:numRef>
          </c:xVal>
          <c:yVal>
            <c:numRef>
              <c:f>'Διαχείριση Αποδόσεων'!$D$5:$D$28</c:f>
              <c:numCache>
                <c:formatCode>0.00%</c:formatCode>
                <c:ptCount val="24"/>
                <c:pt idx="0">
                  <c:v>1.899E-2</c:v>
                </c:pt>
                <c:pt idx="1">
                  <c:v>4.0201523403894891E-3</c:v>
                </c:pt>
                <c:pt idx="2">
                  <c:v>-4.4742087469812524E-3</c:v>
                </c:pt>
                <c:pt idx="3">
                  <c:v>-7.5113972791946999E-4</c:v>
                </c:pt>
                <c:pt idx="4">
                  <c:v>3.5403459651840064E-3</c:v>
                </c:pt>
                <c:pt idx="5">
                  <c:v>-6.4414410014183481E-3</c:v>
                </c:pt>
                <c:pt idx="6">
                  <c:v>-4.5846393332444162E-3</c:v>
                </c:pt>
                <c:pt idx="7">
                  <c:v>2.6685608197026398E-2</c:v>
                </c:pt>
                <c:pt idx="8">
                  <c:v>7.1227541886217686E-3</c:v>
                </c:pt>
                <c:pt idx="9">
                  <c:v>-7.8878971379586424E-3</c:v>
                </c:pt>
                <c:pt idx="10">
                  <c:v>3.2534702970964742E-3</c:v>
                </c:pt>
                <c:pt idx="11">
                  <c:v>6.9826601253583046E-4</c:v>
                </c:pt>
                <c:pt idx="12">
                  <c:v>-4.7768991081964538E-3</c:v>
                </c:pt>
                <c:pt idx="13">
                  <c:v>-1.1322319577292462E-3</c:v>
                </c:pt>
                <c:pt idx="14">
                  <c:v>1.2391755160230363E-2</c:v>
                </c:pt>
                <c:pt idx="15">
                  <c:v>2.3387656021828615E-2</c:v>
                </c:pt>
                <c:pt idx="16">
                  <c:v>2.2199795913701199E-3</c:v>
                </c:pt>
                <c:pt idx="17">
                  <c:v>8.9620993110156224E-3</c:v>
                </c:pt>
                <c:pt idx="18">
                  <c:v>-1.431022866821589E-3</c:v>
                </c:pt>
                <c:pt idx="19">
                  <c:v>-1.3108333784688555E-2</c:v>
                </c:pt>
                <c:pt idx="20">
                  <c:v>1.8700656170145779E-2</c:v>
                </c:pt>
                <c:pt idx="21">
                  <c:v>1.7499360569255885E-3</c:v>
                </c:pt>
                <c:pt idx="22">
                  <c:v>-6.6524440293293111E-3</c:v>
                </c:pt>
                <c:pt idx="23">
                  <c:v>1.7363540110257709E-3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CCD-5742-81F5-4B9BC8549366}"/>
            </c:ext>
          </c:extLst>
        </c:ser>
        <c:ser>
          <c:idx val="1"/>
          <c:order val="1"/>
          <c:tx>
            <c:v>ΑΠΟΔΟΣΗ Γ.Δ.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'Διαχείριση Αποδόσεων'!$A$5:$A$28</c:f>
              <c:numCache>
                <c:formatCode>d\-mmm</c:formatCode>
                <c:ptCount val="24"/>
                <c:pt idx="0">
                  <c:v>42121</c:v>
                </c:pt>
                <c:pt idx="1">
                  <c:v>42122</c:v>
                </c:pt>
                <c:pt idx="2">
                  <c:v>42123</c:v>
                </c:pt>
                <c:pt idx="3">
                  <c:v>42124</c:v>
                </c:pt>
                <c:pt idx="4">
                  <c:v>42128</c:v>
                </c:pt>
                <c:pt idx="5">
                  <c:v>42129</c:v>
                </c:pt>
                <c:pt idx="6">
                  <c:v>42130</c:v>
                </c:pt>
                <c:pt idx="7">
                  <c:v>42131</c:v>
                </c:pt>
                <c:pt idx="8">
                  <c:v>42132</c:v>
                </c:pt>
                <c:pt idx="9">
                  <c:v>42135</c:v>
                </c:pt>
                <c:pt idx="10">
                  <c:v>42136</c:v>
                </c:pt>
                <c:pt idx="11">
                  <c:v>42137</c:v>
                </c:pt>
                <c:pt idx="12">
                  <c:v>42138</c:v>
                </c:pt>
                <c:pt idx="13">
                  <c:v>42139</c:v>
                </c:pt>
                <c:pt idx="14">
                  <c:v>42142</c:v>
                </c:pt>
                <c:pt idx="15">
                  <c:v>42143</c:v>
                </c:pt>
                <c:pt idx="16">
                  <c:v>42144</c:v>
                </c:pt>
                <c:pt idx="17">
                  <c:v>42145</c:v>
                </c:pt>
                <c:pt idx="18">
                  <c:v>42146</c:v>
                </c:pt>
                <c:pt idx="19">
                  <c:v>42149</c:v>
                </c:pt>
                <c:pt idx="20">
                  <c:v>42150</c:v>
                </c:pt>
                <c:pt idx="21">
                  <c:v>42151</c:v>
                </c:pt>
                <c:pt idx="22">
                  <c:v>42152</c:v>
                </c:pt>
                <c:pt idx="23">
                  <c:v>42153</c:v>
                </c:pt>
              </c:numCache>
            </c:numRef>
          </c:xVal>
          <c:yVal>
            <c:numRef>
              <c:f>'Διαχείριση Αποδόσεων'!$R$5:$R$28</c:f>
              <c:numCache>
                <c:formatCode>0.00%</c:formatCode>
                <c:ptCount val="24"/>
                <c:pt idx="0">
                  <c:v>5.1111493143257615E-2</c:v>
                </c:pt>
                <c:pt idx="1">
                  <c:v>1.4053142770872074E-2</c:v>
                </c:pt>
                <c:pt idx="2">
                  <c:v>-9.9502487562188827E-3</c:v>
                </c:pt>
                <c:pt idx="3">
                  <c:v>3.1190867053471832E-2</c:v>
                </c:pt>
                <c:pt idx="4">
                  <c:v>3.8401711063581179E-3</c:v>
                </c:pt>
                <c:pt idx="5">
                  <c:v>-3.8509031039659032E-2</c:v>
                </c:pt>
                <c:pt idx="6">
                  <c:v>2.859373229417176E-2</c:v>
                </c:pt>
                <c:pt idx="7">
                  <c:v>3.011237055352891E-2</c:v>
                </c:pt>
                <c:pt idx="8">
                  <c:v>-3.0776909000165388E-3</c:v>
                </c:pt>
                <c:pt idx="9">
                  <c:v>-2.5067048095834179E-2</c:v>
                </c:pt>
                <c:pt idx="10">
                  <c:v>1.3668818466353757E-2</c:v>
                </c:pt>
                <c:pt idx="11">
                  <c:v>-2.7740923893380557E-4</c:v>
                </c:pt>
                <c:pt idx="12">
                  <c:v>5.4894012330039144E-3</c:v>
                </c:pt>
                <c:pt idx="13">
                  <c:v>-2.5725324566245041E-2</c:v>
                </c:pt>
                <c:pt idx="14">
                  <c:v>1.6158033449099735E-2</c:v>
                </c:pt>
                <c:pt idx="15">
                  <c:v>2.5851411950066568E-2</c:v>
                </c:pt>
                <c:pt idx="16">
                  <c:v>-7.1240386092175055E-3</c:v>
                </c:pt>
                <c:pt idx="17">
                  <c:v>6.3422179914326996E-3</c:v>
                </c:pt>
                <c:pt idx="18">
                  <c:v>-6.5150816454423877E-3</c:v>
                </c:pt>
                <c:pt idx="19">
                  <c:v>-3.1134702815929258E-2</c:v>
                </c:pt>
                <c:pt idx="20">
                  <c:v>1.0502911333317039E-2</c:v>
                </c:pt>
                <c:pt idx="21">
                  <c:v>3.5496772468119685E-2</c:v>
                </c:pt>
                <c:pt idx="22">
                  <c:v>-1.6905178384851057E-2</c:v>
                </c:pt>
                <c:pt idx="23">
                  <c:v>-1.4365722883653136E-2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CCD-5742-81F5-4B9BC8549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2910616"/>
        <c:axId val="-2036700776"/>
      </c:scatterChart>
      <c:valAx>
        <c:axId val="-2102910616"/>
        <c:scaling>
          <c:orientation val="minMax"/>
          <c:max val="42154"/>
          <c:min val="42120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GR"/>
          </a:p>
        </c:txPr>
        <c:crossAx val="-2036700776"/>
        <c:crosses val="autoZero"/>
        <c:crossBetween val="midCat"/>
      </c:valAx>
      <c:valAx>
        <c:axId val="-2036700776"/>
        <c:scaling>
          <c:orientation val="minMax"/>
          <c:max val="5.5E-2"/>
          <c:min val="-4.4999999999999998E-2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GR"/>
          </a:p>
        </c:txPr>
        <c:crossAx val="-2102910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G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/>
              <a:t>ΜΕΤΑΒΟΛΗ ΑΞΙΑΣ ΚΕΦΑΛΑΙΟΥ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ΜΕΤΑΒΟΛΗ ΑΞΙΑΣ ΚΕΦΑΛΑΙΟΥ</c:v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'Διαχείριση Αποδόσεων'!$A$5:$A$28</c:f>
              <c:numCache>
                <c:formatCode>d\-mmm</c:formatCode>
                <c:ptCount val="24"/>
                <c:pt idx="0">
                  <c:v>42121</c:v>
                </c:pt>
                <c:pt idx="1">
                  <c:v>42122</c:v>
                </c:pt>
                <c:pt idx="2">
                  <c:v>42123</c:v>
                </c:pt>
                <c:pt idx="3">
                  <c:v>42124</c:v>
                </c:pt>
                <c:pt idx="4">
                  <c:v>42128</c:v>
                </c:pt>
                <c:pt idx="5">
                  <c:v>42129</c:v>
                </c:pt>
                <c:pt idx="6">
                  <c:v>42130</c:v>
                </c:pt>
                <c:pt idx="7">
                  <c:v>42131</c:v>
                </c:pt>
                <c:pt idx="8">
                  <c:v>42132</c:v>
                </c:pt>
                <c:pt idx="9">
                  <c:v>42135</c:v>
                </c:pt>
                <c:pt idx="10">
                  <c:v>42136</c:v>
                </c:pt>
                <c:pt idx="11">
                  <c:v>42137</c:v>
                </c:pt>
                <c:pt idx="12">
                  <c:v>42138</c:v>
                </c:pt>
                <c:pt idx="13">
                  <c:v>42139</c:v>
                </c:pt>
                <c:pt idx="14">
                  <c:v>42142</c:v>
                </c:pt>
                <c:pt idx="15">
                  <c:v>42143</c:v>
                </c:pt>
                <c:pt idx="16">
                  <c:v>42144</c:v>
                </c:pt>
                <c:pt idx="17">
                  <c:v>42145</c:v>
                </c:pt>
                <c:pt idx="18">
                  <c:v>42146</c:v>
                </c:pt>
                <c:pt idx="19">
                  <c:v>42149</c:v>
                </c:pt>
                <c:pt idx="20">
                  <c:v>42150</c:v>
                </c:pt>
                <c:pt idx="21">
                  <c:v>42151</c:v>
                </c:pt>
                <c:pt idx="22">
                  <c:v>42152</c:v>
                </c:pt>
                <c:pt idx="23">
                  <c:v>42153</c:v>
                </c:pt>
              </c:numCache>
            </c:numRef>
          </c:cat>
          <c:val>
            <c:numRef>
              <c:f>'Διαχείριση Αποδόσεων'!$C$5:$C$28</c:f>
              <c:numCache>
                <c:formatCode>#,##0.00\ "€"</c:formatCode>
                <c:ptCount val="24"/>
                <c:pt idx="0">
                  <c:v>101899</c:v>
                </c:pt>
                <c:pt idx="1">
                  <c:v>102308.64950333335</c:v>
                </c:pt>
                <c:pt idx="2">
                  <c:v>101850.8992488337</c:v>
                </c:pt>
                <c:pt idx="3">
                  <c:v>101774.39499208357</c:v>
                </c:pt>
                <c:pt idx="4">
                  <c:v>102134.71156075284</c:v>
                </c:pt>
                <c:pt idx="5">
                  <c:v>101476.81684203737</c:v>
                </c:pt>
                <c:pt idx="6">
                  <c:v>101011.58223613093</c:v>
                </c:pt>
                <c:pt idx="7">
                  <c:v>103707.13774304603</c:v>
                </c:pt>
                <c:pt idx="8">
                  <c:v>104445.81819279528</c:v>
                </c:pt>
                <c:pt idx="9">
                  <c:v>103621.96032240058</c:v>
                </c:pt>
                <c:pt idx="10">
                  <c:v>103959.09129243642</c:v>
                </c:pt>
                <c:pt idx="11">
                  <c:v>104031.68239258004</c:v>
                </c:pt>
                <c:pt idx="12">
                  <c:v>103534.73354173475</c:v>
                </c:pt>
                <c:pt idx="13">
                  <c:v>103417.50820768382</c:v>
                </c:pt>
                <c:pt idx="14">
                  <c:v>104699.03264867455</c:v>
                </c:pt>
                <c:pt idx="15">
                  <c:v>107147.69761007995</c:v>
                </c:pt>
                <c:pt idx="16">
                  <c:v>107385.56331203663</c:v>
                </c:pt>
                <c:pt idx="17">
                  <c:v>108347.96339500845</c:v>
                </c:pt>
                <c:pt idx="18">
                  <c:v>108192.91498181665</c:v>
                </c:pt>
                <c:pt idx="19">
                  <c:v>106774.68613909656</c:v>
                </c:pt>
                <c:pt idx="20">
                  <c:v>108771.44283225904</c:v>
                </c:pt>
                <c:pt idx="21">
                  <c:v>108961.78590203503</c:v>
                </c:pt>
                <c:pt idx="22">
                  <c:v>108236.92371998598</c:v>
                </c:pt>
                <c:pt idx="23">
                  <c:v>108424.86133662827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AE-A64C-AF67-63A7F00B0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44304072"/>
        <c:axId val="-2031955352"/>
      </c:lineChart>
      <c:dateAx>
        <c:axId val="-2044304072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GR"/>
          </a:p>
        </c:txPr>
        <c:crossAx val="-2031955352"/>
        <c:crosses val="autoZero"/>
        <c:auto val="1"/>
        <c:lblOffset val="100"/>
        <c:baseTimeUnit val="days"/>
        <c:majorUnit val="4"/>
        <c:majorTimeUnit val="days"/>
      </c:dateAx>
      <c:valAx>
        <c:axId val="-2031955352"/>
        <c:scaling>
          <c:orientation val="minMax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GR"/>
          </a:p>
        </c:txPr>
        <c:crossAx val="-204430407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ΑΠΟΔΟΣΗ ΧΑΡΤΟΦΥΛΑΚΙΟΥ</c:v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'Διαχείριση Αποδόσεων'!$A$5:$A$28</c:f>
              <c:numCache>
                <c:formatCode>d\-mmm</c:formatCode>
                <c:ptCount val="24"/>
                <c:pt idx="0">
                  <c:v>42121</c:v>
                </c:pt>
                <c:pt idx="1">
                  <c:v>42122</c:v>
                </c:pt>
                <c:pt idx="2">
                  <c:v>42123</c:v>
                </c:pt>
                <c:pt idx="3">
                  <c:v>42124</c:v>
                </c:pt>
                <c:pt idx="4">
                  <c:v>42128</c:v>
                </c:pt>
                <c:pt idx="5">
                  <c:v>42129</c:v>
                </c:pt>
                <c:pt idx="6">
                  <c:v>42130</c:v>
                </c:pt>
                <c:pt idx="7">
                  <c:v>42131</c:v>
                </c:pt>
                <c:pt idx="8">
                  <c:v>42132</c:v>
                </c:pt>
                <c:pt idx="9">
                  <c:v>42135</c:v>
                </c:pt>
                <c:pt idx="10">
                  <c:v>42136</c:v>
                </c:pt>
                <c:pt idx="11">
                  <c:v>42137</c:v>
                </c:pt>
                <c:pt idx="12">
                  <c:v>42138</c:v>
                </c:pt>
                <c:pt idx="13">
                  <c:v>42139</c:v>
                </c:pt>
                <c:pt idx="14">
                  <c:v>42142</c:v>
                </c:pt>
                <c:pt idx="15">
                  <c:v>42143</c:v>
                </c:pt>
                <c:pt idx="16">
                  <c:v>42144</c:v>
                </c:pt>
                <c:pt idx="17">
                  <c:v>42145</c:v>
                </c:pt>
                <c:pt idx="18">
                  <c:v>42146</c:v>
                </c:pt>
                <c:pt idx="19">
                  <c:v>42149</c:v>
                </c:pt>
                <c:pt idx="20">
                  <c:v>42150</c:v>
                </c:pt>
                <c:pt idx="21">
                  <c:v>42151</c:v>
                </c:pt>
                <c:pt idx="22">
                  <c:v>42152</c:v>
                </c:pt>
                <c:pt idx="23">
                  <c:v>42153</c:v>
                </c:pt>
              </c:numCache>
            </c:numRef>
          </c:cat>
          <c:val>
            <c:numRef>
              <c:f>'Διαχείριση Αποδόσεων'!$H$5:$H$28</c:f>
              <c:numCache>
                <c:formatCode>0.00%</c:formatCode>
                <c:ptCount val="24"/>
                <c:pt idx="0">
                  <c:v>1.899E-2</c:v>
                </c:pt>
                <c:pt idx="1">
                  <c:v>2.3086495033333484E-2</c:v>
                </c:pt>
                <c:pt idx="2">
                  <c:v>1.8508992488336953E-2</c:v>
                </c:pt>
                <c:pt idx="3">
                  <c:v>1.7743949920835729E-2</c:v>
                </c:pt>
                <c:pt idx="4">
                  <c:v>2.1347115607528395E-2</c:v>
                </c:pt>
                <c:pt idx="5">
                  <c:v>1.4768168420373694E-2</c:v>
                </c:pt>
                <c:pt idx="6">
                  <c:v>1.0115822361309255E-2</c:v>
                </c:pt>
                <c:pt idx="7">
                  <c:v>3.7071377430460267E-2</c:v>
                </c:pt>
                <c:pt idx="8">
                  <c:v>4.4458181927952825E-2</c:v>
                </c:pt>
                <c:pt idx="9">
                  <c:v>3.6219603224005845E-2</c:v>
                </c:pt>
                <c:pt idx="10">
                  <c:v>3.9590912924364237E-2</c:v>
                </c:pt>
                <c:pt idx="11">
                  <c:v>4.0316823925800417E-2</c:v>
                </c:pt>
                <c:pt idx="12">
                  <c:v>3.5347335417347497E-2</c:v>
                </c:pt>
                <c:pt idx="13">
                  <c:v>3.4175082076838149E-2</c:v>
                </c:pt>
                <c:pt idx="14">
                  <c:v>4.6990326486745469E-2</c:v>
                </c:pt>
                <c:pt idx="15">
                  <c:v>7.1476976100799505E-2</c:v>
                </c:pt>
                <c:pt idx="16">
                  <c:v>7.3855633120366262E-2</c:v>
                </c:pt>
                <c:pt idx="17">
                  <c:v>8.3479633950084536E-2</c:v>
                </c:pt>
                <c:pt idx="18">
                  <c:v>8.1929149818166486E-2</c:v>
                </c:pt>
                <c:pt idx="19">
                  <c:v>6.774686139096564E-2</c:v>
                </c:pt>
                <c:pt idx="20">
                  <c:v>8.7714428322590396E-2</c:v>
                </c:pt>
                <c:pt idx="21">
                  <c:v>8.9617859020350299E-2</c:v>
                </c:pt>
                <c:pt idx="22">
                  <c:v>8.2369237199859779E-2</c:v>
                </c:pt>
                <c:pt idx="23">
                  <c:v>8.4248613366282657E-2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4A-7C41-AEC0-006938311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7264024"/>
        <c:axId val="-2046807336"/>
      </c:lineChart>
      <c:dateAx>
        <c:axId val="-2067264024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GR"/>
          </a:p>
        </c:txPr>
        <c:crossAx val="-2046807336"/>
        <c:crosses val="autoZero"/>
        <c:auto val="1"/>
        <c:lblOffset val="100"/>
        <c:baseTimeUnit val="days"/>
        <c:majorUnit val="4"/>
        <c:majorTimeUnit val="days"/>
      </c:dateAx>
      <c:valAx>
        <c:axId val="-204680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GR"/>
          </a:p>
        </c:txPr>
        <c:crossAx val="-2067264024"/>
        <c:crosses val="autoZero"/>
        <c:crossBetween val="between"/>
        <c:majorUnit val="1.4999999999999999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G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/>
              <a:t>ΚΙΝΔΥΝΟΣ - ΤΥΠΙΚΗ ΑΠΟΚΛΙΣΗ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ΚΙΝΔΥΝΟΣ Γ.Δ.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'Τυπική Απόκλιση'!$A$15:$A$38</c:f>
              <c:numCache>
                <c:formatCode>d\-mmm</c:formatCode>
                <c:ptCount val="24"/>
                <c:pt idx="0">
                  <c:v>42121</c:v>
                </c:pt>
                <c:pt idx="1">
                  <c:v>42122</c:v>
                </c:pt>
                <c:pt idx="2">
                  <c:v>42123</c:v>
                </c:pt>
                <c:pt idx="3">
                  <c:v>42124</c:v>
                </c:pt>
                <c:pt idx="4">
                  <c:v>42128</c:v>
                </c:pt>
                <c:pt idx="5">
                  <c:v>42129</c:v>
                </c:pt>
                <c:pt idx="6">
                  <c:v>42130</c:v>
                </c:pt>
                <c:pt idx="7">
                  <c:v>42131</c:v>
                </c:pt>
                <c:pt idx="8">
                  <c:v>42132</c:v>
                </c:pt>
                <c:pt idx="9">
                  <c:v>42135</c:v>
                </c:pt>
                <c:pt idx="10">
                  <c:v>42136</c:v>
                </c:pt>
                <c:pt idx="11">
                  <c:v>42137</c:v>
                </c:pt>
                <c:pt idx="12">
                  <c:v>42138</c:v>
                </c:pt>
                <c:pt idx="13">
                  <c:v>42139</c:v>
                </c:pt>
                <c:pt idx="14">
                  <c:v>42142</c:v>
                </c:pt>
                <c:pt idx="15">
                  <c:v>42143</c:v>
                </c:pt>
                <c:pt idx="16">
                  <c:v>42144</c:v>
                </c:pt>
                <c:pt idx="17">
                  <c:v>42145</c:v>
                </c:pt>
                <c:pt idx="18">
                  <c:v>42146</c:v>
                </c:pt>
                <c:pt idx="19">
                  <c:v>42149</c:v>
                </c:pt>
                <c:pt idx="20">
                  <c:v>42150</c:v>
                </c:pt>
                <c:pt idx="21">
                  <c:v>42151</c:v>
                </c:pt>
                <c:pt idx="22">
                  <c:v>42152</c:v>
                </c:pt>
                <c:pt idx="23">
                  <c:v>42153</c:v>
                </c:pt>
              </c:numCache>
            </c:numRef>
          </c:cat>
          <c:val>
            <c:numRef>
              <c:f>'Τυπική Απόκλιση'!$L$15:$L$38</c:f>
              <c:numCache>
                <c:formatCode>0.000%</c:formatCode>
                <c:ptCount val="24"/>
                <c:pt idx="0">
                  <c:v>2.5738667703506239E-2</c:v>
                </c:pt>
                <c:pt idx="1">
                  <c:v>2.5517759737766439E-2</c:v>
                </c:pt>
                <c:pt idx="2">
                  <c:v>2.5747825288175093E-2</c:v>
                </c:pt>
                <c:pt idx="3">
                  <c:v>2.5660114277131465E-2</c:v>
                </c:pt>
                <c:pt idx="4">
                  <c:v>2.4321025886750409E-2</c:v>
                </c:pt>
                <c:pt idx="5">
                  <c:v>2.7886915321444033E-2</c:v>
                </c:pt>
                <c:pt idx="6">
                  <c:v>2.6310122226241042E-2</c:v>
                </c:pt>
                <c:pt idx="7">
                  <c:v>2.6679154279326538E-2</c:v>
                </c:pt>
                <c:pt idx="8">
                  <c:v>2.317299684863278E-2</c:v>
                </c:pt>
                <c:pt idx="9">
                  <c:v>2.5747408055555126E-2</c:v>
                </c:pt>
                <c:pt idx="10">
                  <c:v>2.5451163496694473E-2</c:v>
                </c:pt>
                <c:pt idx="11">
                  <c:v>2.4451134114143049E-2</c:v>
                </c:pt>
                <c:pt idx="12">
                  <c:v>2.3415905136037474E-2</c:v>
                </c:pt>
                <c:pt idx="13">
                  <c:v>2.4158267097527782E-2</c:v>
                </c:pt>
                <c:pt idx="14">
                  <c:v>2.346154531101367E-2</c:v>
                </c:pt>
                <c:pt idx="15">
                  <c:v>2.322383710743495E-2</c:v>
                </c:pt>
                <c:pt idx="16">
                  <c:v>2.274138398747285E-2</c:v>
                </c:pt>
                <c:pt idx="17">
                  <c:v>2.2062487316830207E-2</c:v>
                </c:pt>
                <c:pt idx="18">
                  <c:v>2.1634421619001823E-2</c:v>
                </c:pt>
                <c:pt idx="19">
                  <c:v>2.258723047933698E-2</c:v>
                </c:pt>
                <c:pt idx="20">
                  <c:v>2.206706617927582E-2</c:v>
                </c:pt>
                <c:pt idx="21">
                  <c:v>2.2563608911564524E-2</c:v>
                </c:pt>
                <c:pt idx="22">
                  <c:v>2.2527808743060946E-2</c:v>
                </c:pt>
                <c:pt idx="23">
                  <c:v>2.2362398152860421E-2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5-DD45-9C04-AAFA11A99AF7}"/>
            </c:ext>
          </c:extLst>
        </c:ser>
        <c:ser>
          <c:idx val="1"/>
          <c:order val="1"/>
          <c:tx>
            <c:v>ΚΙΝΔΥΝΟΣ ΧΑΡΤΟΦΥΛΑΚΙΟΥ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'Τυπική Απόκλιση'!$A$15:$A$38</c:f>
              <c:numCache>
                <c:formatCode>d\-mmm</c:formatCode>
                <c:ptCount val="24"/>
                <c:pt idx="0">
                  <c:v>42121</c:v>
                </c:pt>
                <c:pt idx="1">
                  <c:v>42122</c:v>
                </c:pt>
                <c:pt idx="2">
                  <c:v>42123</c:v>
                </c:pt>
                <c:pt idx="3">
                  <c:v>42124</c:v>
                </c:pt>
                <c:pt idx="4">
                  <c:v>42128</c:v>
                </c:pt>
                <c:pt idx="5">
                  <c:v>42129</c:v>
                </c:pt>
                <c:pt idx="6">
                  <c:v>42130</c:v>
                </c:pt>
                <c:pt idx="7">
                  <c:v>42131</c:v>
                </c:pt>
                <c:pt idx="8">
                  <c:v>42132</c:v>
                </c:pt>
                <c:pt idx="9">
                  <c:v>42135</c:v>
                </c:pt>
                <c:pt idx="10">
                  <c:v>42136</c:v>
                </c:pt>
                <c:pt idx="11">
                  <c:v>42137</c:v>
                </c:pt>
                <c:pt idx="12">
                  <c:v>42138</c:v>
                </c:pt>
                <c:pt idx="13">
                  <c:v>42139</c:v>
                </c:pt>
                <c:pt idx="14">
                  <c:v>42142</c:v>
                </c:pt>
                <c:pt idx="15">
                  <c:v>42143</c:v>
                </c:pt>
                <c:pt idx="16">
                  <c:v>42144</c:v>
                </c:pt>
                <c:pt idx="17">
                  <c:v>42145</c:v>
                </c:pt>
                <c:pt idx="18">
                  <c:v>42146</c:v>
                </c:pt>
                <c:pt idx="19">
                  <c:v>42149</c:v>
                </c:pt>
                <c:pt idx="20">
                  <c:v>42150</c:v>
                </c:pt>
                <c:pt idx="21">
                  <c:v>42151</c:v>
                </c:pt>
                <c:pt idx="22">
                  <c:v>42152</c:v>
                </c:pt>
                <c:pt idx="23">
                  <c:v>42153</c:v>
                </c:pt>
              </c:numCache>
            </c:numRef>
          </c:cat>
          <c:val>
            <c:numRef>
              <c:f>'Τυπική Απόκλιση'!$I$15:$I$38</c:f>
              <c:numCache>
                <c:formatCode>0.000%</c:formatCode>
                <c:ptCount val="24"/>
                <c:pt idx="0">
                  <c:v>9.4582183315101622E-3</c:v>
                </c:pt>
                <c:pt idx="1">
                  <c:v>9.4699065870257546E-3</c:v>
                </c:pt>
                <c:pt idx="2">
                  <c:v>9.5368541507328611E-3</c:v>
                </c:pt>
                <c:pt idx="3">
                  <c:v>9.4292105949442089E-3</c:v>
                </c:pt>
                <c:pt idx="4">
                  <c:v>9.142241802671645E-3</c:v>
                </c:pt>
                <c:pt idx="5">
                  <c:v>9.4831591712972469E-3</c:v>
                </c:pt>
                <c:pt idx="6">
                  <c:v>9.4014092531419895E-3</c:v>
                </c:pt>
                <c:pt idx="7">
                  <c:v>1.1636637067884471E-2</c:v>
                </c:pt>
                <c:pt idx="8">
                  <c:v>1.0699033283416523E-2</c:v>
                </c:pt>
                <c:pt idx="9">
                  <c:v>1.1348046592731038E-2</c:v>
                </c:pt>
                <c:pt idx="10">
                  <c:v>1.133997001570323E-2</c:v>
                </c:pt>
                <c:pt idx="11">
                  <c:v>1.0331236404417838E-2</c:v>
                </c:pt>
                <c:pt idx="12">
                  <c:v>1.014482206903853E-2</c:v>
                </c:pt>
                <c:pt idx="13">
                  <c:v>9.8011287140179638E-3</c:v>
                </c:pt>
                <c:pt idx="14">
                  <c:v>9.7874083405219119E-3</c:v>
                </c:pt>
                <c:pt idx="15">
                  <c:v>1.0728720242799245E-2</c:v>
                </c:pt>
                <c:pt idx="16">
                  <c:v>1.0401210991576655E-2</c:v>
                </c:pt>
                <c:pt idx="17">
                  <c:v>1.0151578653839992E-2</c:v>
                </c:pt>
                <c:pt idx="18">
                  <c:v>9.959341532941814E-3</c:v>
                </c:pt>
                <c:pt idx="19">
                  <c:v>1.0437733696811792E-2</c:v>
                </c:pt>
                <c:pt idx="20">
                  <c:v>1.0711822430322489E-2</c:v>
                </c:pt>
                <c:pt idx="21">
                  <c:v>1.0465323459362024E-2</c:v>
                </c:pt>
                <c:pt idx="22">
                  <c:v>1.0461452815118556E-2</c:v>
                </c:pt>
                <c:pt idx="23">
                  <c:v>1.023782872770518E-2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95-DD45-9C04-AAFA11A99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4008920"/>
        <c:axId val="-2064688808"/>
      </c:areaChart>
      <c:dateAx>
        <c:axId val="-20440089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GR"/>
          </a:p>
        </c:txPr>
        <c:crossAx val="-2064688808"/>
        <c:crosses val="autoZero"/>
        <c:auto val="1"/>
        <c:lblOffset val="100"/>
        <c:baseTimeUnit val="days"/>
        <c:majorUnit val="4"/>
        <c:majorTimeUnit val="days"/>
      </c:dateAx>
      <c:valAx>
        <c:axId val="-2064688808"/>
        <c:scaling>
          <c:orientation val="minMax"/>
          <c:max val="0.04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GR"/>
          </a:p>
        </c:txPr>
        <c:crossAx val="-20440089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GR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G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323848</xdr:colOff>
      <xdr:row>0</xdr:row>
      <xdr:rowOff>0</xdr:rowOff>
    </xdr:from>
    <xdr:to>
      <xdr:col>18</xdr:col>
      <xdr:colOff>352425</xdr:colOff>
      <xdr:row>11</xdr:row>
      <xdr:rowOff>176213</xdr:rowOff>
    </xdr:to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295275</xdr:colOff>
      <xdr:row>12</xdr:row>
      <xdr:rowOff>28574</xdr:rowOff>
    </xdr:from>
    <xdr:to>
      <xdr:col>11</xdr:col>
      <xdr:colOff>209550</xdr:colOff>
      <xdr:row>29</xdr:row>
      <xdr:rowOff>38100</xdr:rowOff>
    </xdr:to>
    <xdr:graphicFrame macro="">
      <xdr:nvGraphicFramePr>
        <xdr:cNvPr id="3" name="Γράφημα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238125</xdr:colOff>
      <xdr:row>12</xdr:row>
      <xdr:rowOff>38100</xdr:rowOff>
    </xdr:from>
    <xdr:to>
      <xdr:col>18</xdr:col>
      <xdr:colOff>466724</xdr:colOff>
      <xdr:row>29</xdr:row>
      <xdr:rowOff>38101</xdr:rowOff>
    </xdr:to>
    <xdr:graphicFrame macro="">
      <xdr:nvGraphicFramePr>
        <xdr:cNvPr id="4" name="Γράφημα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247649</xdr:colOff>
      <xdr:row>30</xdr:row>
      <xdr:rowOff>14287</xdr:rowOff>
    </xdr:from>
    <xdr:to>
      <xdr:col>12</xdr:col>
      <xdr:colOff>238124</xdr:colOff>
      <xdr:row>44</xdr:row>
      <xdr:rowOff>28575</xdr:rowOff>
    </xdr:to>
    <xdr:graphicFrame macro="">
      <xdr:nvGraphicFramePr>
        <xdr:cNvPr id="5" name="Γράφημα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tabSelected="1" workbookViewId="0">
      <selection activeCell="C13" sqref="C13"/>
    </sheetView>
  </sheetViews>
  <sheetFormatPr baseColWidth="10" defaultColWidth="8.83203125" defaultRowHeight="15" x14ac:dyDescent="0.2"/>
  <cols>
    <col min="1" max="1" width="37.5" style="43" bestFit="1" customWidth="1"/>
    <col min="2" max="2" width="11.5" style="43" bestFit="1" customWidth="1"/>
    <col min="3" max="16384" width="8.83203125" style="43"/>
  </cols>
  <sheetData>
    <row r="1" spans="1:2" ht="15" customHeight="1" x14ac:dyDescent="0.2">
      <c r="A1" s="136" t="s">
        <v>124</v>
      </c>
      <c r="B1" s="131">
        <f>'Διαχείριση Σταθμίσεων'!G2</f>
        <v>100000</v>
      </c>
    </row>
    <row r="2" spans="1:2" x14ac:dyDescent="0.2">
      <c r="A2" s="137" t="s">
        <v>123</v>
      </c>
      <c r="B2" s="132">
        <f>'Διαχείριση Σταθμίσεων'!G4</f>
        <v>108424.86133662827</v>
      </c>
    </row>
    <row r="3" spans="1:2" x14ac:dyDescent="0.2">
      <c r="A3" s="137" t="s">
        <v>131</v>
      </c>
      <c r="B3" s="133">
        <f>COUNT('Διαχείριση Αποδόσεων'!A5:A28)</f>
        <v>24</v>
      </c>
    </row>
    <row r="4" spans="1:2" x14ac:dyDescent="0.2">
      <c r="A4" s="137" t="s">
        <v>126</v>
      </c>
      <c r="B4" s="134">
        <f>(B2-B1)/B1</f>
        <v>8.4248613366282657E-2</v>
      </c>
    </row>
    <row r="5" spans="1:2" x14ac:dyDescent="0.2">
      <c r="A5" s="137" t="s">
        <v>127</v>
      </c>
      <c r="B5" s="135">
        <f>'Διαχείριση Αποδόσεων'!S5</f>
        <v>9.1498168449728162E-2</v>
      </c>
    </row>
    <row r="6" spans="1:2" x14ac:dyDescent="0.2">
      <c r="A6" s="137" t="s">
        <v>74</v>
      </c>
      <c r="B6" s="135">
        <f>B4-B5</f>
        <v>-7.2495550834455053E-3</v>
      </c>
    </row>
    <row r="7" spans="1:2" x14ac:dyDescent="0.2">
      <c r="A7" s="137" t="s">
        <v>130</v>
      </c>
      <c r="B7" s="135">
        <v>2.5000000000000001E-2</v>
      </c>
    </row>
    <row r="8" spans="1:2" x14ac:dyDescent="0.2">
      <c r="A8" s="137" t="s">
        <v>128</v>
      </c>
      <c r="B8" s="135">
        <f>B4-B7*B3/360</f>
        <v>8.2581946699615993E-2</v>
      </c>
    </row>
    <row r="9" spans="1:2" x14ac:dyDescent="0.2">
      <c r="A9" s="137" t="s">
        <v>71</v>
      </c>
      <c r="B9" s="135">
        <f>'Τυπική Απόκλιση'!J3</f>
        <v>1.023782872770518E-2</v>
      </c>
    </row>
    <row r="10" spans="1:2" x14ac:dyDescent="0.2">
      <c r="A10" s="137" t="s">
        <v>100</v>
      </c>
      <c r="B10" s="135">
        <f>'Τυπική Απόκλιση'!M3</f>
        <v>2.2362398152860421E-2</v>
      </c>
    </row>
    <row r="11" spans="1:2" x14ac:dyDescent="0.2">
      <c r="A11" s="137" t="s">
        <v>125</v>
      </c>
      <c r="B11" s="135">
        <f>'Sharp Ratio'!J4</f>
        <v>8.2291485438013456</v>
      </c>
    </row>
    <row r="12" spans="1:2" x14ac:dyDescent="0.2">
      <c r="A12" s="137" t="s">
        <v>129</v>
      </c>
      <c r="B12" s="166">
        <f>'Sharp Ratio'!C5</f>
        <v>7.9965843503304042</v>
      </c>
    </row>
    <row r="13" spans="1:2" x14ac:dyDescent="0.2">
      <c r="A13" s="137" t="s">
        <v>138</v>
      </c>
      <c r="B13" s="166">
        <f>'Sharp Ratio'!F5</f>
        <v>3.9851368113386627</v>
      </c>
    </row>
    <row r="14" spans="1:2" x14ac:dyDescent="0.2">
      <c r="A14" s="160" t="s">
        <v>151</v>
      </c>
      <c r="B14" s="161">
        <f>'Βήτα Χαρτοφυλακίου'!F13</f>
        <v>0.2891699074259742</v>
      </c>
    </row>
    <row r="15" spans="1:2" ht="16" thickBot="1" x14ac:dyDescent="0.25">
      <c r="A15" s="140" t="s">
        <v>133</v>
      </c>
      <c r="B15" s="141" t="str">
        <f>IF(B5&gt;0,IF(B5&gt;B4,"ΑΜΥΝΤΙΚΟ","ΕΠΙΘΕΤΙΚΟ"),IF(B5&gt;B4,"ΕΠΙΘΕΤΙΚΟ","ΑΜΥΝΤΙΚΟ"))</f>
        <v>ΑΜΥΝΤΙΚΟ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53"/>
  <sheetViews>
    <sheetView zoomScale="80" zoomScaleNormal="80" zoomScalePageLayoutView="80" workbookViewId="0">
      <selection activeCell="H25" sqref="H25"/>
    </sheetView>
  </sheetViews>
  <sheetFormatPr baseColWidth="10" defaultColWidth="8.83203125" defaultRowHeight="15" x14ac:dyDescent="0.2"/>
  <cols>
    <col min="1" max="19" width="14.6640625" style="46" customWidth="1"/>
    <col min="20" max="16384" width="8.83203125" style="43"/>
  </cols>
  <sheetData>
    <row r="1" spans="1:19" x14ac:dyDescent="0.2">
      <c r="A1" s="3" t="s">
        <v>39</v>
      </c>
      <c r="B1" s="262">
        <v>42121</v>
      </c>
      <c r="C1" s="183"/>
      <c r="D1" s="262">
        <v>42122</v>
      </c>
      <c r="E1" s="183"/>
      <c r="F1" s="262">
        <v>42123</v>
      </c>
      <c r="G1" s="183"/>
      <c r="H1" s="262">
        <v>42124</v>
      </c>
      <c r="I1" s="183"/>
      <c r="J1" s="262">
        <v>42128</v>
      </c>
      <c r="K1" s="183"/>
      <c r="L1" s="262">
        <v>42129</v>
      </c>
      <c r="M1" s="183"/>
      <c r="N1" s="262">
        <v>42130</v>
      </c>
      <c r="O1" s="183"/>
      <c r="P1" s="262">
        <v>42131</v>
      </c>
      <c r="Q1" s="183"/>
      <c r="R1" s="262">
        <v>42132</v>
      </c>
      <c r="S1" s="183"/>
    </row>
    <row r="2" spans="1:19" x14ac:dyDescent="0.2">
      <c r="A2" s="3" t="s">
        <v>7</v>
      </c>
      <c r="B2" s="3" t="s">
        <v>10</v>
      </c>
      <c r="C2" s="3" t="s">
        <v>51</v>
      </c>
      <c r="D2" s="3" t="s">
        <v>10</v>
      </c>
      <c r="E2" s="3" t="s">
        <v>51</v>
      </c>
      <c r="F2" s="3" t="s">
        <v>10</v>
      </c>
      <c r="G2" s="3" t="s">
        <v>51</v>
      </c>
      <c r="H2" s="3" t="s">
        <v>10</v>
      </c>
      <c r="I2" s="3" t="s">
        <v>51</v>
      </c>
      <c r="J2" s="3" t="s">
        <v>10</v>
      </c>
      <c r="K2" s="3" t="s">
        <v>51</v>
      </c>
      <c r="L2" s="3" t="s">
        <v>10</v>
      </c>
      <c r="M2" s="3" t="s">
        <v>51</v>
      </c>
      <c r="N2" s="3" t="s">
        <v>10</v>
      </c>
      <c r="O2" s="3" t="s">
        <v>51</v>
      </c>
      <c r="P2" s="3" t="s">
        <v>10</v>
      </c>
      <c r="Q2" s="3" t="s">
        <v>51</v>
      </c>
      <c r="R2" s="3" t="s">
        <v>10</v>
      </c>
      <c r="S2" s="3" t="s">
        <v>51</v>
      </c>
    </row>
    <row r="3" spans="1:19" x14ac:dyDescent="0.2">
      <c r="A3" s="3" t="s">
        <v>12</v>
      </c>
      <c r="B3" s="7">
        <f>'Διαχείριση Σταθμίσεων'!E4</f>
        <v>2883</v>
      </c>
      <c r="C3" s="6">
        <f>'Διαχείριση Σταθμίσεων'!D4</f>
        <v>5.0599999999999996</v>
      </c>
      <c r="D3" s="7">
        <f>B3</f>
        <v>2883</v>
      </c>
      <c r="E3" s="6">
        <f>C3</f>
        <v>5.0599999999999996</v>
      </c>
      <c r="F3" s="7">
        <f>D3-'Ημερολόγιο Συναλλαγών'!I7</f>
        <v>1216</v>
      </c>
      <c r="G3" s="6">
        <f t="shared" ref="G3:M3" si="0">E3</f>
        <v>5.0599999999999996</v>
      </c>
      <c r="H3" s="7">
        <f t="shared" si="0"/>
        <v>1216</v>
      </c>
      <c r="I3" s="6">
        <f t="shared" si="0"/>
        <v>5.0599999999999996</v>
      </c>
      <c r="J3" s="7">
        <f t="shared" si="0"/>
        <v>1216</v>
      </c>
      <c r="K3" s="6">
        <f t="shared" si="0"/>
        <v>5.0599999999999996</v>
      </c>
      <c r="L3" s="7">
        <f t="shared" si="0"/>
        <v>1216</v>
      </c>
      <c r="M3" s="6">
        <f t="shared" si="0"/>
        <v>5.0599999999999996</v>
      </c>
      <c r="N3" s="7">
        <f t="shared" ref="N3:S3" si="1">L3</f>
        <v>1216</v>
      </c>
      <c r="O3" s="6">
        <f t="shared" si="1"/>
        <v>5.0599999999999996</v>
      </c>
      <c r="P3" s="7">
        <f t="shared" si="1"/>
        <v>1216</v>
      </c>
      <c r="Q3" s="6">
        <f t="shared" si="1"/>
        <v>5.0599999999999996</v>
      </c>
      <c r="R3" s="7">
        <f t="shared" si="1"/>
        <v>1216</v>
      </c>
      <c r="S3" s="6">
        <f t="shared" si="1"/>
        <v>5.0599999999999996</v>
      </c>
    </row>
    <row r="4" spans="1:19" x14ac:dyDescent="0.2">
      <c r="A4" s="3" t="s">
        <v>14</v>
      </c>
      <c r="B4" s="7">
        <f>'Διαχείριση Σταθμίσεων'!E6</f>
        <v>1217</v>
      </c>
      <c r="C4" s="6">
        <f>'Διαχείριση Σταθμίσεων'!D6</f>
        <v>18.829999999999998</v>
      </c>
      <c r="D4" s="7">
        <f t="shared" ref="D4:E17" si="2">B4</f>
        <v>1217</v>
      </c>
      <c r="E4" s="6">
        <f t="shared" si="2"/>
        <v>18.829999999999998</v>
      </c>
      <c r="F4" s="7">
        <f>D4</f>
        <v>1217</v>
      </c>
      <c r="G4" s="6">
        <f t="shared" ref="G4:G9" si="3">E4</f>
        <v>18.829999999999998</v>
      </c>
      <c r="H4" s="7">
        <f t="shared" ref="H4:H17" si="4">F4</f>
        <v>1217</v>
      </c>
      <c r="I4" s="6">
        <f t="shared" ref="I4:I17" si="5">G4</f>
        <v>18.829999999999998</v>
      </c>
      <c r="J4" s="7">
        <f t="shared" ref="J4:J5" si="6">H4</f>
        <v>1217</v>
      </c>
      <c r="K4" s="6">
        <f t="shared" ref="K4:K5" si="7">I4</f>
        <v>18.829999999999998</v>
      </c>
      <c r="L4" s="7">
        <f t="shared" ref="L4:L17" si="8">J4</f>
        <v>1217</v>
      </c>
      <c r="M4" s="6">
        <f t="shared" ref="M4:M17" si="9">K4</f>
        <v>18.829999999999998</v>
      </c>
      <c r="N4" s="7">
        <f t="shared" ref="N4:N17" si="10">L4</f>
        <v>1217</v>
      </c>
      <c r="O4" s="6">
        <f t="shared" ref="O4:O17" si="11">M4</f>
        <v>18.829999999999998</v>
      </c>
      <c r="P4" s="7">
        <f t="shared" ref="P4:P17" si="12">N4</f>
        <v>1217</v>
      </c>
      <c r="Q4" s="6">
        <f t="shared" ref="Q4:Q17" si="13">O4</f>
        <v>18.829999999999998</v>
      </c>
      <c r="R4" s="7">
        <f t="shared" ref="R4:R17" si="14">P4</f>
        <v>1217</v>
      </c>
      <c r="S4" s="6">
        <f t="shared" ref="S4:S17" si="15">Q4</f>
        <v>18.829999999999998</v>
      </c>
    </row>
    <row r="5" spans="1:19" x14ac:dyDescent="0.2">
      <c r="A5" s="3" t="s">
        <v>15</v>
      </c>
      <c r="B5" s="7">
        <f>'Διαχείριση Σταθμίσεων'!E7</f>
        <v>249</v>
      </c>
      <c r="C5" s="6">
        <f>'Διαχείριση Σταθμίσεων'!D7</f>
        <v>22.13</v>
      </c>
      <c r="D5" s="7">
        <f t="shared" si="2"/>
        <v>249</v>
      </c>
      <c r="E5" s="6">
        <f t="shared" si="2"/>
        <v>22.13</v>
      </c>
      <c r="F5" s="7">
        <f t="shared" ref="F5:F7" si="16">D5</f>
        <v>249</v>
      </c>
      <c r="G5" s="6">
        <f t="shared" si="3"/>
        <v>22.13</v>
      </c>
      <c r="H5" s="7">
        <f t="shared" si="4"/>
        <v>249</v>
      </c>
      <c r="I5" s="6">
        <f t="shared" si="5"/>
        <v>22.13</v>
      </c>
      <c r="J5" s="7">
        <f t="shared" si="6"/>
        <v>249</v>
      </c>
      <c r="K5" s="6">
        <f t="shared" si="7"/>
        <v>22.13</v>
      </c>
      <c r="L5" s="7">
        <f t="shared" si="8"/>
        <v>249</v>
      </c>
      <c r="M5" s="6">
        <f t="shared" si="9"/>
        <v>22.13</v>
      </c>
      <c r="N5" s="7">
        <f t="shared" si="10"/>
        <v>249</v>
      </c>
      <c r="O5" s="6">
        <f t="shared" si="11"/>
        <v>22.13</v>
      </c>
      <c r="P5" s="7">
        <f t="shared" si="12"/>
        <v>249</v>
      </c>
      <c r="Q5" s="6">
        <f t="shared" si="13"/>
        <v>22.13</v>
      </c>
      <c r="R5" s="7">
        <f t="shared" si="14"/>
        <v>249</v>
      </c>
      <c r="S5" s="6">
        <f t="shared" si="15"/>
        <v>22.13</v>
      </c>
    </row>
    <row r="6" spans="1:19" x14ac:dyDescent="0.2">
      <c r="A6" s="3" t="s">
        <v>13</v>
      </c>
      <c r="B6" s="7">
        <f>'Διαχείριση Σταθμίσεων'!E5</f>
        <v>216</v>
      </c>
      <c r="C6" s="6">
        <f>'Διαχείριση Σταθμίσεων'!D5</f>
        <v>18.75</v>
      </c>
      <c r="D6" s="7">
        <f t="shared" si="2"/>
        <v>216</v>
      </c>
      <c r="E6" s="6">
        <f>C6</f>
        <v>18.75</v>
      </c>
      <c r="F6" s="7">
        <f t="shared" si="16"/>
        <v>216</v>
      </c>
      <c r="G6" s="6">
        <f>E6</f>
        <v>18.75</v>
      </c>
      <c r="H6" s="7">
        <f t="shared" si="4"/>
        <v>216</v>
      </c>
      <c r="I6" s="6">
        <f>G6</f>
        <v>18.75</v>
      </c>
      <c r="J6" s="7">
        <f>H6+'Ημερολόγιο Συναλλαγών'!I11</f>
        <v>794</v>
      </c>
      <c r="K6" s="6">
        <f>(I6*H6+'Ημερολόγιο Συναλλαγών'!H11*'Ημερολόγιο Συναλλαγών'!I11)/J6</f>
        <v>17.694458438287153</v>
      </c>
      <c r="L6" s="7">
        <f t="shared" si="8"/>
        <v>794</v>
      </c>
      <c r="M6" s="6">
        <f t="shared" si="9"/>
        <v>17.694458438287153</v>
      </c>
      <c r="N6" s="7">
        <f t="shared" si="10"/>
        <v>794</v>
      </c>
      <c r="O6" s="6">
        <f t="shared" si="11"/>
        <v>17.694458438287153</v>
      </c>
      <c r="P6" s="7">
        <f t="shared" si="12"/>
        <v>794</v>
      </c>
      <c r="Q6" s="6">
        <f t="shared" si="13"/>
        <v>17.694458438287153</v>
      </c>
      <c r="R6" s="7">
        <f t="shared" si="14"/>
        <v>794</v>
      </c>
      <c r="S6" s="6">
        <f t="shared" si="15"/>
        <v>17.694458438287153</v>
      </c>
    </row>
    <row r="7" spans="1:19" x14ac:dyDescent="0.2">
      <c r="A7" s="3" t="s">
        <v>16</v>
      </c>
      <c r="B7" s="7">
        <f>'Διαχείριση Σταθμίσεων'!E8</f>
        <v>5985</v>
      </c>
      <c r="C7" s="6">
        <f>'Διαχείριση Σταθμίσεων'!D8</f>
        <v>3.98</v>
      </c>
      <c r="D7" s="7">
        <f t="shared" si="2"/>
        <v>5985</v>
      </c>
      <c r="E7" s="6">
        <f t="shared" si="2"/>
        <v>3.98</v>
      </c>
      <c r="F7" s="7">
        <f t="shared" si="16"/>
        <v>5985</v>
      </c>
      <c r="G7" s="6">
        <f t="shared" si="3"/>
        <v>3.98</v>
      </c>
      <c r="H7" s="7">
        <f t="shared" si="4"/>
        <v>5985</v>
      </c>
      <c r="I7" s="6">
        <f t="shared" si="5"/>
        <v>3.98</v>
      </c>
      <c r="J7" s="7">
        <f>H7+'Ημερολόγιο Συναλλαγών'!I12</f>
        <v>8479</v>
      </c>
      <c r="K7" s="6">
        <f>(I7*H7+'Ημερολόγιο Συναλλαγών'!H12*'Ημερολόγιο Συναλλαγών'!I12)/J7</f>
        <v>3.9888241537917204</v>
      </c>
      <c r="L7" s="7">
        <f t="shared" si="8"/>
        <v>8479</v>
      </c>
      <c r="M7" s="6">
        <f t="shared" si="9"/>
        <v>3.9888241537917204</v>
      </c>
      <c r="N7" s="7">
        <f t="shared" si="10"/>
        <v>8479</v>
      </c>
      <c r="O7" s="6">
        <f t="shared" si="11"/>
        <v>3.9888241537917204</v>
      </c>
      <c r="P7" s="7">
        <f t="shared" si="12"/>
        <v>8479</v>
      </c>
      <c r="Q7" s="6">
        <f t="shared" si="13"/>
        <v>3.9888241537917204</v>
      </c>
      <c r="R7" s="7">
        <f t="shared" si="14"/>
        <v>8479</v>
      </c>
      <c r="S7" s="6">
        <f t="shared" si="15"/>
        <v>3.9888241537917204</v>
      </c>
    </row>
    <row r="8" spans="1:19" x14ac:dyDescent="0.2">
      <c r="A8" s="3" t="s">
        <v>20</v>
      </c>
      <c r="B8" s="7">
        <f>'Ημερολόγιο Συναλλαγών'!I2</f>
        <v>1142</v>
      </c>
      <c r="C8" s="6">
        <f>'Ημερολόγιο Συναλλαγών'!H2</f>
        <v>8.76</v>
      </c>
      <c r="D8" s="7">
        <f t="shared" si="2"/>
        <v>1142</v>
      </c>
      <c r="E8" s="6">
        <f t="shared" si="2"/>
        <v>8.76</v>
      </c>
      <c r="F8" s="7">
        <f>D8-'Ημερολόγιο Συναλλαγών'!I6</f>
        <v>456</v>
      </c>
      <c r="G8" s="6">
        <f t="shared" si="3"/>
        <v>8.76</v>
      </c>
      <c r="H8" s="7">
        <f t="shared" si="4"/>
        <v>456</v>
      </c>
      <c r="I8" s="6">
        <f t="shared" si="5"/>
        <v>8.76</v>
      </c>
      <c r="J8" s="7">
        <f>H8</f>
        <v>456</v>
      </c>
      <c r="K8" s="6">
        <f>I8</f>
        <v>8.76</v>
      </c>
      <c r="L8" s="7">
        <f t="shared" si="8"/>
        <v>456</v>
      </c>
      <c r="M8" s="6">
        <f t="shared" si="9"/>
        <v>8.76</v>
      </c>
      <c r="N8" s="7">
        <f t="shared" si="10"/>
        <v>456</v>
      </c>
      <c r="O8" s="6">
        <f t="shared" si="11"/>
        <v>8.76</v>
      </c>
      <c r="P8" s="7">
        <f t="shared" si="12"/>
        <v>456</v>
      </c>
      <c r="Q8" s="6">
        <f t="shared" si="13"/>
        <v>8.76</v>
      </c>
      <c r="R8" s="7">
        <f t="shared" si="14"/>
        <v>456</v>
      </c>
      <c r="S8" s="6">
        <f t="shared" si="15"/>
        <v>8.76</v>
      </c>
    </row>
    <row r="9" spans="1:19" x14ac:dyDescent="0.2">
      <c r="A9" s="3" t="s">
        <v>11</v>
      </c>
      <c r="B9" s="7">
        <f>'Διαχείριση Σταθμίσεων'!E3-'Ημερολόγιο Συναλλαγών'!I4</f>
        <v>0</v>
      </c>
      <c r="C9" s="6" t="s">
        <v>59</v>
      </c>
      <c r="D9" s="7">
        <f t="shared" si="2"/>
        <v>0</v>
      </c>
      <c r="E9" s="6" t="str">
        <f t="shared" si="2"/>
        <v>-</v>
      </c>
      <c r="F9" s="7">
        <v>0</v>
      </c>
      <c r="G9" s="6" t="str">
        <f t="shared" si="3"/>
        <v>-</v>
      </c>
      <c r="H9" s="7">
        <f t="shared" si="4"/>
        <v>0</v>
      </c>
      <c r="I9" s="6" t="str">
        <f t="shared" si="5"/>
        <v>-</v>
      </c>
      <c r="J9" s="7">
        <f t="shared" ref="J9:J17" si="17">H9</f>
        <v>0</v>
      </c>
      <c r="K9" s="6" t="str">
        <f t="shared" ref="K9:K17" si="18">I9</f>
        <v>-</v>
      </c>
      <c r="L9" s="7">
        <f t="shared" si="8"/>
        <v>0</v>
      </c>
      <c r="M9" s="6" t="str">
        <f t="shared" si="9"/>
        <v>-</v>
      </c>
      <c r="N9" s="7">
        <f t="shared" si="10"/>
        <v>0</v>
      </c>
      <c r="O9" s="6" t="str">
        <f t="shared" si="11"/>
        <v>-</v>
      </c>
      <c r="P9" s="7">
        <f t="shared" si="12"/>
        <v>0</v>
      </c>
      <c r="Q9" s="6" t="str">
        <f t="shared" si="13"/>
        <v>-</v>
      </c>
      <c r="R9" s="7">
        <f t="shared" si="14"/>
        <v>0</v>
      </c>
      <c r="S9" s="6" t="str">
        <f t="shared" si="15"/>
        <v>-</v>
      </c>
    </row>
    <row r="10" spans="1:19" x14ac:dyDescent="0.2">
      <c r="A10" s="3" t="s">
        <v>42</v>
      </c>
      <c r="B10" s="7">
        <v>0</v>
      </c>
      <c r="C10" s="6" t="s">
        <v>59</v>
      </c>
      <c r="D10" s="7">
        <f t="shared" si="2"/>
        <v>0</v>
      </c>
      <c r="E10" s="6" t="str">
        <f t="shared" si="2"/>
        <v>-</v>
      </c>
      <c r="F10" s="7">
        <f>'Ημερολόγιο Συναλλαγών'!I8</f>
        <v>481</v>
      </c>
      <c r="G10" s="6">
        <f>'Ημερολόγιο Συναλλαγών'!H8</f>
        <v>10.4</v>
      </c>
      <c r="H10" s="7">
        <f t="shared" si="4"/>
        <v>481</v>
      </c>
      <c r="I10" s="6">
        <f t="shared" si="5"/>
        <v>10.4</v>
      </c>
      <c r="J10" s="7">
        <f t="shared" si="17"/>
        <v>481</v>
      </c>
      <c r="K10" s="6">
        <f t="shared" si="18"/>
        <v>10.4</v>
      </c>
      <c r="L10" s="7">
        <f t="shared" si="8"/>
        <v>481</v>
      </c>
      <c r="M10" s="6">
        <f t="shared" si="9"/>
        <v>10.4</v>
      </c>
      <c r="N10" s="7">
        <f t="shared" si="10"/>
        <v>481</v>
      </c>
      <c r="O10" s="6">
        <f t="shared" si="11"/>
        <v>10.4</v>
      </c>
      <c r="P10" s="7">
        <f t="shared" si="12"/>
        <v>481</v>
      </c>
      <c r="Q10" s="6">
        <f t="shared" si="13"/>
        <v>10.4</v>
      </c>
      <c r="R10" s="7">
        <f t="shared" si="14"/>
        <v>481</v>
      </c>
      <c r="S10" s="6">
        <f t="shared" si="15"/>
        <v>10.4</v>
      </c>
    </row>
    <row r="11" spans="1:19" x14ac:dyDescent="0.2">
      <c r="A11" s="3" t="s">
        <v>52</v>
      </c>
      <c r="B11" s="7">
        <v>0</v>
      </c>
      <c r="C11" s="6" t="s">
        <v>59</v>
      </c>
      <c r="D11" s="7">
        <f t="shared" si="2"/>
        <v>0</v>
      </c>
      <c r="E11" s="6" t="str">
        <f t="shared" si="2"/>
        <v>-</v>
      </c>
      <c r="F11" s="7">
        <v>0</v>
      </c>
      <c r="G11" s="6" t="s">
        <v>59</v>
      </c>
      <c r="H11" s="7">
        <f t="shared" si="4"/>
        <v>0</v>
      </c>
      <c r="I11" s="6" t="str">
        <f t="shared" si="5"/>
        <v>-</v>
      </c>
      <c r="J11" s="7">
        <f t="shared" si="17"/>
        <v>0</v>
      </c>
      <c r="K11" s="6" t="str">
        <f t="shared" si="18"/>
        <v>-</v>
      </c>
      <c r="L11" s="7">
        <f t="shared" si="8"/>
        <v>0</v>
      </c>
      <c r="M11" s="6" t="str">
        <f t="shared" si="9"/>
        <v>-</v>
      </c>
      <c r="N11" s="7">
        <f t="shared" si="10"/>
        <v>0</v>
      </c>
      <c r="O11" s="6" t="str">
        <f t="shared" si="11"/>
        <v>-</v>
      </c>
      <c r="P11" s="7">
        <f t="shared" si="12"/>
        <v>0</v>
      </c>
      <c r="Q11" s="6" t="str">
        <f t="shared" si="13"/>
        <v>-</v>
      </c>
      <c r="R11" s="7">
        <f t="shared" si="14"/>
        <v>0</v>
      </c>
      <c r="S11" s="6" t="str">
        <f t="shared" si="15"/>
        <v>-</v>
      </c>
    </row>
    <row r="12" spans="1:19" x14ac:dyDescent="0.2">
      <c r="A12" s="3" t="s">
        <v>53</v>
      </c>
      <c r="B12" s="7">
        <v>0</v>
      </c>
      <c r="C12" s="6" t="s">
        <v>59</v>
      </c>
      <c r="D12" s="7">
        <f t="shared" si="2"/>
        <v>0</v>
      </c>
      <c r="E12" s="6" t="str">
        <f t="shared" si="2"/>
        <v>-</v>
      </c>
      <c r="F12" s="7">
        <v>0</v>
      </c>
      <c r="G12" s="6" t="s">
        <v>59</v>
      </c>
      <c r="H12" s="7">
        <f t="shared" si="4"/>
        <v>0</v>
      </c>
      <c r="I12" s="6" t="str">
        <f t="shared" si="5"/>
        <v>-</v>
      </c>
      <c r="J12" s="7">
        <f t="shared" si="17"/>
        <v>0</v>
      </c>
      <c r="K12" s="6" t="str">
        <f t="shared" si="18"/>
        <v>-</v>
      </c>
      <c r="L12" s="7">
        <f t="shared" si="8"/>
        <v>0</v>
      </c>
      <c r="M12" s="6" t="str">
        <f t="shared" si="9"/>
        <v>-</v>
      </c>
      <c r="N12" s="7">
        <f t="shared" si="10"/>
        <v>0</v>
      </c>
      <c r="O12" s="6" t="str">
        <f t="shared" si="11"/>
        <v>-</v>
      </c>
      <c r="P12" s="7">
        <f t="shared" si="12"/>
        <v>0</v>
      </c>
      <c r="Q12" s="6" t="str">
        <f t="shared" si="13"/>
        <v>-</v>
      </c>
      <c r="R12" s="7">
        <f t="shared" si="14"/>
        <v>0</v>
      </c>
      <c r="S12" s="6" t="str">
        <f t="shared" si="15"/>
        <v>-</v>
      </c>
    </row>
    <row r="13" spans="1:19" x14ac:dyDescent="0.2">
      <c r="A13" s="3" t="s">
        <v>54</v>
      </c>
      <c r="B13" s="7">
        <v>0</v>
      </c>
      <c r="C13" s="6" t="s">
        <v>59</v>
      </c>
      <c r="D13" s="7">
        <f t="shared" si="2"/>
        <v>0</v>
      </c>
      <c r="E13" s="6" t="str">
        <f t="shared" si="2"/>
        <v>-</v>
      </c>
      <c r="F13" s="7">
        <v>0</v>
      </c>
      <c r="G13" s="6" t="s">
        <v>59</v>
      </c>
      <c r="H13" s="7">
        <f t="shared" si="4"/>
        <v>0</v>
      </c>
      <c r="I13" s="6" t="str">
        <f t="shared" si="5"/>
        <v>-</v>
      </c>
      <c r="J13" s="7">
        <f t="shared" si="17"/>
        <v>0</v>
      </c>
      <c r="K13" s="6" t="str">
        <f t="shared" si="18"/>
        <v>-</v>
      </c>
      <c r="L13" s="7">
        <f t="shared" si="8"/>
        <v>0</v>
      </c>
      <c r="M13" s="6" t="str">
        <f t="shared" si="9"/>
        <v>-</v>
      </c>
      <c r="N13" s="7">
        <f t="shared" si="10"/>
        <v>0</v>
      </c>
      <c r="O13" s="6" t="str">
        <f t="shared" si="11"/>
        <v>-</v>
      </c>
      <c r="P13" s="7">
        <f t="shared" si="12"/>
        <v>0</v>
      </c>
      <c r="Q13" s="6" t="str">
        <f t="shared" si="13"/>
        <v>-</v>
      </c>
      <c r="R13" s="7">
        <f t="shared" si="14"/>
        <v>0</v>
      </c>
      <c r="S13" s="6" t="str">
        <f t="shared" si="15"/>
        <v>-</v>
      </c>
    </row>
    <row r="14" spans="1:19" x14ac:dyDescent="0.2">
      <c r="A14" s="3" t="s">
        <v>55</v>
      </c>
      <c r="B14" s="7">
        <v>0</v>
      </c>
      <c r="C14" s="6" t="s">
        <v>59</v>
      </c>
      <c r="D14" s="7">
        <f t="shared" si="2"/>
        <v>0</v>
      </c>
      <c r="E14" s="6" t="str">
        <f t="shared" si="2"/>
        <v>-</v>
      </c>
      <c r="F14" s="7">
        <v>0</v>
      </c>
      <c r="G14" s="6" t="s">
        <v>59</v>
      </c>
      <c r="H14" s="7">
        <f t="shared" si="4"/>
        <v>0</v>
      </c>
      <c r="I14" s="6" t="str">
        <f t="shared" si="5"/>
        <v>-</v>
      </c>
      <c r="J14" s="7">
        <f t="shared" si="17"/>
        <v>0</v>
      </c>
      <c r="K14" s="6" t="str">
        <f t="shared" si="18"/>
        <v>-</v>
      </c>
      <c r="L14" s="7">
        <f t="shared" si="8"/>
        <v>0</v>
      </c>
      <c r="M14" s="6" t="str">
        <f t="shared" si="9"/>
        <v>-</v>
      </c>
      <c r="N14" s="7">
        <f t="shared" si="10"/>
        <v>0</v>
      </c>
      <c r="O14" s="6" t="str">
        <f t="shared" si="11"/>
        <v>-</v>
      </c>
      <c r="P14" s="7">
        <f t="shared" si="12"/>
        <v>0</v>
      </c>
      <c r="Q14" s="6" t="str">
        <f t="shared" si="13"/>
        <v>-</v>
      </c>
      <c r="R14" s="7">
        <f t="shared" si="14"/>
        <v>0</v>
      </c>
      <c r="S14" s="6" t="str">
        <f t="shared" si="15"/>
        <v>-</v>
      </c>
    </row>
    <row r="15" spans="1:19" x14ac:dyDescent="0.2">
      <c r="A15" s="3" t="s">
        <v>56</v>
      </c>
      <c r="B15" s="7">
        <v>0</v>
      </c>
      <c r="C15" s="6" t="s">
        <v>59</v>
      </c>
      <c r="D15" s="7">
        <f t="shared" si="2"/>
        <v>0</v>
      </c>
      <c r="E15" s="6" t="str">
        <f t="shared" si="2"/>
        <v>-</v>
      </c>
      <c r="F15" s="7">
        <v>0</v>
      </c>
      <c r="G15" s="6" t="s">
        <v>59</v>
      </c>
      <c r="H15" s="7">
        <f t="shared" si="4"/>
        <v>0</v>
      </c>
      <c r="I15" s="6" t="str">
        <f t="shared" si="5"/>
        <v>-</v>
      </c>
      <c r="J15" s="7">
        <f t="shared" si="17"/>
        <v>0</v>
      </c>
      <c r="K15" s="6" t="str">
        <f t="shared" si="18"/>
        <v>-</v>
      </c>
      <c r="L15" s="7">
        <f t="shared" si="8"/>
        <v>0</v>
      </c>
      <c r="M15" s="6" t="str">
        <f t="shared" si="9"/>
        <v>-</v>
      </c>
      <c r="N15" s="7">
        <f t="shared" si="10"/>
        <v>0</v>
      </c>
      <c r="O15" s="6" t="str">
        <f t="shared" si="11"/>
        <v>-</v>
      </c>
      <c r="P15" s="7">
        <f t="shared" si="12"/>
        <v>0</v>
      </c>
      <c r="Q15" s="6" t="str">
        <f t="shared" si="13"/>
        <v>-</v>
      </c>
      <c r="R15" s="7">
        <f t="shared" si="14"/>
        <v>0</v>
      </c>
      <c r="S15" s="6" t="str">
        <f t="shared" si="15"/>
        <v>-</v>
      </c>
    </row>
    <row r="16" spans="1:19" x14ac:dyDescent="0.2">
      <c r="A16" s="3" t="s">
        <v>57</v>
      </c>
      <c r="B16" s="7">
        <v>0</v>
      </c>
      <c r="C16" s="6" t="s">
        <v>59</v>
      </c>
      <c r="D16" s="7">
        <f t="shared" si="2"/>
        <v>0</v>
      </c>
      <c r="E16" s="6" t="str">
        <f t="shared" si="2"/>
        <v>-</v>
      </c>
      <c r="F16" s="7">
        <v>0</v>
      </c>
      <c r="G16" s="6" t="s">
        <v>59</v>
      </c>
      <c r="H16" s="7">
        <f t="shared" si="4"/>
        <v>0</v>
      </c>
      <c r="I16" s="6" t="str">
        <f t="shared" si="5"/>
        <v>-</v>
      </c>
      <c r="J16" s="7">
        <f t="shared" si="17"/>
        <v>0</v>
      </c>
      <c r="K16" s="6" t="str">
        <f t="shared" si="18"/>
        <v>-</v>
      </c>
      <c r="L16" s="7">
        <f t="shared" si="8"/>
        <v>0</v>
      </c>
      <c r="M16" s="6" t="str">
        <f t="shared" si="9"/>
        <v>-</v>
      </c>
      <c r="N16" s="7">
        <f t="shared" si="10"/>
        <v>0</v>
      </c>
      <c r="O16" s="6" t="str">
        <f t="shared" si="11"/>
        <v>-</v>
      </c>
      <c r="P16" s="7">
        <f t="shared" si="12"/>
        <v>0</v>
      </c>
      <c r="Q16" s="6" t="str">
        <f t="shared" si="13"/>
        <v>-</v>
      </c>
      <c r="R16" s="7">
        <f t="shared" si="14"/>
        <v>0</v>
      </c>
      <c r="S16" s="6" t="str">
        <f t="shared" si="15"/>
        <v>-</v>
      </c>
    </row>
    <row r="17" spans="1:19" x14ac:dyDescent="0.2">
      <c r="A17" s="3" t="s">
        <v>58</v>
      </c>
      <c r="B17" s="7">
        <v>0</v>
      </c>
      <c r="C17" s="6" t="s">
        <v>59</v>
      </c>
      <c r="D17" s="7">
        <f t="shared" si="2"/>
        <v>0</v>
      </c>
      <c r="E17" s="6" t="str">
        <f t="shared" si="2"/>
        <v>-</v>
      </c>
      <c r="F17" s="7">
        <v>0</v>
      </c>
      <c r="G17" s="6" t="s">
        <v>59</v>
      </c>
      <c r="H17" s="7">
        <f t="shared" si="4"/>
        <v>0</v>
      </c>
      <c r="I17" s="6" t="str">
        <f t="shared" si="5"/>
        <v>-</v>
      </c>
      <c r="J17" s="7">
        <f t="shared" si="17"/>
        <v>0</v>
      </c>
      <c r="K17" s="6" t="str">
        <f t="shared" si="18"/>
        <v>-</v>
      </c>
      <c r="L17" s="7">
        <f t="shared" si="8"/>
        <v>0</v>
      </c>
      <c r="M17" s="6" t="str">
        <f t="shared" si="9"/>
        <v>-</v>
      </c>
      <c r="N17" s="7">
        <f t="shared" si="10"/>
        <v>0</v>
      </c>
      <c r="O17" s="6" t="str">
        <f t="shared" si="11"/>
        <v>-</v>
      </c>
      <c r="P17" s="7">
        <f t="shared" si="12"/>
        <v>0</v>
      </c>
      <c r="Q17" s="6" t="str">
        <f t="shared" si="13"/>
        <v>-</v>
      </c>
      <c r="R17" s="7">
        <f t="shared" si="14"/>
        <v>0</v>
      </c>
      <c r="S17" s="6" t="str">
        <f t="shared" si="15"/>
        <v>-</v>
      </c>
    </row>
    <row r="19" spans="1:19" x14ac:dyDescent="0.2">
      <c r="A19" s="3" t="s">
        <v>39</v>
      </c>
      <c r="B19" s="262">
        <v>42135</v>
      </c>
      <c r="C19" s="183"/>
      <c r="D19" s="262">
        <v>42136</v>
      </c>
      <c r="E19" s="183"/>
      <c r="F19" s="262">
        <v>42137</v>
      </c>
      <c r="G19" s="183"/>
      <c r="H19" s="262">
        <v>42138</v>
      </c>
      <c r="I19" s="183"/>
      <c r="J19" s="262">
        <v>42139</v>
      </c>
      <c r="K19" s="183"/>
      <c r="L19" s="262">
        <v>42142</v>
      </c>
      <c r="M19" s="183"/>
      <c r="N19" s="262">
        <v>42143</v>
      </c>
      <c r="O19" s="183"/>
      <c r="P19" s="262">
        <v>42144</v>
      </c>
      <c r="Q19" s="183"/>
      <c r="R19" s="262">
        <v>42145</v>
      </c>
      <c r="S19" s="183"/>
    </row>
    <row r="20" spans="1:19" x14ac:dyDescent="0.2">
      <c r="A20" s="3" t="s">
        <v>7</v>
      </c>
      <c r="B20" s="3" t="s">
        <v>10</v>
      </c>
      <c r="C20" s="3" t="s">
        <v>51</v>
      </c>
      <c r="D20" s="3" t="s">
        <v>10</v>
      </c>
      <c r="E20" s="3" t="s">
        <v>51</v>
      </c>
      <c r="F20" s="3" t="s">
        <v>10</v>
      </c>
      <c r="G20" s="3" t="s">
        <v>51</v>
      </c>
      <c r="H20" s="3" t="s">
        <v>10</v>
      </c>
      <c r="I20" s="3" t="s">
        <v>51</v>
      </c>
      <c r="J20" s="3" t="s">
        <v>10</v>
      </c>
      <c r="K20" s="3" t="s">
        <v>51</v>
      </c>
      <c r="L20" s="3" t="s">
        <v>10</v>
      </c>
      <c r="M20" s="3" t="s">
        <v>51</v>
      </c>
      <c r="N20" s="3" t="s">
        <v>10</v>
      </c>
      <c r="O20" s="3" t="s">
        <v>51</v>
      </c>
      <c r="P20" s="3" t="s">
        <v>10</v>
      </c>
      <c r="Q20" s="3" t="s">
        <v>51</v>
      </c>
      <c r="R20" s="3" t="s">
        <v>10</v>
      </c>
      <c r="S20" s="3" t="s">
        <v>51</v>
      </c>
    </row>
    <row r="21" spans="1:19" x14ac:dyDescent="0.2">
      <c r="A21" s="4" t="s">
        <v>12</v>
      </c>
      <c r="B21" s="7">
        <f>R3</f>
        <v>1216</v>
      </c>
      <c r="C21" s="6">
        <f>S3</f>
        <v>5.0599999999999996</v>
      </c>
      <c r="D21" s="7">
        <f>B21</f>
        <v>1216</v>
      </c>
      <c r="E21" s="6">
        <f>C21</f>
        <v>5.0599999999999996</v>
      </c>
      <c r="F21" s="4">
        <v>0</v>
      </c>
      <c r="G21" s="26" t="s">
        <v>59</v>
      </c>
      <c r="H21" s="4">
        <f>F21</f>
        <v>0</v>
      </c>
      <c r="I21" s="26" t="s">
        <v>59</v>
      </c>
      <c r="J21" s="4">
        <f t="shared" ref="J21:O21" si="19">H21</f>
        <v>0</v>
      </c>
      <c r="K21" s="26" t="str">
        <f t="shared" si="19"/>
        <v>-</v>
      </c>
      <c r="L21" s="4">
        <f t="shared" si="19"/>
        <v>0</v>
      </c>
      <c r="M21" s="26" t="str">
        <f t="shared" si="19"/>
        <v>-</v>
      </c>
      <c r="N21" s="4">
        <f t="shared" si="19"/>
        <v>0</v>
      </c>
      <c r="O21" s="26" t="str">
        <f t="shared" si="19"/>
        <v>-</v>
      </c>
      <c r="P21" s="4">
        <f>N21</f>
        <v>0</v>
      </c>
      <c r="Q21" s="26" t="str">
        <f>O21</f>
        <v>-</v>
      </c>
      <c r="R21" s="4">
        <f>P21</f>
        <v>0</v>
      </c>
      <c r="S21" s="26" t="str">
        <f>Q21</f>
        <v>-</v>
      </c>
    </row>
    <row r="22" spans="1:19" x14ac:dyDescent="0.2">
      <c r="A22" s="4" t="s">
        <v>14</v>
      </c>
      <c r="B22" s="7">
        <f t="shared" ref="B22:C22" si="20">R4</f>
        <v>1217</v>
      </c>
      <c r="C22" s="6">
        <f t="shared" si="20"/>
        <v>18.829999999999998</v>
      </c>
      <c r="D22" s="7">
        <f t="shared" ref="D22:D35" si="21">B22</f>
        <v>1217</v>
      </c>
      <c r="E22" s="6">
        <f t="shared" ref="E22:E35" si="22">C22</f>
        <v>18.829999999999998</v>
      </c>
      <c r="F22" s="7">
        <f>D22</f>
        <v>1217</v>
      </c>
      <c r="G22" s="6">
        <f>E22</f>
        <v>18.829999999999998</v>
      </c>
      <c r="H22" s="4">
        <f t="shared" ref="H22:H25" si="23">F22</f>
        <v>1217</v>
      </c>
      <c r="I22" s="26">
        <f t="shared" ref="I22:I25" si="24">G22</f>
        <v>18.829999999999998</v>
      </c>
      <c r="J22" s="4">
        <f t="shared" ref="J22:J35" si="25">H22</f>
        <v>1217</v>
      </c>
      <c r="K22" s="26">
        <f t="shared" ref="K22:K35" si="26">I22</f>
        <v>18.829999999999998</v>
      </c>
      <c r="L22" s="4">
        <f t="shared" ref="L22:L35" si="27">J22</f>
        <v>1217</v>
      </c>
      <c r="M22" s="26">
        <f t="shared" ref="M22:M35" si="28">K22</f>
        <v>18.829999999999998</v>
      </c>
      <c r="N22" s="4">
        <f t="shared" ref="N22:N23" si="29">L22</f>
        <v>1217</v>
      </c>
      <c r="O22" s="26">
        <f t="shared" ref="O22:O23" si="30">M22</f>
        <v>18.829999999999998</v>
      </c>
      <c r="P22" s="4">
        <f t="shared" ref="P22:P35" si="31">N22</f>
        <v>1217</v>
      </c>
      <c r="Q22" s="26">
        <f t="shared" ref="Q22:Q35" si="32">O22</f>
        <v>18.829999999999998</v>
      </c>
      <c r="R22" s="4">
        <f t="shared" ref="R22:R35" si="33">P22</f>
        <v>1217</v>
      </c>
      <c r="S22" s="26">
        <f t="shared" ref="S22:S35" si="34">Q22</f>
        <v>18.829999999999998</v>
      </c>
    </row>
    <row r="23" spans="1:19" x14ac:dyDescent="0.2">
      <c r="A23" s="4" t="s">
        <v>15</v>
      </c>
      <c r="B23" s="7">
        <f t="shared" ref="B23:C23" si="35">R5</f>
        <v>249</v>
      </c>
      <c r="C23" s="6">
        <f t="shared" si="35"/>
        <v>22.13</v>
      </c>
      <c r="D23" s="7">
        <f t="shared" si="21"/>
        <v>249</v>
      </c>
      <c r="E23" s="6">
        <f t="shared" si="22"/>
        <v>22.13</v>
      </c>
      <c r="F23" s="7">
        <f t="shared" ref="F23:F28" si="36">D23</f>
        <v>249</v>
      </c>
      <c r="G23" s="6">
        <f t="shared" ref="G23:G28" si="37">E23</f>
        <v>22.13</v>
      </c>
      <c r="H23" s="4">
        <f t="shared" si="23"/>
        <v>249</v>
      </c>
      <c r="I23" s="26">
        <f t="shared" si="24"/>
        <v>22.13</v>
      </c>
      <c r="J23" s="4">
        <f t="shared" si="25"/>
        <v>249</v>
      </c>
      <c r="K23" s="26">
        <f t="shared" si="26"/>
        <v>22.13</v>
      </c>
      <c r="L23" s="4">
        <f t="shared" si="27"/>
        <v>249</v>
      </c>
      <c r="M23" s="26">
        <f t="shared" si="28"/>
        <v>22.13</v>
      </c>
      <c r="N23" s="4">
        <f t="shared" si="29"/>
        <v>249</v>
      </c>
      <c r="O23" s="26">
        <f t="shared" si="30"/>
        <v>22.13</v>
      </c>
      <c r="P23" s="4">
        <f t="shared" si="31"/>
        <v>249</v>
      </c>
      <c r="Q23" s="26">
        <f t="shared" si="32"/>
        <v>22.13</v>
      </c>
      <c r="R23" s="4">
        <f t="shared" si="33"/>
        <v>249</v>
      </c>
      <c r="S23" s="26">
        <f t="shared" si="34"/>
        <v>22.13</v>
      </c>
    </row>
    <row r="24" spans="1:19" x14ac:dyDescent="0.2">
      <c r="A24" s="4" t="s">
        <v>13</v>
      </c>
      <c r="B24" s="7">
        <f t="shared" ref="B24:C24" si="38">R6</f>
        <v>794</v>
      </c>
      <c r="C24" s="6">
        <f t="shared" si="38"/>
        <v>17.694458438287153</v>
      </c>
      <c r="D24" s="7">
        <f t="shared" si="21"/>
        <v>794</v>
      </c>
      <c r="E24" s="6">
        <f t="shared" si="22"/>
        <v>17.694458438287153</v>
      </c>
      <c r="F24" s="7">
        <f t="shared" si="36"/>
        <v>794</v>
      </c>
      <c r="G24" s="6">
        <f t="shared" si="37"/>
        <v>17.694458438287153</v>
      </c>
      <c r="H24" s="4">
        <f t="shared" si="23"/>
        <v>794</v>
      </c>
      <c r="I24" s="26">
        <f t="shared" si="24"/>
        <v>17.694458438287153</v>
      </c>
      <c r="J24" s="4">
        <f t="shared" si="25"/>
        <v>794</v>
      </c>
      <c r="K24" s="26">
        <f t="shared" si="26"/>
        <v>17.694458438287153</v>
      </c>
      <c r="L24" s="4">
        <f t="shared" si="27"/>
        <v>794</v>
      </c>
      <c r="M24" s="26">
        <f t="shared" si="28"/>
        <v>17.694458438287153</v>
      </c>
      <c r="N24" s="4">
        <v>294</v>
      </c>
      <c r="O24" s="26">
        <f>M24</f>
        <v>17.694458438287153</v>
      </c>
      <c r="P24" s="4">
        <f t="shared" si="31"/>
        <v>294</v>
      </c>
      <c r="Q24" s="26">
        <f t="shared" si="32"/>
        <v>17.694458438287153</v>
      </c>
      <c r="R24" s="4">
        <f t="shared" si="33"/>
        <v>294</v>
      </c>
      <c r="S24" s="26">
        <f t="shared" si="34"/>
        <v>17.694458438287153</v>
      </c>
    </row>
    <row r="25" spans="1:19" x14ac:dyDescent="0.2">
      <c r="A25" s="4" t="s">
        <v>16</v>
      </c>
      <c r="B25" s="7">
        <f t="shared" ref="B25:C25" si="39">R7</f>
        <v>8479</v>
      </c>
      <c r="C25" s="6">
        <f t="shared" si="39"/>
        <v>3.9888241537917204</v>
      </c>
      <c r="D25" s="7">
        <f t="shared" si="21"/>
        <v>8479</v>
      </c>
      <c r="E25" s="6">
        <f t="shared" si="22"/>
        <v>3.9888241537917204</v>
      </c>
      <c r="F25" s="7">
        <f t="shared" si="36"/>
        <v>8479</v>
      </c>
      <c r="G25" s="6">
        <f t="shared" si="37"/>
        <v>3.9888241537917204</v>
      </c>
      <c r="H25" s="4">
        <f t="shared" si="23"/>
        <v>8479</v>
      </c>
      <c r="I25" s="26">
        <f t="shared" si="24"/>
        <v>3.9888241537917204</v>
      </c>
      <c r="J25" s="4">
        <f t="shared" si="25"/>
        <v>8479</v>
      </c>
      <c r="K25" s="26">
        <f t="shared" si="26"/>
        <v>3.9888241537917204</v>
      </c>
      <c r="L25" s="4">
        <f t="shared" si="27"/>
        <v>8479</v>
      </c>
      <c r="M25" s="26">
        <f t="shared" si="28"/>
        <v>3.9888241537917204</v>
      </c>
      <c r="N25" s="4">
        <f>L25</f>
        <v>8479</v>
      </c>
      <c r="O25" s="26">
        <f>M25</f>
        <v>3.9888241537917204</v>
      </c>
      <c r="P25" s="4">
        <f t="shared" si="31"/>
        <v>8479</v>
      </c>
      <c r="Q25" s="26">
        <f t="shared" si="32"/>
        <v>3.9888241537917204</v>
      </c>
      <c r="R25" s="4">
        <f t="shared" si="33"/>
        <v>8479</v>
      </c>
      <c r="S25" s="26">
        <f t="shared" si="34"/>
        <v>3.9888241537917204</v>
      </c>
    </row>
    <row r="26" spans="1:19" x14ac:dyDescent="0.2">
      <c r="A26" s="4" t="s">
        <v>20</v>
      </c>
      <c r="B26" s="7">
        <f t="shared" ref="B26:C26" si="40">R8</f>
        <v>456</v>
      </c>
      <c r="C26" s="6">
        <f t="shared" si="40"/>
        <v>8.76</v>
      </c>
      <c r="D26" s="7">
        <f t="shared" si="21"/>
        <v>456</v>
      </c>
      <c r="E26" s="6">
        <f t="shared" si="22"/>
        <v>8.76</v>
      </c>
      <c r="F26" s="7">
        <f t="shared" si="36"/>
        <v>456</v>
      </c>
      <c r="G26" s="6">
        <f t="shared" si="37"/>
        <v>8.76</v>
      </c>
      <c r="H26" s="4">
        <v>0</v>
      </c>
      <c r="I26" s="4" t="s">
        <v>59</v>
      </c>
      <c r="J26" s="4">
        <f t="shared" si="25"/>
        <v>0</v>
      </c>
      <c r="K26" s="26" t="str">
        <f t="shared" si="26"/>
        <v>-</v>
      </c>
      <c r="L26" s="4">
        <f t="shared" si="27"/>
        <v>0</v>
      </c>
      <c r="M26" s="26" t="str">
        <f t="shared" si="28"/>
        <v>-</v>
      </c>
      <c r="N26" s="4">
        <f t="shared" ref="N26:N27" si="41">L26</f>
        <v>0</v>
      </c>
      <c r="O26" s="26" t="str">
        <f t="shared" ref="O26:O27" si="42">M26</f>
        <v>-</v>
      </c>
      <c r="P26" s="4">
        <f t="shared" si="31"/>
        <v>0</v>
      </c>
      <c r="Q26" s="26" t="str">
        <f t="shared" si="32"/>
        <v>-</v>
      </c>
      <c r="R26" s="4">
        <f t="shared" si="33"/>
        <v>0</v>
      </c>
      <c r="S26" s="26" t="str">
        <f t="shared" si="34"/>
        <v>-</v>
      </c>
    </row>
    <row r="27" spans="1:19" x14ac:dyDescent="0.2">
      <c r="A27" s="4" t="s">
        <v>11</v>
      </c>
      <c r="B27" s="7">
        <f t="shared" ref="B27:C27" si="43">R9</f>
        <v>0</v>
      </c>
      <c r="C27" s="6" t="str">
        <f t="shared" si="43"/>
        <v>-</v>
      </c>
      <c r="D27" s="7">
        <f t="shared" si="21"/>
        <v>0</v>
      </c>
      <c r="E27" s="6" t="str">
        <f t="shared" si="22"/>
        <v>-</v>
      </c>
      <c r="F27" s="7">
        <v>837</v>
      </c>
      <c r="G27" s="6">
        <v>7.57</v>
      </c>
      <c r="H27" s="7">
        <f>F27+1200</f>
        <v>2037</v>
      </c>
      <c r="I27" s="6">
        <f>(F27*G27+1200*7.06)/(F27+1200)</f>
        <v>7.2695581737849784</v>
      </c>
      <c r="J27" s="4">
        <f t="shared" si="25"/>
        <v>2037</v>
      </c>
      <c r="K27" s="26">
        <f t="shared" si="26"/>
        <v>7.2695581737849784</v>
      </c>
      <c r="L27" s="4">
        <f t="shared" si="27"/>
        <v>2037</v>
      </c>
      <c r="M27" s="26">
        <f t="shared" si="28"/>
        <v>7.2695581737849784</v>
      </c>
      <c r="N27" s="4">
        <f t="shared" si="41"/>
        <v>2037</v>
      </c>
      <c r="O27" s="26">
        <f t="shared" si="42"/>
        <v>7.2695581737849784</v>
      </c>
      <c r="P27" s="4">
        <f t="shared" si="31"/>
        <v>2037</v>
      </c>
      <c r="Q27" s="26">
        <f t="shared" si="32"/>
        <v>7.2695581737849784</v>
      </c>
      <c r="R27" s="4">
        <f t="shared" si="33"/>
        <v>2037</v>
      </c>
      <c r="S27" s="26">
        <f t="shared" si="34"/>
        <v>7.2695581737849784</v>
      </c>
    </row>
    <row r="28" spans="1:19" x14ac:dyDescent="0.2">
      <c r="A28" s="4" t="s">
        <v>42</v>
      </c>
      <c r="B28" s="7">
        <f t="shared" ref="B28:C28" si="44">R10</f>
        <v>481</v>
      </c>
      <c r="C28" s="6">
        <f t="shared" si="44"/>
        <v>10.4</v>
      </c>
      <c r="D28" s="7">
        <f t="shared" si="21"/>
        <v>481</v>
      </c>
      <c r="E28" s="6">
        <f t="shared" si="22"/>
        <v>10.4</v>
      </c>
      <c r="F28" s="7">
        <f t="shared" si="36"/>
        <v>481</v>
      </c>
      <c r="G28" s="6">
        <f t="shared" si="37"/>
        <v>10.4</v>
      </c>
      <c r="H28" s="7">
        <f>F28</f>
        <v>481</v>
      </c>
      <c r="I28" s="6">
        <f>G28</f>
        <v>10.4</v>
      </c>
      <c r="J28" s="4">
        <f t="shared" si="25"/>
        <v>481</v>
      </c>
      <c r="K28" s="26">
        <f t="shared" si="26"/>
        <v>10.4</v>
      </c>
      <c r="L28" s="4">
        <f t="shared" si="27"/>
        <v>481</v>
      </c>
      <c r="M28" s="26">
        <f t="shared" si="28"/>
        <v>10.4</v>
      </c>
      <c r="N28" s="7">
        <f>L28+'Ημερολόγιο Συναλλαγών'!I26</f>
        <v>1345</v>
      </c>
      <c r="O28" s="26">
        <f>(M28*L28+'Ημερολόγιο Συναλλαγών'!I26*'Ημερολόγιο Συναλλαγών'!H26)/('Ημερολόγιο Συναλλαγών'!I26+'Περιεχόμενο Χαρτοφυλακίου'!L28)</f>
        <v>10.785427509293681</v>
      </c>
      <c r="P28" s="4">
        <f t="shared" si="31"/>
        <v>1345</v>
      </c>
      <c r="Q28" s="26">
        <f t="shared" si="32"/>
        <v>10.785427509293681</v>
      </c>
      <c r="R28" s="4">
        <f t="shared" si="33"/>
        <v>1345</v>
      </c>
      <c r="S28" s="26">
        <f t="shared" si="34"/>
        <v>10.785427509293681</v>
      </c>
    </row>
    <row r="29" spans="1:19" x14ac:dyDescent="0.2">
      <c r="A29" s="4" t="s">
        <v>52</v>
      </c>
      <c r="B29" s="7">
        <f t="shared" ref="B29:C29" si="45">R11</f>
        <v>0</v>
      </c>
      <c r="C29" s="6" t="str">
        <f t="shared" si="45"/>
        <v>-</v>
      </c>
      <c r="D29" s="7">
        <f t="shared" si="21"/>
        <v>0</v>
      </c>
      <c r="E29" s="6" t="str">
        <f t="shared" si="22"/>
        <v>-</v>
      </c>
      <c r="F29" s="7">
        <f>D29</f>
        <v>0</v>
      </c>
      <c r="G29" s="6" t="str">
        <f>E29</f>
        <v>-</v>
      </c>
      <c r="H29" s="7">
        <f t="shared" ref="H29:H35" si="46">F29</f>
        <v>0</v>
      </c>
      <c r="I29" s="6" t="str">
        <f t="shared" ref="I29:I35" si="47">G29</f>
        <v>-</v>
      </c>
      <c r="J29" s="4">
        <f t="shared" si="25"/>
        <v>0</v>
      </c>
      <c r="K29" s="26" t="str">
        <f t="shared" si="26"/>
        <v>-</v>
      </c>
      <c r="L29" s="4">
        <f t="shared" si="27"/>
        <v>0</v>
      </c>
      <c r="M29" s="26" t="str">
        <f t="shared" si="28"/>
        <v>-</v>
      </c>
      <c r="N29" s="4">
        <f t="shared" ref="N29:N35" si="48">L29</f>
        <v>0</v>
      </c>
      <c r="O29" s="26" t="str">
        <f t="shared" ref="O29:O35" si="49">M29</f>
        <v>-</v>
      </c>
      <c r="P29" s="4">
        <f t="shared" si="31"/>
        <v>0</v>
      </c>
      <c r="Q29" s="26" t="str">
        <f t="shared" si="32"/>
        <v>-</v>
      </c>
      <c r="R29" s="4">
        <f t="shared" si="33"/>
        <v>0</v>
      </c>
      <c r="S29" s="26" t="str">
        <f t="shared" si="34"/>
        <v>-</v>
      </c>
    </row>
    <row r="30" spans="1:19" x14ac:dyDescent="0.2">
      <c r="A30" s="4" t="s">
        <v>53</v>
      </c>
      <c r="B30" s="7">
        <f t="shared" ref="B30:C30" si="50">R12</f>
        <v>0</v>
      </c>
      <c r="C30" s="6" t="str">
        <f t="shared" si="50"/>
        <v>-</v>
      </c>
      <c r="D30" s="7">
        <f t="shared" si="21"/>
        <v>0</v>
      </c>
      <c r="E30" s="6" t="str">
        <f t="shared" si="22"/>
        <v>-</v>
      </c>
      <c r="F30" s="7">
        <f t="shared" ref="F30:F35" si="51">D30</f>
        <v>0</v>
      </c>
      <c r="G30" s="6" t="str">
        <f t="shared" ref="G30:G35" si="52">E30</f>
        <v>-</v>
      </c>
      <c r="H30" s="7">
        <f t="shared" si="46"/>
        <v>0</v>
      </c>
      <c r="I30" s="6" t="str">
        <f t="shared" si="47"/>
        <v>-</v>
      </c>
      <c r="J30" s="4">
        <f t="shared" si="25"/>
        <v>0</v>
      </c>
      <c r="K30" s="26" t="str">
        <f t="shared" si="26"/>
        <v>-</v>
      </c>
      <c r="L30" s="4">
        <f t="shared" si="27"/>
        <v>0</v>
      </c>
      <c r="M30" s="26" t="str">
        <f t="shared" si="28"/>
        <v>-</v>
      </c>
      <c r="N30" s="4">
        <f t="shared" si="48"/>
        <v>0</v>
      </c>
      <c r="O30" s="26" t="str">
        <f t="shared" si="49"/>
        <v>-</v>
      </c>
      <c r="P30" s="4">
        <f t="shared" si="31"/>
        <v>0</v>
      </c>
      <c r="Q30" s="26" t="str">
        <f t="shared" si="32"/>
        <v>-</v>
      </c>
      <c r="R30" s="4">
        <f t="shared" si="33"/>
        <v>0</v>
      </c>
      <c r="S30" s="26" t="str">
        <f t="shared" si="34"/>
        <v>-</v>
      </c>
    </row>
    <row r="31" spans="1:19" x14ac:dyDescent="0.2">
      <c r="A31" s="4" t="s">
        <v>54</v>
      </c>
      <c r="B31" s="7">
        <f t="shared" ref="B31:C31" si="53">R13</f>
        <v>0</v>
      </c>
      <c r="C31" s="6" t="str">
        <f t="shared" si="53"/>
        <v>-</v>
      </c>
      <c r="D31" s="7">
        <f t="shared" si="21"/>
        <v>0</v>
      </c>
      <c r="E31" s="6" t="str">
        <f t="shared" si="22"/>
        <v>-</v>
      </c>
      <c r="F31" s="7">
        <f t="shared" si="51"/>
        <v>0</v>
      </c>
      <c r="G31" s="6" t="str">
        <f t="shared" si="52"/>
        <v>-</v>
      </c>
      <c r="H31" s="7">
        <f t="shared" si="46"/>
        <v>0</v>
      </c>
      <c r="I31" s="6" t="str">
        <f t="shared" si="47"/>
        <v>-</v>
      </c>
      <c r="J31" s="4">
        <f t="shared" si="25"/>
        <v>0</v>
      </c>
      <c r="K31" s="26" t="str">
        <f t="shared" si="26"/>
        <v>-</v>
      </c>
      <c r="L31" s="4">
        <f t="shared" si="27"/>
        <v>0</v>
      </c>
      <c r="M31" s="26" t="str">
        <f t="shared" si="28"/>
        <v>-</v>
      </c>
      <c r="N31" s="4">
        <f t="shared" si="48"/>
        <v>0</v>
      </c>
      <c r="O31" s="26" t="str">
        <f t="shared" si="49"/>
        <v>-</v>
      </c>
      <c r="P31" s="4">
        <f t="shared" si="31"/>
        <v>0</v>
      </c>
      <c r="Q31" s="26" t="str">
        <f t="shared" si="32"/>
        <v>-</v>
      </c>
      <c r="R31" s="4">
        <f t="shared" si="33"/>
        <v>0</v>
      </c>
      <c r="S31" s="26" t="str">
        <f t="shared" si="34"/>
        <v>-</v>
      </c>
    </row>
    <row r="32" spans="1:19" x14ac:dyDescent="0.2">
      <c r="A32" s="4" t="s">
        <v>55</v>
      </c>
      <c r="B32" s="7">
        <f t="shared" ref="B32:C32" si="54">R14</f>
        <v>0</v>
      </c>
      <c r="C32" s="6" t="str">
        <f t="shared" si="54"/>
        <v>-</v>
      </c>
      <c r="D32" s="7">
        <f t="shared" si="21"/>
        <v>0</v>
      </c>
      <c r="E32" s="6" t="str">
        <f t="shared" si="22"/>
        <v>-</v>
      </c>
      <c r="F32" s="7">
        <f t="shared" si="51"/>
        <v>0</v>
      </c>
      <c r="G32" s="6" t="str">
        <f t="shared" si="52"/>
        <v>-</v>
      </c>
      <c r="H32" s="7">
        <f t="shared" si="46"/>
        <v>0</v>
      </c>
      <c r="I32" s="6" t="str">
        <f t="shared" si="47"/>
        <v>-</v>
      </c>
      <c r="J32" s="4">
        <f t="shared" si="25"/>
        <v>0</v>
      </c>
      <c r="K32" s="26" t="str">
        <f t="shared" si="26"/>
        <v>-</v>
      </c>
      <c r="L32" s="4">
        <f t="shared" si="27"/>
        <v>0</v>
      </c>
      <c r="M32" s="26" t="str">
        <f t="shared" si="28"/>
        <v>-</v>
      </c>
      <c r="N32" s="4">
        <f t="shared" si="48"/>
        <v>0</v>
      </c>
      <c r="O32" s="26" t="str">
        <f t="shared" si="49"/>
        <v>-</v>
      </c>
      <c r="P32" s="4">
        <f t="shared" si="31"/>
        <v>0</v>
      </c>
      <c r="Q32" s="26" t="str">
        <f t="shared" si="32"/>
        <v>-</v>
      </c>
      <c r="R32" s="4">
        <f t="shared" si="33"/>
        <v>0</v>
      </c>
      <c r="S32" s="26" t="str">
        <f t="shared" si="34"/>
        <v>-</v>
      </c>
    </row>
    <row r="33" spans="1:19" x14ac:dyDescent="0.2">
      <c r="A33" s="4" t="s">
        <v>56</v>
      </c>
      <c r="B33" s="7">
        <f t="shared" ref="B33:C33" si="55">R15</f>
        <v>0</v>
      </c>
      <c r="C33" s="6" t="str">
        <f t="shared" si="55"/>
        <v>-</v>
      </c>
      <c r="D33" s="7">
        <f t="shared" si="21"/>
        <v>0</v>
      </c>
      <c r="E33" s="6" t="str">
        <f t="shared" si="22"/>
        <v>-</v>
      </c>
      <c r="F33" s="7">
        <f t="shared" si="51"/>
        <v>0</v>
      </c>
      <c r="G33" s="6" t="str">
        <f t="shared" si="52"/>
        <v>-</v>
      </c>
      <c r="H33" s="7">
        <f t="shared" si="46"/>
        <v>0</v>
      </c>
      <c r="I33" s="6" t="str">
        <f t="shared" si="47"/>
        <v>-</v>
      </c>
      <c r="J33" s="4">
        <f t="shared" si="25"/>
        <v>0</v>
      </c>
      <c r="K33" s="26" t="str">
        <f t="shared" si="26"/>
        <v>-</v>
      </c>
      <c r="L33" s="4">
        <f t="shared" si="27"/>
        <v>0</v>
      </c>
      <c r="M33" s="26" t="str">
        <f t="shared" si="28"/>
        <v>-</v>
      </c>
      <c r="N33" s="4">
        <f t="shared" si="48"/>
        <v>0</v>
      </c>
      <c r="O33" s="26" t="str">
        <f t="shared" si="49"/>
        <v>-</v>
      </c>
      <c r="P33" s="4">
        <f t="shared" si="31"/>
        <v>0</v>
      </c>
      <c r="Q33" s="26" t="str">
        <f t="shared" si="32"/>
        <v>-</v>
      </c>
      <c r="R33" s="4">
        <f t="shared" si="33"/>
        <v>0</v>
      </c>
      <c r="S33" s="26" t="str">
        <f t="shared" si="34"/>
        <v>-</v>
      </c>
    </row>
    <row r="34" spans="1:19" x14ac:dyDescent="0.2">
      <c r="A34" s="4" t="s">
        <v>57</v>
      </c>
      <c r="B34" s="7">
        <f t="shared" ref="B34:C34" si="56">R16</f>
        <v>0</v>
      </c>
      <c r="C34" s="6" t="str">
        <f t="shared" si="56"/>
        <v>-</v>
      </c>
      <c r="D34" s="7">
        <f t="shared" si="21"/>
        <v>0</v>
      </c>
      <c r="E34" s="6" t="str">
        <f t="shared" si="22"/>
        <v>-</v>
      </c>
      <c r="F34" s="7">
        <f t="shared" si="51"/>
        <v>0</v>
      </c>
      <c r="G34" s="6" t="str">
        <f t="shared" si="52"/>
        <v>-</v>
      </c>
      <c r="H34" s="7">
        <f t="shared" si="46"/>
        <v>0</v>
      </c>
      <c r="I34" s="6" t="str">
        <f t="shared" si="47"/>
        <v>-</v>
      </c>
      <c r="J34" s="4">
        <f t="shared" si="25"/>
        <v>0</v>
      </c>
      <c r="K34" s="26" t="str">
        <f t="shared" si="26"/>
        <v>-</v>
      </c>
      <c r="L34" s="4">
        <f t="shared" si="27"/>
        <v>0</v>
      </c>
      <c r="M34" s="26" t="str">
        <f t="shared" si="28"/>
        <v>-</v>
      </c>
      <c r="N34" s="4">
        <f t="shared" si="48"/>
        <v>0</v>
      </c>
      <c r="O34" s="26" t="str">
        <f t="shared" si="49"/>
        <v>-</v>
      </c>
      <c r="P34" s="4">
        <f t="shared" si="31"/>
        <v>0</v>
      </c>
      <c r="Q34" s="26" t="str">
        <f t="shared" si="32"/>
        <v>-</v>
      </c>
      <c r="R34" s="4">
        <f t="shared" si="33"/>
        <v>0</v>
      </c>
      <c r="S34" s="26" t="str">
        <f t="shared" si="34"/>
        <v>-</v>
      </c>
    </row>
    <row r="35" spans="1:19" x14ac:dyDescent="0.2">
      <c r="A35" s="4" t="s">
        <v>58</v>
      </c>
      <c r="B35" s="7">
        <f t="shared" ref="B35:C35" si="57">R17</f>
        <v>0</v>
      </c>
      <c r="C35" s="6" t="str">
        <f t="shared" si="57"/>
        <v>-</v>
      </c>
      <c r="D35" s="7">
        <f t="shared" si="21"/>
        <v>0</v>
      </c>
      <c r="E35" s="6" t="str">
        <f t="shared" si="22"/>
        <v>-</v>
      </c>
      <c r="F35" s="7">
        <f t="shared" si="51"/>
        <v>0</v>
      </c>
      <c r="G35" s="6" t="str">
        <f t="shared" si="52"/>
        <v>-</v>
      </c>
      <c r="H35" s="7">
        <f t="shared" si="46"/>
        <v>0</v>
      </c>
      <c r="I35" s="6" t="str">
        <f t="shared" si="47"/>
        <v>-</v>
      </c>
      <c r="J35" s="4">
        <f t="shared" si="25"/>
        <v>0</v>
      </c>
      <c r="K35" s="26" t="str">
        <f t="shared" si="26"/>
        <v>-</v>
      </c>
      <c r="L35" s="4">
        <f t="shared" si="27"/>
        <v>0</v>
      </c>
      <c r="M35" s="26" t="str">
        <f t="shared" si="28"/>
        <v>-</v>
      </c>
      <c r="N35" s="4">
        <f t="shared" si="48"/>
        <v>0</v>
      </c>
      <c r="O35" s="26" t="str">
        <f t="shared" si="49"/>
        <v>-</v>
      </c>
      <c r="P35" s="4">
        <f t="shared" si="31"/>
        <v>0</v>
      </c>
      <c r="Q35" s="26" t="str">
        <f t="shared" si="32"/>
        <v>-</v>
      </c>
      <c r="R35" s="4">
        <f t="shared" si="33"/>
        <v>0</v>
      </c>
      <c r="S35" s="26" t="str">
        <f t="shared" si="34"/>
        <v>-</v>
      </c>
    </row>
    <row r="37" spans="1:19" x14ac:dyDescent="0.2">
      <c r="A37" s="3" t="s">
        <v>39</v>
      </c>
      <c r="B37" s="262">
        <v>42146</v>
      </c>
      <c r="C37" s="183"/>
      <c r="D37" s="262">
        <v>42149</v>
      </c>
      <c r="E37" s="183"/>
      <c r="F37" s="262">
        <v>42150</v>
      </c>
      <c r="G37" s="183"/>
      <c r="H37" s="262">
        <v>42151</v>
      </c>
      <c r="I37" s="183"/>
      <c r="J37" s="262">
        <v>42152</v>
      </c>
      <c r="K37" s="183"/>
      <c r="L37" s="262">
        <v>42153</v>
      </c>
      <c r="M37" s="183"/>
    </row>
    <row r="38" spans="1:19" x14ac:dyDescent="0.2">
      <c r="A38" s="3" t="s">
        <v>7</v>
      </c>
      <c r="B38" s="3" t="s">
        <v>10</v>
      </c>
      <c r="C38" s="3" t="s">
        <v>51</v>
      </c>
      <c r="D38" s="3" t="s">
        <v>10</v>
      </c>
      <c r="E38" s="3" t="s">
        <v>51</v>
      </c>
      <c r="F38" s="3" t="s">
        <v>10</v>
      </c>
      <c r="G38" s="3" t="s">
        <v>51</v>
      </c>
      <c r="H38" s="3" t="s">
        <v>10</v>
      </c>
      <c r="I38" s="3" t="s">
        <v>51</v>
      </c>
      <c r="J38" s="3" t="s">
        <v>10</v>
      </c>
      <c r="K38" s="3" t="s">
        <v>51</v>
      </c>
      <c r="L38" s="3" t="s">
        <v>10</v>
      </c>
      <c r="M38" s="3" t="s">
        <v>51</v>
      </c>
    </row>
    <row r="39" spans="1:19" x14ac:dyDescent="0.2">
      <c r="A39" s="4" t="s">
        <v>12</v>
      </c>
      <c r="B39" s="4">
        <f>R21</f>
        <v>0</v>
      </c>
      <c r="C39" s="26" t="str">
        <f>S21</f>
        <v>-</v>
      </c>
      <c r="D39" s="4">
        <f t="shared" ref="D39:I39" si="58">B39</f>
        <v>0</v>
      </c>
      <c r="E39" s="26" t="str">
        <f t="shared" si="58"/>
        <v>-</v>
      </c>
      <c r="F39" s="4">
        <f t="shared" si="58"/>
        <v>0</v>
      </c>
      <c r="G39" s="26" t="str">
        <f t="shared" si="58"/>
        <v>-</v>
      </c>
      <c r="H39" s="4">
        <f t="shared" si="58"/>
        <v>0</v>
      </c>
      <c r="I39" s="26" t="str">
        <f t="shared" si="58"/>
        <v>-</v>
      </c>
      <c r="J39" s="4">
        <f>H39</f>
        <v>0</v>
      </c>
      <c r="K39" s="26" t="str">
        <f>I39</f>
        <v>-</v>
      </c>
      <c r="L39" s="4">
        <f>J39</f>
        <v>0</v>
      </c>
      <c r="M39" s="26" t="str">
        <f>K39</f>
        <v>-</v>
      </c>
    </row>
    <row r="40" spans="1:19" x14ac:dyDescent="0.2">
      <c r="A40" s="4" t="s">
        <v>14</v>
      </c>
      <c r="B40" s="57">
        <f t="shared" ref="B40:C40" si="59">R22</f>
        <v>1217</v>
      </c>
      <c r="C40" s="26">
        <f t="shared" si="59"/>
        <v>18.829999999999998</v>
      </c>
      <c r="D40" s="66">
        <f t="shared" ref="D40:D53" si="60">B40</f>
        <v>1217</v>
      </c>
      <c r="E40" s="26">
        <f t="shared" ref="E40:E53" si="61">C40</f>
        <v>18.829999999999998</v>
      </c>
      <c r="F40" s="67">
        <f t="shared" ref="F40:F53" si="62">D40</f>
        <v>1217</v>
      </c>
      <c r="G40" s="26">
        <f t="shared" ref="G40:G53" si="63">E40</f>
        <v>18.829999999999998</v>
      </c>
      <c r="H40" s="72">
        <f t="shared" ref="H40:H53" si="64">F40</f>
        <v>1217</v>
      </c>
      <c r="I40" s="26">
        <f t="shared" ref="I40:I53" si="65">G40</f>
        <v>18.829999999999998</v>
      </c>
      <c r="J40" s="76">
        <f t="shared" ref="J40:J53" si="66">H40</f>
        <v>1217</v>
      </c>
      <c r="K40" s="26">
        <f t="shared" ref="K40:K53" si="67">I40</f>
        <v>18.829999999999998</v>
      </c>
      <c r="L40" s="76">
        <f t="shared" ref="L40:L53" si="68">J40</f>
        <v>1217</v>
      </c>
      <c r="M40" s="26">
        <f t="shared" ref="M40:M53" si="69">K40</f>
        <v>18.829999999999998</v>
      </c>
    </row>
    <row r="41" spans="1:19" x14ac:dyDescent="0.2">
      <c r="A41" s="4" t="s">
        <v>15</v>
      </c>
      <c r="B41" s="57">
        <f t="shared" ref="B41:C41" si="70">R23</f>
        <v>249</v>
      </c>
      <c r="C41" s="26">
        <f t="shared" si="70"/>
        <v>22.13</v>
      </c>
      <c r="D41" s="66">
        <f t="shared" si="60"/>
        <v>249</v>
      </c>
      <c r="E41" s="26">
        <f t="shared" si="61"/>
        <v>22.13</v>
      </c>
      <c r="F41" s="67">
        <f t="shared" si="62"/>
        <v>249</v>
      </c>
      <c r="G41" s="26">
        <f t="shared" si="63"/>
        <v>22.13</v>
      </c>
      <c r="H41" s="72">
        <f t="shared" si="64"/>
        <v>249</v>
      </c>
      <c r="I41" s="26">
        <f t="shared" si="65"/>
        <v>22.13</v>
      </c>
      <c r="J41" s="76">
        <f t="shared" si="66"/>
        <v>249</v>
      </c>
      <c r="K41" s="26">
        <f t="shared" si="67"/>
        <v>22.13</v>
      </c>
      <c r="L41" s="76">
        <f t="shared" si="68"/>
        <v>249</v>
      </c>
      <c r="M41" s="26">
        <f t="shared" si="69"/>
        <v>22.13</v>
      </c>
    </row>
    <row r="42" spans="1:19" x14ac:dyDescent="0.2">
      <c r="A42" s="4" t="s">
        <v>13</v>
      </c>
      <c r="B42" s="57">
        <f t="shared" ref="B42:C42" si="71">R24</f>
        <v>294</v>
      </c>
      <c r="C42" s="26">
        <f t="shared" si="71"/>
        <v>17.694458438287153</v>
      </c>
      <c r="D42" s="66">
        <f t="shared" si="60"/>
        <v>294</v>
      </c>
      <c r="E42" s="26">
        <f t="shared" si="61"/>
        <v>17.694458438287153</v>
      </c>
      <c r="F42" s="67">
        <f t="shared" si="62"/>
        <v>294</v>
      </c>
      <c r="G42" s="26">
        <f t="shared" si="63"/>
        <v>17.694458438287153</v>
      </c>
      <c r="H42" s="72">
        <f t="shared" si="64"/>
        <v>294</v>
      </c>
      <c r="I42" s="26">
        <f t="shared" si="65"/>
        <v>17.694458438287153</v>
      </c>
      <c r="J42" s="76">
        <f t="shared" si="66"/>
        <v>294</v>
      </c>
      <c r="K42" s="26">
        <f t="shared" si="67"/>
        <v>17.694458438287153</v>
      </c>
      <c r="L42" s="76">
        <f t="shared" si="68"/>
        <v>294</v>
      </c>
      <c r="M42" s="26">
        <f t="shared" si="69"/>
        <v>17.694458438287153</v>
      </c>
    </row>
    <row r="43" spans="1:19" x14ac:dyDescent="0.2">
      <c r="A43" s="4" t="s">
        <v>16</v>
      </c>
      <c r="B43" s="57">
        <f t="shared" ref="B43:C43" si="72">R25</f>
        <v>8479</v>
      </c>
      <c r="C43" s="26">
        <f t="shared" si="72"/>
        <v>3.9888241537917204</v>
      </c>
      <c r="D43" s="66">
        <f t="shared" si="60"/>
        <v>8479</v>
      </c>
      <c r="E43" s="26">
        <f t="shared" si="61"/>
        <v>3.9888241537917204</v>
      </c>
      <c r="F43" s="67">
        <f t="shared" si="62"/>
        <v>8479</v>
      </c>
      <c r="G43" s="26">
        <f t="shared" si="63"/>
        <v>3.9888241537917204</v>
      </c>
      <c r="H43" s="72">
        <f t="shared" si="64"/>
        <v>8479</v>
      </c>
      <c r="I43" s="26">
        <f t="shared" si="65"/>
        <v>3.9888241537917204</v>
      </c>
      <c r="J43" s="76">
        <f t="shared" si="66"/>
        <v>8479</v>
      </c>
      <c r="K43" s="26">
        <f t="shared" si="67"/>
        <v>3.9888241537917204</v>
      </c>
      <c r="L43" s="76">
        <f t="shared" si="68"/>
        <v>8479</v>
      </c>
      <c r="M43" s="26">
        <f t="shared" si="69"/>
        <v>3.9888241537917204</v>
      </c>
    </row>
    <row r="44" spans="1:19" x14ac:dyDescent="0.2">
      <c r="A44" s="4" t="s">
        <v>20</v>
      </c>
      <c r="B44" s="57">
        <f t="shared" ref="B44:C44" si="73">R26</f>
        <v>0</v>
      </c>
      <c r="C44" s="26" t="str">
        <f t="shared" si="73"/>
        <v>-</v>
      </c>
      <c r="D44" s="66">
        <f t="shared" si="60"/>
        <v>0</v>
      </c>
      <c r="E44" s="26" t="str">
        <f t="shared" si="61"/>
        <v>-</v>
      </c>
      <c r="F44" s="67">
        <f t="shared" si="62"/>
        <v>0</v>
      </c>
      <c r="G44" s="26" t="str">
        <f t="shared" si="63"/>
        <v>-</v>
      </c>
      <c r="H44" s="72">
        <f t="shared" si="64"/>
        <v>0</v>
      </c>
      <c r="I44" s="26" t="str">
        <f t="shared" si="65"/>
        <v>-</v>
      </c>
      <c r="J44" s="76">
        <f t="shared" si="66"/>
        <v>0</v>
      </c>
      <c r="K44" s="26" t="str">
        <f t="shared" si="67"/>
        <v>-</v>
      </c>
      <c r="L44" s="76">
        <f t="shared" si="68"/>
        <v>0</v>
      </c>
      <c r="M44" s="26" t="str">
        <f t="shared" si="69"/>
        <v>-</v>
      </c>
    </row>
    <row r="45" spans="1:19" x14ac:dyDescent="0.2">
      <c r="A45" s="4" t="s">
        <v>11</v>
      </c>
      <c r="B45" s="57">
        <f t="shared" ref="B45:C45" si="74">R27</f>
        <v>2037</v>
      </c>
      <c r="C45" s="26">
        <f t="shared" si="74"/>
        <v>7.2695581737849784</v>
      </c>
      <c r="D45" s="66">
        <f t="shared" si="60"/>
        <v>2037</v>
      </c>
      <c r="E45" s="26">
        <f t="shared" si="61"/>
        <v>7.2695581737849784</v>
      </c>
      <c r="F45" s="67">
        <f t="shared" si="62"/>
        <v>2037</v>
      </c>
      <c r="G45" s="26">
        <f t="shared" si="63"/>
        <v>7.2695581737849784</v>
      </c>
      <c r="H45" s="72">
        <f t="shared" si="64"/>
        <v>2037</v>
      </c>
      <c r="I45" s="26">
        <f t="shared" si="65"/>
        <v>7.2695581737849784</v>
      </c>
      <c r="J45" s="76">
        <f t="shared" si="66"/>
        <v>2037</v>
      </c>
      <c r="K45" s="26">
        <f t="shared" si="67"/>
        <v>7.2695581737849784</v>
      </c>
      <c r="L45" s="76">
        <f t="shared" si="68"/>
        <v>2037</v>
      </c>
      <c r="M45" s="26">
        <f t="shared" si="69"/>
        <v>7.2695581737849784</v>
      </c>
    </row>
    <row r="46" spans="1:19" x14ac:dyDescent="0.2">
      <c r="A46" s="4" t="s">
        <v>42</v>
      </c>
      <c r="B46" s="57">
        <f t="shared" ref="B46:C46" si="75">R28</f>
        <v>1345</v>
      </c>
      <c r="C46" s="26">
        <f t="shared" si="75"/>
        <v>10.785427509293681</v>
      </c>
      <c r="D46" s="66">
        <f t="shared" si="60"/>
        <v>1345</v>
      </c>
      <c r="E46" s="26">
        <f t="shared" si="61"/>
        <v>10.785427509293681</v>
      </c>
      <c r="F46" s="67">
        <f t="shared" si="62"/>
        <v>1345</v>
      </c>
      <c r="G46" s="26">
        <f t="shared" si="63"/>
        <v>10.785427509293681</v>
      </c>
      <c r="H46" s="72">
        <f t="shared" si="64"/>
        <v>1345</v>
      </c>
      <c r="I46" s="26">
        <f t="shared" si="65"/>
        <v>10.785427509293681</v>
      </c>
      <c r="J46" s="76">
        <f t="shared" si="66"/>
        <v>1345</v>
      </c>
      <c r="K46" s="26">
        <f t="shared" si="67"/>
        <v>10.785427509293681</v>
      </c>
      <c r="L46" s="76">
        <f t="shared" si="68"/>
        <v>1345</v>
      </c>
      <c r="M46" s="26">
        <f t="shared" si="69"/>
        <v>10.785427509293681</v>
      </c>
    </row>
    <row r="47" spans="1:19" x14ac:dyDescent="0.2">
      <c r="A47" s="4" t="s">
        <v>52</v>
      </c>
      <c r="B47" s="57">
        <f t="shared" ref="B47:C47" si="76">R29</f>
        <v>0</v>
      </c>
      <c r="C47" s="26" t="str">
        <f t="shared" si="76"/>
        <v>-</v>
      </c>
      <c r="D47" s="66">
        <f t="shared" si="60"/>
        <v>0</v>
      </c>
      <c r="E47" s="26" t="str">
        <f t="shared" si="61"/>
        <v>-</v>
      </c>
      <c r="F47" s="67">
        <f t="shared" si="62"/>
        <v>0</v>
      </c>
      <c r="G47" s="26" t="str">
        <f t="shared" si="63"/>
        <v>-</v>
      </c>
      <c r="H47" s="72">
        <f t="shared" si="64"/>
        <v>0</v>
      </c>
      <c r="I47" s="26" t="str">
        <f t="shared" si="65"/>
        <v>-</v>
      </c>
      <c r="J47" s="76">
        <f t="shared" si="66"/>
        <v>0</v>
      </c>
      <c r="K47" s="26" t="str">
        <f t="shared" si="67"/>
        <v>-</v>
      </c>
      <c r="L47" s="76">
        <f t="shared" si="68"/>
        <v>0</v>
      </c>
      <c r="M47" s="26" t="str">
        <f t="shared" si="69"/>
        <v>-</v>
      </c>
    </row>
    <row r="48" spans="1:19" x14ac:dyDescent="0.2">
      <c r="A48" s="4" t="s">
        <v>53</v>
      </c>
      <c r="B48" s="57">
        <f t="shared" ref="B48:C48" si="77">R30</f>
        <v>0</v>
      </c>
      <c r="C48" s="26" t="str">
        <f t="shared" si="77"/>
        <v>-</v>
      </c>
      <c r="D48" s="66">
        <f t="shared" si="60"/>
        <v>0</v>
      </c>
      <c r="E48" s="26" t="str">
        <f t="shared" si="61"/>
        <v>-</v>
      </c>
      <c r="F48" s="67">
        <f t="shared" si="62"/>
        <v>0</v>
      </c>
      <c r="G48" s="26" t="str">
        <f t="shared" si="63"/>
        <v>-</v>
      </c>
      <c r="H48" s="72">
        <f t="shared" si="64"/>
        <v>0</v>
      </c>
      <c r="I48" s="26" t="str">
        <f t="shared" si="65"/>
        <v>-</v>
      </c>
      <c r="J48" s="76">
        <f t="shared" si="66"/>
        <v>0</v>
      </c>
      <c r="K48" s="26" t="str">
        <f t="shared" si="67"/>
        <v>-</v>
      </c>
      <c r="L48" s="76">
        <f t="shared" si="68"/>
        <v>0</v>
      </c>
      <c r="M48" s="26" t="str">
        <f t="shared" si="69"/>
        <v>-</v>
      </c>
    </row>
    <row r="49" spans="1:13" x14ac:dyDescent="0.2">
      <c r="A49" s="4" t="s">
        <v>54</v>
      </c>
      <c r="B49" s="57">
        <f t="shared" ref="B49:C49" si="78">R31</f>
        <v>0</v>
      </c>
      <c r="C49" s="26" t="str">
        <f t="shared" si="78"/>
        <v>-</v>
      </c>
      <c r="D49" s="66">
        <f t="shared" si="60"/>
        <v>0</v>
      </c>
      <c r="E49" s="26" t="str">
        <f t="shared" si="61"/>
        <v>-</v>
      </c>
      <c r="F49" s="67">
        <f t="shared" si="62"/>
        <v>0</v>
      </c>
      <c r="G49" s="26" t="str">
        <f t="shared" si="63"/>
        <v>-</v>
      </c>
      <c r="H49" s="72">
        <f t="shared" si="64"/>
        <v>0</v>
      </c>
      <c r="I49" s="26" t="str">
        <f t="shared" si="65"/>
        <v>-</v>
      </c>
      <c r="J49" s="76">
        <f t="shared" si="66"/>
        <v>0</v>
      </c>
      <c r="K49" s="26" t="str">
        <f t="shared" si="67"/>
        <v>-</v>
      </c>
      <c r="L49" s="76">
        <f t="shared" si="68"/>
        <v>0</v>
      </c>
      <c r="M49" s="26" t="str">
        <f t="shared" si="69"/>
        <v>-</v>
      </c>
    </row>
    <row r="50" spans="1:13" x14ac:dyDescent="0.2">
      <c r="A50" s="4" t="s">
        <v>55</v>
      </c>
      <c r="B50" s="57">
        <f t="shared" ref="B50:C50" si="79">R32</f>
        <v>0</v>
      </c>
      <c r="C50" s="26" t="str">
        <f t="shared" si="79"/>
        <v>-</v>
      </c>
      <c r="D50" s="66">
        <f t="shared" si="60"/>
        <v>0</v>
      </c>
      <c r="E50" s="26" t="str">
        <f t="shared" si="61"/>
        <v>-</v>
      </c>
      <c r="F50" s="67">
        <f t="shared" si="62"/>
        <v>0</v>
      </c>
      <c r="G50" s="26" t="str">
        <f t="shared" si="63"/>
        <v>-</v>
      </c>
      <c r="H50" s="72">
        <f t="shared" si="64"/>
        <v>0</v>
      </c>
      <c r="I50" s="26" t="str">
        <f t="shared" si="65"/>
        <v>-</v>
      </c>
      <c r="J50" s="76">
        <f t="shared" si="66"/>
        <v>0</v>
      </c>
      <c r="K50" s="26" t="str">
        <f t="shared" si="67"/>
        <v>-</v>
      </c>
      <c r="L50" s="76">
        <f t="shared" si="68"/>
        <v>0</v>
      </c>
      <c r="M50" s="26" t="str">
        <f t="shared" si="69"/>
        <v>-</v>
      </c>
    </row>
    <row r="51" spans="1:13" x14ac:dyDescent="0.2">
      <c r="A51" s="4" t="s">
        <v>56</v>
      </c>
      <c r="B51" s="57">
        <f t="shared" ref="B51:C51" si="80">R33</f>
        <v>0</v>
      </c>
      <c r="C51" s="26" t="str">
        <f t="shared" si="80"/>
        <v>-</v>
      </c>
      <c r="D51" s="66">
        <f t="shared" si="60"/>
        <v>0</v>
      </c>
      <c r="E51" s="26" t="str">
        <f t="shared" si="61"/>
        <v>-</v>
      </c>
      <c r="F51" s="67">
        <f t="shared" si="62"/>
        <v>0</v>
      </c>
      <c r="G51" s="26" t="str">
        <f t="shared" si="63"/>
        <v>-</v>
      </c>
      <c r="H51" s="72">
        <f t="shared" si="64"/>
        <v>0</v>
      </c>
      <c r="I51" s="26" t="str">
        <f t="shared" si="65"/>
        <v>-</v>
      </c>
      <c r="J51" s="76">
        <f t="shared" si="66"/>
        <v>0</v>
      </c>
      <c r="K51" s="26" t="str">
        <f t="shared" si="67"/>
        <v>-</v>
      </c>
      <c r="L51" s="76">
        <f t="shared" si="68"/>
        <v>0</v>
      </c>
      <c r="M51" s="26" t="str">
        <f t="shared" si="69"/>
        <v>-</v>
      </c>
    </row>
    <row r="52" spans="1:13" x14ac:dyDescent="0.2">
      <c r="A52" s="4" t="s">
        <v>57</v>
      </c>
      <c r="B52" s="57">
        <f t="shared" ref="B52:C52" si="81">R34</f>
        <v>0</v>
      </c>
      <c r="C52" s="26" t="str">
        <f t="shared" si="81"/>
        <v>-</v>
      </c>
      <c r="D52" s="66">
        <f t="shared" si="60"/>
        <v>0</v>
      </c>
      <c r="E52" s="26" t="str">
        <f t="shared" si="61"/>
        <v>-</v>
      </c>
      <c r="F52" s="67">
        <f t="shared" si="62"/>
        <v>0</v>
      </c>
      <c r="G52" s="26" t="str">
        <f t="shared" si="63"/>
        <v>-</v>
      </c>
      <c r="H52" s="72">
        <f t="shared" si="64"/>
        <v>0</v>
      </c>
      <c r="I52" s="26" t="str">
        <f t="shared" si="65"/>
        <v>-</v>
      </c>
      <c r="J52" s="76">
        <f t="shared" si="66"/>
        <v>0</v>
      </c>
      <c r="K52" s="26" t="str">
        <f t="shared" si="67"/>
        <v>-</v>
      </c>
      <c r="L52" s="76">
        <f t="shared" si="68"/>
        <v>0</v>
      </c>
      <c r="M52" s="26" t="str">
        <f t="shared" si="69"/>
        <v>-</v>
      </c>
    </row>
    <row r="53" spans="1:13" x14ac:dyDescent="0.2">
      <c r="A53" s="4" t="s">
        <v>58</v>
      </c>
      <c r="B53" s="57">
        <f t="shared" ref="B53:C53" si="82">R35</f>
        <v>0</v>
      </c>
      <c r="C53" s="26" t="str">
        <f t="shared" si="82"/>
        <v>-</v>
      </c>
      <c r="D53" s="66">
        <f t="shared" si="60"/>
        <v>0</v>
      </c>
      <c r="E53" s="26" t="str">
        <f t="shared" si="61"/>
        <v>-</v>
      </c>
      <c r="F53" s="67">
        <f t="shared" si="62"/>
        <v>0</v>
      </c>
      <c r="G53" s="26" t="str">
        <f t="shared" si="63"/>
        <v>-</v>
      </c>
      <c r="H53" s="72">
        <f t="shared" si="64"/>
        <v>0</v>
      </c>
      <c r="I53" s="26" t="str">
        <f t="shared" si="65"/>
        <v>-</v>
      </c>
      <c r="J53" s="76">
        <f t="shared" si="66"/>
        <v>0</v>
      </c>
      <c r="K53" s="26" t="str">
        <f t="shared" si="67"/>
        <v>-</v>
      </c>
      <c r="L53" s="76">
        <f t="shared" si="68"/>
        <v>0</v>
      </c>
      <c r="M53" s="26" t="str">
        <f t="shared" si="69"/>
        <v>-</v>
      </c>
    </row>
  </sheetData>
  <mergeCells count="24">
    <mergeCell ref="R19:S19"/>
    <mergeCell ref="B19:C19"/>
    <mergeCell ref="D19:E19"/>
    <mergeCell ref="F19:G19"/>
    <mergeCell ref="J1:K1"/>
    <mergeCell ref="L1:M1"/>
    <mergeCell ref="N1:O1"/>
    <mergeCell ref="P1:Q1"/>
    <mergeCell ref="R1:S1"/>
    <mergeCell ref="B1:C1"/>
    <mergeCell ref="D1:E1"/>
    <mergeCell ref="F1:G1"/>
    <mergeCell ref="H1:I1"/>
    <mergeCell ref="H19:I19"/>
    <mergeCell ref="J19:K19"/>
    <mergeCell ref="L19:M19"/>
    <mergeCell ref="N19:O19"/>
    <mergeCell ref="P19:Q19"/>
    <mergeCell ref="L37:M37"/>
    <mergeCell ref="B37:C37"/>
    <mergeCell ref="F37:G37"/>
    <mergeCell ref="D37:E37"/>
    <mergeCell ref="H37:I37"/>
    <mergeCell ref="J37:K3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E128"/>
  <sheetViews>
    <sheetView topLeftCell="Z31" zoomScale="70" zoomScaleNormal="70" zoomScalePageLayoutView="70" workbookViewId="0">
      <selection activeCell="Q52" sqref="Q52"/>
    </sheetView>
  </sheetViews>
  <sheetFormatPr baseColWidth="10" defaultColWidth="8.83203125" defaultRowHeight="15" x14ac:dyDescent="0.2"/>
  <cols>
    <col min="1" max="31" width="14.6640625" style="56" customWidth="1"/>
    <col min="32" max="16384" width="8.83203125" style="56"/>
  </cols>
  <sheetData>
    <row r="1" spans="1:31" ht="15" customHeight="1" x14ac:dyDescent="0.2">
      <c r="A1" s="199" t="s">
        <v>39</v>
      </c>
      <c r="B1" s="209" t="s">
        <v>92</v>
      </c>
      <c r="C1" s="210"/>
      <c r="D1" s="210"/>
      <c r="E1" s="210"/>
      <c r="F1" s="210"/>
      <c r="G1" s="211"/>
      <c r="H1" s="209" t="s">
        <v>14</v>
      </c>
      <c r="I1" s="210"/>
      <c r="J1" s="210"/>
      <c r="K1" s="210"/>
      <c r="L1" s="210"/>
      <c r="M1" s="211"/>
      <c r="N1" s="209" t="s">
        <v>16</v>
      </c>
      <c r="O1" s="210"/>
      <c r="P1" s="210"/>
      <c r="Q1" s="210"/>
      <c r="R1" s="210"/>
      <c r="S1" s="211"/>
      <c r="T1" s="183" t="s">
        <v>97</v>
      </c>
      <c r="U1" s="183"/>
      <c r="V1" s="183"/>
      <c r="W1" s="183"/>
      <c r="X1" s="183"/>
      <c r="Y1" s="183"/>
      <c r="Z1" s="183" t="s">
        <v>57</v>
      </c>
      <c r="AA1" s="183"/>
      <c r="AB1" s="183"/>
      <c r="AC1" s="183"/>
      <c r="AD1" s="183"/>
      <c r="AE1" s="183"/>
    </row>
    <row r="2" spans="1:31" ht="30" customHeight="1" x14ac:dyDescent="0.2">
      <c r="A2" s="200"/>
      <c r="B2" s="34" t="s">
        <v>41</v>
      </c>
      <c r="C2" s="34" t="s">
        <v>96</v>
      </c>
      <c r="D2" s="34" t="s">
        <v>98</v>
      </c>
      <c r="E2" s="34" t="s">
        <v>95</v>
      </c>
      <c r="F2" s="34" t="s">
        <v>94</v>
      </c>
      <c r="G2" s="34" t="s">
        <v>93</v>
      </c>
      <c r="H2" s="34" t="s">
        <v>41</v>
      </c>
      <c r="I2" s="34" t="s">
        <v>96</v>
      </c>
      <c r="J2" s="34" t="s">
        <v>98</v>
      </c>
      <c r="K2" s="34" t="s">
        <v>95</v>
      </c>
      <c r="L2" s="34" t="s">
        <v>94</v>
      </c>
      <c r="M2" s="34" t="s">
        <v>93</v>
      </c>
      <c r="N2" s="34" t="s">
        <v>41</v>
      </c>
      <c r="O2" s="34" t="s">
        <v>96</v>
      </c>
      <c r="P2" s="34" t="s">
        <v>98</v>
      </c>
      <c r="Q2" s="34" t="s">
        <v>95</v>
      </c>
      <c r="R2" s="34" t="s">
        <v>94</v>
      </c>
      <c r="S2" s="34" t="s">
        <v>93</v>
      </c>
      <c r="T2" s="34" t="s">
        <v>41</v>
      </c>
      <c r="U2" s="34" t="s">
        <v>96</v>
      </c>
      <c r="V2" s="34" t="s">
        <v>98</v>
      </c>
      <c r="W2" s="34" t="s">
        <v>95</v>
      </c>
      <c r="X2" s="34" t="s">
        <v>94</v>
      </c>
      <c r="Y2" s="34" t="s">
        <v>93</v>
      </c>
      <c r="Z2" s="142" t="s">
        <v>41</v>
      </c>
      <c r="AA2" s="142" t="s">
        <v>96</v>
      </c>
      <c r="AB2" s="142" t="s">
        <v>98</v>
      </c>
      <c r="AC2" s="142" t="s">
        <v>95</v>
      </c>
      <c r="AD2" s="142" t="s">
        <v>94</v>
      </c>
      <c r="AE2" s="142" t="s">
        <v>93</v>
      </c>
    </row>
    <row r="3" spans="1:31" x14ac:dyDescent="0.2">
      <c r="A3" s="28">
        <v>42093</v>
      </c>
      <c r="B3" s="35">
        <v>-1.5296665375473535E-2</v>
      </c>
      <c r="C3" s="35">
        <v>-1.5180265654648802E-2</v>
      </c>
      <c r="D3" s="39">
        <v>3000</v>
      </c>
      <c r="E3" s="30"/>
      <c r="F3" s="30"/>
      <c r="G3" s="30"/>
      <c r="H3" s="35">
        <v>2.6364618720939956E-2</v>
      </c>
      <c r="I3" s="35">
        <v>2.6715239829994009E-2</v>
      </c>
      <c r="J3" s="39">
        <v>21752</v>
      </c>
      <c r="K3" s="40"/>
      <c r="L3" s="40"/>
      <c r="M3" s="40"/>
      <c r="N3" s="41">
        <v>0</v>
      </c>
      <c r="O3" s="41">
        <v>0</v>
      </c>
      <c r="P3" s="39">
        <v>3877</v>
      </c>
      <c r="Q3" s="30"/>
      <c r="R3" s="30"/>
      <c r="S3" s="30"/>
      <c r="T3" s="36">
        <v>-1.9726403426638058E-2</v>
      </c>
      <c r="U3" s="36">
        <v>-1.9533111005240598E-2</v>
      </c>
      <c r="V3" s="38">
        <v>51542</v>
      </c>
      <c r="W3" s="30"/>
      <c r="X3" s="30"/>
      <c r="Y3" s="30"/>
      <c r="Z3" s="36">
        <v>-1.9672765598704893E-2</v>
      </c>
      <c r="AA3" s="36">
        <v>-1.9480519480519497E-2</v>
      </c>
      <c r="AB3" s="38">
        <v>213925</v>
      </c>
      <c r="AC3" s="30"/>
      <c r="AD3" s="30"/>
      <c r="AE3" s="30"/>
    </row>
    <row r="4" spans="1:31" x14ac:dyDescent="0.2">
      <c r="A4" s="28">
        <v>42094</v>
      </c>
      <c r="B4" s="35">
        <v>1.7192400540372771E-2</v>
      </c>
      <c r="C4" s="35">
        <v>1.7341040462427716E-2</v>
      </c>
      <c r="D4" s="39">
        <v>9677</v>
      </c>
      <c r="E4" s="30"/>
      <c r="F4" s="30"/>
      <c r="G4" s="30"/>
      <c r="H4" s="35">
        <v>-1.1834320907802161E-3</v>
      </c>
      <c r="I4" s="35">
        <v>-1.1827321111767932E-3</v>
      </c>
      <c r="J4" s="39">
        <v>47498</v>
      </c>
      <c r="K4" s="40"/>
      <c r="L4" s="40"/>
      <c r="M4" s="40"/>
      <c r="N4" s="41">
        <v>-5.0125418235442863E-3</v>
      </c>
      <c r="O4" s="41">
        <v>-5.0000000000000044E-3</v>
      </c>
      <c r="P4" s="39">
        <v>23796</v>
      </c>
      <c r="Q4" s="30"/>
      <c r="R4" s="30"/>
      <c r="S4" s="30"/>
      <c r="T4" s="36">
        <v>3.7668338925152881E-2</v>
      </c>
      <c r="U4" s="36">
        <v>3.8386783284742605E-2</v>
      </c>
      <c r="V4" s="38">
        <v>32603</v>
      </c>
      <c r="W4" s="30"/>
      <c r="X4" s="30"/>
      <c r="Y4" s="30"/>
      <c r="Z4" s="36">
        <v>-6.6445427186686131E-3</v>
      </c>
      <c r="AA4" s="36">
        <v>-6.6225165562913968E-3</v>
      </c>
      <c r="AB4" s="38">
        <v>62791</v>
      </c>
      <c r="AC4" s="30"/>
      <c r="AD4" s="30"/>
      <c r="AE4" s="30"/>
    </row>
    <row r="5" spans="1:31" x14ac:dyDescent="0.2">
      <c r="A5" s="28">
        <v>42095</v>
      </c>
      <c r="B5" s="35">
        <v>1.8921481520379623E-3</v>
      </c>
      <c r="C5" s="35">
        <v>1.8939393939393534E-3</v>
      </c>
      <c r="D5" s="39">
        <v>3317</v>
      </c>
      <c r="E5" s="30"/>
      <c r="F5" s="30"/>
      <c r="G5" s="30"/>
      <c r="H5" s="35">
        <v>-1.1313011396999355E-2</v>
      </c>
      <c r="I5" s="35">
        <v>-1.1249259917110791E-2</v>
      </c>
      <c r="J5" s="39">
        <v>15679</v>
      </c>
      <c r="K5" s="40"/>
      <c r="L5" s="40"/>
      <c r="M5" s="40"/>
      <c r="N5" s="41">
        <v>-7.5662403833158132E-3</v>
      </c>
      <c r="O5" s="41">
        <v>-7.5376884422110064E-3</v>
      </c>
      <c r="P5" s="39">
        <v>20271</v>
      </c>
      <c r="Q5" s="30"/>
      <c r="R5" s="30"/>
      <c r="S5" s="30"/>
      <c r="T5" s="36">
        <v>-3.3788605639563749E-2</v>
      </c>
      <c r="U5" s="36">
        <v>-3.3224145999064147E-2</v>
      </c>
      <c r="V5" s="38">
        <v>23916</v>
      </c>
      <c r="W5" s="30"/>
      <c r="X5" s="30"/>
      <c r="Y5" s="30"/>
      <c r="Z5" s="36">
        <v>1.980262729617973E-2</v>
      </c>
      <c r="AA5" s="36">
        <v>2.0000000000000018E-2</v>
      </c>
      <c r="AB5" s="38">
        <v>138002</v>
      </c>
      <c r="AC5" s="30"/>
      <c r="AD5" s="30"/>
      <c r="AE5" s="30"/>
    </row>
    <row r="6" spans="1:31" x14ac:dyDescent="0.2">
      <c r="A6" s="28">
        <v>42096</v>
      </c>
      <c r="B6" s="35">
        <v>1.8885746878681546E-3</v>
      </c>
      <c r="C6" s="35">
        <v>1.8903591682419257E-3</v>
      </c>
      <c r="D6" s="39">
        <v>6653</v>
      </c>
      <c r="E6" s="30"/>
      <c r="F6" s="30"/>
      <c r="G6" s="30"/>
      <c r="H6" s="35">
        <v>2.6006193746924335E-2</v>
      </c>
      <c r="I6" s="35">
        <v>2.6347305389221636E-2</v>
      </c>
      <c r="J6" s="39">
        <v>26763</v>
      </c>
      <c r="K6" s="40"/>
      <c r="L6" s="40"/>
      <c r="M6" s="40"/>
      <c r="N6" s="41">
        <v>1.2578782206859965E-2</v>
      </c>
      <c r="O6" s="41">
        <v>1.2658227848101221E-2</v>
      </c>
      <c r="P6" s="39">
        <v>9359</v>
      </c>
      <c r="Q6" s="30"/>
      <c r="R6" s="30"/>
      <c r="S6" s="30"/>
      <c r="T6" s="36">
        <v>3.4256441905406554E-2</v>
      </c>
      <c r="U6" s="36">
        <v>3.4849951597289396E-2</v>
      </c>
      <c r="V6" s="38">
        <v>266985</v>
      </c>
      <c r="W6" s="30"/>
      <c r="X6" s="30"/>
      <c r="Y6" s="30"/>
      <c r="Z6" s="36">
        <v>0</v>
      </c>
      <c r="AA6" s="36">
        <v>0</v>
      </c>
      <c r="AB6" s="38">
        <v>107196</v>
      </c>
      <c r="AC6" s="30"/>
      <c r="AD6" s="30"/>
      <c r="AE6" s="30"/>
    </row>
    <row r="7" spans="1:31" x14ac:dyDescent="0.2">
      <c r="A7" s="19">
        <v>42101</v>
      </c>
      <c r="B7" s="5">
        <v>-3.7807228399059328E-3</v>
      </c>
      <c r="C7" s="5">
        <v>-3.7735849056602972E-3</v>
      </c>
      <c r="D7" s="39">
        <v>6431</v>
      </c>
      <c r="E7" s="31"/>
      <c r="F7" s="31"/>
      <c r="G7" s="31"/>
      <c r="H7" s="5">
        <v>7.0935751445306061E-2</v>
      </c>
      <c r="I7" s="5">
        <v>7.3512252042006884E-2</v>
      </c>
      <c r="J7" s="39">
        <v>69201</v>
      </c>
      <c r="K7" s="42"/>
      <c r="L7" s="42"/>
      <c r="M7" s="42"/>
      <c r="N7" s="41">
        <v>2.4968801985871458E-3</v>
      </c>
      <c r="O7" s="41">
        <v>2.4999999999999467E-3</v>
      </c>
      <c r="P7" s="39">
        <v>16252</v>
      </c>
      <c r="Q7" s="31"/>
      <c r="R7" s="31"/>
      <c r="S7" s="31"/>
      <c r="T7" s="5">
        <v>5.5970295367180336E-3</v>
      </c>
      <c r="U7" s="5">
        <v>5.612722170252619E-3</v>
      </c>
      <c r="V7" s="7">
        <v>11961</v>
      </c>
      <c r="W7" s="31"/>
      <c r="X7" s="31"/>
      <c r="Y7" s="31"/>
      <c r="Z7" s="5">
        <v>-1.9802627296179754E-2</v>
      </c>
      <c r="AA7" s="5">
        <v>-1.9607843137254919E-2</v>
      </c>
      <c r="AB7" s="7">
        <v>23025</v>
      </c>
      <c r="AC7" s="31"/>
      <c r="AD7" s="31"/>
      <c r="AE7" s="31"/>
    </row>
    <row r="8" spans="1:31" x14ac:dyDescent="0.2">
      <c r="A8" s="13">
        <v>42102</v>
      </c>
      <c r="B8" s="5">
        <v>0</v>
      </c>
      <c r="C8" s="5">
        <v>0</v>
      </c>
      <c r="D8" s="39">
        <v>13726</v>
      </c>
      <c r="E8" s="31"/>
      <c r="F8" s="31"/>
      <c r="G8" s="31"/>
      <c r="H8" s="5">
        <v>-9.2820759243681834E-3</v>
      </c>
      <c r="I8" s="5">
        <v>-9.2391304347825085E-3</v>
      </c>
      <c r="J8" s="7">
        <v>35124</v>
      </c>
      <c r="K8" s="31"/>
      <c r="L8" s="31"/>
      <c r="M8" s="31"/>
      <c r="N8" s="5">
        <v>4.9751346401139289E-3</v>
      </c>
      <c r="O8" s="5">
        <v>4.9875311720699407E-3</v>
      </c>
      <c r="P8" s="7">
        <v>5992</v>
      </c>
      <c r="Q8" s="31"/>
      <c r="R8" s="31"/>
      <c r="S8" s="31"/>
      <c r="T8" s="5">
        <v>2.0714204387563235E-2</v>
      </c>
      <c r="U8" s="5">
        <v>2.0930232558139503E-2</v>
      </c>
      <c r="V8" s="7">
        <v>23819</v>
      </c>
      <c r="W8" s="31"/>
      <c r="X8" s="31"/>
      <c r="Y8" s="31"/>
      <c r="Z8" s="5">
        <v>6.6445427186685108E-3</v>
      </c>
      <c r="AA8" s="5">
        <v>6.6666666666666723E-3</v>
      </c>
      <c r="AB8" s="7">
        <v>54836</v>
      </c>
      <c r="AC8" s="31"/>
      <c r="AD8" s="31"/>
      <c r="AE8" s="31"/>
    </row>
    <row r="9" spans="1:31" x14ac:dyDescent="0.2">
      <c r="A9" s="13">
        <v>42103</v>
      </c>
      <c r="B9" s="5">
        <v>-1.895735164899312E-3</v>
      </c>
      <c r="C9" s="5">
        <v>-1.8939393939395217E-3</v>
      </c>
      <c r="D9" s="39">
        <v>7397</v>
      </c>
      <c r="E9" s="31"/>
      <c r="F9" s="31"/>
      <c r="G9" s="31"/>
      <c r="H9" s="5">
        <v>2.4920032776899751E-2</v>
      </c>
      <c r="I9" s="5">
        <v>2.5233132199670917E-2</v>
      </c>
      <c r="J9" s="7">
        <v>31078</v>
      </c>
      <c r="K9" s="31"/>
      <c r="L9" s="31"/>
      <c r="M9" s="31"/>
      <c r="N9" s="5">
        <v>2.4783160144670005E-3</v>
      </c>
      <c r="O9" s="5">
        <v>2.4813895781637188E-3</v>
      </c>
      <c r="P9" s="7">
        <v>2220</v>
      </c>
      <c r="Q9" s="31"/>
      <c r="R9" s="31"/>
      <c r="S9" s="31"/>
      <c r="T9" s="5">
        <v>2.2753138371356054E-3</v>
      </c>
      <c r="U9" s="5">
        <v>2.2779043280182557E-3</v>
      </c>
      <c r="V9" s="7">
        <v>22466</v>
      </c>
      <c r="W9" s="31"/>
      <c r="X9" s="31"/>
      <c r="Y9" s="31"/>
      <c r="Z9" s="5">
        <v>1.3158084577511201E-2</v>
      </c>
      <c r="AA9" s="5">
        <v>1.3245033112582794E-2</v>
      </c>
      <c r="AB9" s="7">
        <v>5075</v>
      </c>
      <c r="AC9" s="31"/>
      <c r="AD9" s="31"/>
      <c r="AE9" s="31"/>
    </row>
    <row r="10" spans="1:31" x14ac:dyDescent="0.2">
      <c r="A10" s="13">
        <v>42108</v>
      </c>
      <c r="B10" s="5">
        <v>-5.7088642203200922E-3</v>
      </c>
      <c r="C10" s="5">
        <v>-5.692599620493238E-3</v>
      </c>
      <c r="D10" s="39">
        <v>2632</v>
      </c>
      <c r="E10" s="31"/>
      <c r="F10" s="31"/>
      <c r="G10" s="31"/>
      <c r="H10" s="5">
        <v>4.2712291309458051E-3</v>
      </c>
      <c r="I10" s="5">
        <v>4.2803638309255373E-3</v>
      </c>
      <c r="J10" s="7">
        <v>84331</v>
      </c>
      <c r="K10" s="31"/>
      <c r="L10" s="31"/>
      <c r="M10" s="31"/>
      <c r="N10" s="5">
        <v>-4.9627893421291249E-3</v>
      </c>
      <c r="O10" s="5">
        <v>-4.950495049505065E-3</v>
      </c>
      <c r="P10" s="7">
        <v>1940</v>
      </c>
      <c r="Q10" s="31"/>
      <c r="R10" s="31"/>
      <c r="S10" s="31"/>
      <c r="T10" s="5">
        <v>0</v>
      </c>
      <c r="U10" s="5">
        <v>0</v>
      </c>
      <c r="V10" s="7">
        <v>23802</v>
      </c>
      <c r="W10" s="31"/>
      <c r="X10" s="31"/>
      <c r="Y10" s="31"/>
      <c r="Z10" s="5">
        <v>6.5146810211936723E-3</v>
      </c>
      <c r="AA10" s="5">
        <v>6.5359477124183061E-3</v>
      </c>
      <c r="AB10" s="7">
        <v>27561</v>
      </c>
      <c r="AC10" s="31"/>
      <c r="AD10" s="31"/>
      <c r="AE10" s="31"/>
    </row>
    <row r="11" spans="1:31" x14ac:dyDescent="0.2">
      <c r="A11" s="13">
        <v>42109</v>
      </c>
      <c r="B11" s="5">
        <v>-3.1010236742560322E-2</v>
      </c>
      <c r="C11" s="5">
        <v>-3.0534351145038195E-2</v>
      </c>
      <c r="D11" s="39">
        <v>5053</v>
      </c>
      <c r="E11" s="31"/>
      <c r="F11" s="31"/>
      <c r="G11" s="31"/>
      <c r="H11" s="5">
        <v>1.3756830709640783E-2</v>
      </c>
      <c r="I11" s="5">
        <v>1.3851891315929758E-2</v>
      </c>
      <c r="J11" s="7">
        <v>93412</v>
      </c>
      <c r="K11" s="31"/>
      <c r="L11" s="31"/>
      <c r="M11" s="31"/>
      <c r="N11" s="5">
        <v>-1.0000083334583311E-2</v>
      </c>
      <c r="O11" s="5">
        <v>-9.9502487562188047E-3</v>
      </c>
      <c r="P11" s="7">
        <v>4037</v>
      </c>
      <c r="Q11" s="31"/>
      <c r="R11" s="31"/>
      <c r="S11" s="31"/>
      <c r="T11" s="5">
        <v>-1.834913866819643E-2</v>
      </c>
      <c r="U11" s="5">
        <v>-1.8181818181818118E-2</v>
      </c>
      <c r="V11" s="7">
        <v>49777</v>
      </c>
      <c r="W11" s="31"/>
      <c r="X11" s="31"/>
      <c r="Y11" s="31"/>
      <c r="Z11" s="5">
        <v>-1.9672765598704893E-2</v>
      </c>
      <c r="AA11" s="5">
        <v>-1.9480519480519497E-2</v>
      </c>
      <c r="AB11" s="7">
        <v>25360</v>
      </c>
      <c r="AC11" s="31"/>
      <c r="AD11" s="31"/>
      <c r="AE11" s="31"/>
    </row>
    <row r="12" spans="1:31" x14ac:dyDescent="0.2">
      <c r="A12" s="13">
        <v>42110</v>
      </c>
      <c r="B12" s="5">
        <v>-1.5873349156290122E-2</v>
      </c>
      <c r="C12" s="5">
        <v>-1.5748031496063006E-2</v>
      </c>
      <c r="D12" s="39">
        <v>4145</v>
      </c>
      <c r="E12" s="31"/>
      <c r="F12" s="31"/>
      <c r="G12" s="31"/>
      <c r="H12" s="5">
        <v>6.8080912346563643E-3</v>
      </c>
      <c r="I12" s="5">
        <v>6.8313189700472407E-3</v>
      </c>
      <c r="J12" s="7">
        <v>51080</v>
      </c>
      <c r="K12" s="31"/>
      <c r="L12" s="31"/>
      <c r="M12" s="31"/>
      <c r="N12" s="5">
        <v>0</v>
      </c>
      <c r="O12" s="5">
        <v>0</v>
      </c>
      <c r="P12" s="7">
        <v>1801</v>
      </c>
      <c r="Q12" s="31"/>
      <c r="R12" s="31"/>
      <c r="S12" s="31"/>
      <c r="T12" s="5">
        <v>3.6367644170874791E-2</v>
      </c>
      <c r="U12" s="5">
        <v>3.7037037037036903E-2</v>
      </c>
      <c r="V12" s="7">
        <v>45770</v>
      </c>
      <c r="W12" s="31"/>
      <c r="X12" s="31"/>
      <c r="Y12" s="31"/>
      <c r="Z12" s="5">
        <v>2.6145280104322207E-2</v>
      </c>
      <c r="AA12" s="5">
        <v>2.6490066225165587E-2</v>
      </c>
      <c r="AB12" s="7">
        <v>69895</v>
      </c>
      <c r="AC12" s="31"/>
      <c r="AD12" s="31"/>
      <c r="AE12" s="31"/>
    </row>
    <row r="13" spans="1:31" x14ac:dyDescent="0.2">
      <c r="A13" s="13">
        <v>42111</v>
      </c>
      <c r="B13" s="5">
        <v>0</v>
      </c>
      <c r="C13" s="5">
        <v>0</v>
      </c>
      <c r="D13" s="39">
        <v>5070</v>
      </c>
      <c r="E13" s="31"/>
      <c r="F13" s="31"/>
      <c r="G13" s="31"/>
      <c r="H13" s="5">
        <v>-1.0493275715838656E-2</v>
      </c>
      <c r="I13" s="5">
        <v>-1.0438413361169066E-2</v>
      </c>
      <c r="J13" s="7">
        <v>70599</v>
      </c>
      <c r="K13" s="31"/>
      <c r="L13" s="31"/>
      <c r="M13" s="31"/>
      <c r="N13" s="5">
        <v>5.0125418235441935E-3</v>
      </c>
      <c r="O13" s="5">
        <v>5.0251256281407079E-3</v>
      </c>
      <c r="P13" s="7">
        <v>9486</v>
      </c>
      <c r="Q13" s="31"/>
      <c r="R13" s="31"/>
      <c r="S13" s="31"/>
      <c r="T13" s="5">
        <v>-1.801850550267825E-2</v>
      </c>
      <c r="U13" s="5">
        <v>-1.7857142857142794E-2</v>
      </c>
      <c r="V13" s="7">
        <v>65809</v>
      </c>
      <c r="W13" s="31"/>
      <c r="X13" s="31"/>
      <c r="Y13" s="31"/>
      <c r="Z13" s="5">
        <v>-2.614528010432236E-2</v>
      </c>
      <c r="AA13" s="5">
        <v>-2.5806451612903247E-2</v>
      </c>
      <c r="AB13" s="7">
        <v>49736</v>
      </c>
      <c r="AC13" s="31"/>
      <c r="AD13" s="31"/>
      <c r="AE13" s="31"/>
    </row>
    <row r="14" spans="1:31" x14ac:dyDescent="0.2">
      <c r="A14" s="13">
        <v>42114</v>
      </c>
      <c r="B14" s="5">
        <v>7.9681696491768813E-3</v>
      </c>
      <c r="C14" s="5">
        <v>8.0000000000000071E-3</v>
      </c>
      <c r="D14" s="39">
        <v>5204</v>
      </c>
      <c r="E14" s="31"/>
      <c r="F14" s="31"/>
      <c r="G14" s="31"/>
      <c r="H14" s="5">
        <v>-2.4560764742596705E-2</v>
      </c>
      <c r="I14" s="5">
        <v>-2.426160337552747E-2</v>
      </c>
      <c r="J14" s="7">
        <v>46738</v>
      </c>
      <c r="K14" s="31"/>
      <c r="L14" s="31"/>
      <c r="M14" s="31"/>
      <c r="N14" s="5">
        <v>0</v>
      </c>
      <c r="O14" s="5">
        <v>0</v>
      </c>
      <c r="P14" s="7">
        <v>18220</v>
      </c>
      <c r="Q14" s="31"/>
      <c r="R14" s="31"/>
      <c r="S14" s="31"/>
      <c r="T14" s="5">
        <v>-3.186890928519019E-3</v>
      </c>
      <c r="U14" s="5">
        <v>-3.1818181818181949E-3</v>
      </c>
      <c r="V14" s="7">
        <v>95856</v>
      </c>
      <c r="W14" s="31"/>
      <c r="X14" s="31"/>
      <c r="Y14" s="31"/>
      <c r="Z14" s="5">
        <v>1.3158084577511201E-2</v>
      </c>
      <c r="AA14" s="5">
        <v>1.3245033112582794E-2</v>
      </c>
      <c r="AB14" s="7">
        <v>8023</v>
      </c>
      <c r="AC14" s="31"/>
      <c r="AD14" s="31"/>
      <c r="AE14" s="31"/>
    </row>
    <row r="15" spans="1:31" x14ac:dyDescent="0.2">
      <c r="A15" s="13">
        <v>42115</v>
      </c>
      <c r="B15" s="5">
        <v>-4.4632154020768262E-2</v>
      </c>
      <c r="C15" s="5">
        <v>-4.36507936507936E-2</v>
      </c>
      <c r="D15" s="39">
        <v>7240</v>
      </c>
      <c r="E15" s="31"/>
      <c r="F15" s="31"/>
      <c r="G15" s="31"/>
      <c r="H15" s="5">
        <v>1.0752791776261697E-2</v>
      </c>
      <c r="I15" s="5">
        <v>1.0810810810810773E-2</v>
      </c>
      <c r="J15" s="7">
        <v>108580</v>
      </c>
      <c r="K15" s="31"/>
      <c r="L15" s="31"/>
      <c r="M15" s="31"/>
      <c r="N15" s="5">
        <v>0</v>
      </c>
      <c r="O15" s="5">
        <v>0</v>
      </c>
      <c r="P15" s="7">
        <v>2805</v>
      </c>
      <c r="Q15" s="31"/>
      <c r="R15" s="31"/>
      <c r="S15" s="31"/>
      <c r="T15" s="5">
        <v>-2.0267851775377793E-2</v>
      </c>
      <c r="U15" s="5">
        <v>-2.0063839489284144E-2</v>
      </c>
      <c r="V15" s="7">
        <v>97943</v>
      </c>
      <c r="W15" s="31"/>
      <c r="X15" s="31"/>
      <c r="Y15" s="31"/>
      <c r="Z15" s="5">
        <v>-6.5574005461590517E-3</v>
      </c>
      <c r="AA15" s="5">
        <v>-6.5359477124183061E-3</v>
      </c>
      <c r="AB15" s="7">
        <v>220484</v>
      </c>
      <c r="AC15" s="31"/>
      <c r="AD15" s="31"/>
      <c r="AE15" s="31"/>
    </row>
    <row r="16" spans="1:31" x14ac:dyDescent="0.2">
      <c r="A16" s="13">
        <v>42116</v>
      </c>
      <c r="B16" s="5">
        <v>-2.5211419346496056E-2</v>
      </c>
      <c r="C16" s="5">
        <v>-2.4896265560165994E-2</v>
      </c>
      <c r="D16" s="39">
        <v>8486</v>
      </c>
      <c r="E16" s="31"/>
      <c r="F16" s="31"/>
      <c r="G16" s="31"/>
      <c r="H16" s="5">
        <v>7.458745287676133E-3</v>
      </c>
      <c r="I16" s="5">
        <v>7.4866310160428117E-3</v>
      </c>
      <c r="J16" s="7">
        <v>79198</v>
      </c>
      <c r="K16" s="31"/>
      <c r="L16" s="31"/>
      <c r="M16" s="31"/>
      <c r="N16" s="5">
        <v>-5.0125418235442863E-3</v>
      </c>
      <c r="O16" s="5">
        <v>-5.0000000000000044E-3</v>
      </c>
      <c r="P16" s="7">
        <v>34212</v>
      </c>
      <c r="Q16" s="31"/>
      <c r="R16" s="31"/>
      <c r="S16" s="31"/>
      <c r="T16" s="5">
        <v>-2.306527293099599E-2</v>
      </c>
      <c r="U16" s="5">
        <v>-2.2801302931596022E-2</v>
      </c>
      <c r="V16" s="7">
        <v>148112</v>
      </c>
      <c r="W16" s="31"/>
      <c r="X16" s="31"/>
      <c r="Y16" s="31"/>
      <c r="Z16" s="5">
        <v>-1.324522675002068E-2</v>
      </c>
      <c r="AA16" s="5">
        <v>-1.3157894736842117E-2</v>
      </c>
      <c r="AB16" s="7">
        <v>68536</v>
      </c>
      <c r="AC16" s="31"/>
      <c r="AD16" s="31"/>
      <c r="AE16" s="31"/>
    </row>
    <row r="17" spans="1:31" x14ac:dyDescent="0.2">
      <c r="A17" s="13">
        <v>42117</v>
      </c>
      <c r="B17" s="5">
        <v>2.1253993123135366E-3</v>
      </c>
      <c r="C17" s="5">
        <v>2.1276595744680396E-3</v>
      </c>
      <c r="D17" s="39">
        <v>5576</v>
      </c>
      <c r="E17" s="31"/>
      <c r="F17" s="31"/>
      <c r="G17" s="31"/>
      <c r="H17" s="5">
        <v>1.0610080570943254E-3</v>
      </c>
      <c r="I17" s="5">
        <v>1.0615711252653702E-3</v>
      </c>
      <c r="J17" s="7">
        <v>26948</v>
      </c>
      <c r="K17" s="31"/>
      <c r="L17" s="31"/>
      <c r="M17" s="31"/>
      <c r="N17" s="5">
        <v>0</v>
      </c>
      <c r="O17" s="5">
        <v>0</v>
      </c>
      <c r="P17" s="7">
        <v>15209</v>
      </c>
      <c r="Q17" s="31"/>
      <c r="R17" s="31"/>
      <c r="S17" s="31"/>
      <c r="T17" s="5">
        <v>2.3781224049674193E-3</v>
      </c>
      <c r="U17" s="5">
        <v>2.380952380952415E-3</v>
      </c>
      <c r="V17" s="7">
        <v>40230</v>
      </c>
      <c r="W17" s="31"/>
      <c r="X17" s="31"/>
      <c r="Y17" s="31"/>
      <c r="Z17" s="5">
        <v>0</v>
      </c>
      <c r="AA17" s="5">
        <v>0</v>
      </c>
      <c r="AB17" s="7">
        <v>111033</v>
      </c>
      <c r="AC17" s="31"/>
      <c r="AD17" s="31"/>
      <c r="AE17" s="31"/>
    </row>
    <row r="18" spans="1:31" x14ac:dyDescent="0.2">
      <c r="A18" s="13">
        <v>42118</v>
      </c>
      <c r="B18" s="5">
        <v>6.9700335258942064E-2</v>
      </c>
      <c r="C18" s="5">
        <v>7.2186836518046679E-2</v>
      </c>
      <c r="D18" s="39">
        <v>6538</v>
      </c>
      <c r="E18" s="31"/>
      <c r="F18" s="31"/>
      <c r="G18" s="31"/>
      <c r="H18" s="5">
        <v>1.1073142407016215E-2</v>
      </c>
      <c r="I18" s="5">
        <v>1.1134676564156992E-2</v>
      </c>
      <c r="J18" s="7">
        <v>71325</v>
      </c>
      <c r="K18" s="31"/>
      <c r="L18" s="31"/>
      <c r="M18" s="31"/>
      <c r="N18" s="5">
        <v>7.5094220221313479E-3</v>
      </c>
      <c r="O18" s="5">
        <v>7.5376884422110064E-3</v>
      </c>
      <c r="P18" s="7">
        <v>5235</v>
      </c>
      <c r="Q18" s="31"/>
      <c r="R18" s="31"/>
      <c r="S18" s="31"/>
      <c r="T18" s="5">
        <v>6.705909479025042E-2</v>
      </c>
      <c r="U18" s="5">
        <v>6.935866983372925E-2</v>
      </c>
      <c r="V18" s="7">
        <v>55766</v>
      </c>
      <c r="W18" s="31"/>
      <c r="X18" s="31"/>
      <c r="Y18" s="31"/>
      <c r="Z18" s="5">
        <v>0</v>
      </c>
      <c r="AA18" s="5">
        <v>0</v>
      </c>
      <c r="AB18" s="7">
        <v>70636</v>
      </c>
      <c r="AC18" s="31"/>
      <c r="AD18" s="31"/>
      <c r="AE18" s="31"/>
    </row>
    <row r="19" spans="1:31" x14ac:dyDescent="0.2">
      <c r="A19" s="13">
        <v>42121</v>
      </c>
      <c r="B19" s="5">
        <v>0</v>
      </c>
      <c r="C19" s="5">
        <v>0</v>
      </c>
      <c r="D19" s="39">
        <v>6749</v>
      </c>
      <c r="E19" s="5">
        <f>STDEV(B3:B19)</f>
        <v>2.4041135566790561E-2</v>
      </c>
      <c r="F19" s="5">
        <f>AVERAGE(B3:B19)</f>
        <v>-2.5083599568236628E-3</v>
      </c>
      <c r="G19" s="7">
        <f>AVERAGE(D3:D19)</f>
        <v>6287.8823529411766</v>
      </c>
      <c r="H19" s="5">
        <v>1.9216379419965447E-2</v>
      </c>
      <c r="I19" s="5">
        <v>1.9402202412165757E-2</v>
      </c>
      <c r="J19" s="7">
        <v>81723</v>
      </c>
      <c r="K19" s="5">
        <f>STDEV(H3:H19)</f>
        <v>2.1293203088719251E-2</v>
      </c>
      <c r="L19" s="5">
        <f>AVERAGE(H3:H19)</f>
        <v>9.7524855789849277E-3</v>
      </c>
      <c r="M19" s="7">
        <f>AVERAGE(J3:J19)</f>
        <v>56531.117647058825</v>
      </c>
      <c r="N19" s="5">
        <v>-2.4968801985871545E-3</v>
      </c>
      <c r="O19" s="5">
        <v>-2.4937655860348597E-3</v>
      </c>
      <c r="P19" s="7">
        <v>3167</v>
      </c>
      <c r="Q19" s="5">
        <f>STDEV(N3:N19)</f>
        <v>5.6747008853469975E-3</v>
      </c>
      <c r="R19" s="5">
        <f>AVERAGE(N3:N19)</f>
        <v>-2.3163660532160896E-17</v>
      </c>
      <c r="S19" s="7">
        <f>AVERAGE(P3:P19)</f>
        <v>10463.470588235294</v>
      </c>
      <c r="T19" s="5">
        <v>1.1923303100395207E-2</v>
      </c>
      <c r="U19" s="5">
        <v>1.1994669035983988E-2</v>
      </c>
      <c r="V19" s="7">
        <v>52071</v>
      </c>
      <c r="W19" s="5">
        <f>STDEV(T3:T19)</f>
        <v>2.7129882477822564E-2</v>
      </c>
      <c r="X19" s="5">
        <f>AVERAGE(T3:T19)</f>
        <v>4.8139308344996969E-3</v>
      </c>
      <c r="Y19" s="7">
        <f>AVERAGE(V3:V19)</f>
        <v>65201.647058823532</v>
      </c>
      <c r="Z19" s="5">
        <v>1.3245226750020723E-2</v>
      </c>
      <c r="AA19" s="5">
        <v>1.3333333333333345E-2</v>
      </c>
      <c r="AB19" s="7">
        <v>31089</v>
      </c>
      <c r="AC19" s="5">
        <f>STDEV(Z3:Z19)</f>
        <v>1.5383241767952813E-2</v>
      </c>
      <c r="AD19" s="5">
        <f>AVERAGE(Z3:Z19)</f>
        <v>-7.6894597455017661E-4</v>
      </c>
      <c r="AE19" s="7">
        <f>AVERAGE(AB3:AB19)</f>
        <v>75717.823529411762</v>
      </c>
    </row>
    <row r="20" spans="1:31" x14ac:dyDescent="0.2">
      <c r="A20" s="13">
        <v>42122</v>
      </c>
      <c r="B20" s="5">
        <v>3.8839833316263957E-2</v>
      </c>
      <c r="C20" s="5">
        <v>3.9603960396039639E-2</v>
      </c>
      <c r="D20" s="39">
        <v>36924</v>
      </c>
      <c r="E20" s="5">
        <f t="shared" ref="E20:E42" si="0">STDEV(B4:B20)</f>
        <v>2.5764988168301056E-2</v>
      </c>
      <c r="F20" s="5">
        <f t="shared" ref="F20:F42" si="1">AVERAGE(B4:B20)</f>
        <v>6.7613996621971944E-4</v>
      </c>
      <c r="G20" s="7">
        <f t="shared" ref="G20:G42" si="2">AVERAGE(D4:D20)</f>
        <v>8283.4117647058829</v>
      </c>
      <c r="H20" s="5">
        <v>1.5420203518151968E-3</v>
      </c>
      <c r="I20" s="5">
        <v>1.5432098765430855E-3</v>
      </c>
      <c r="J20" s="7">
        <v>98350</v>
      </c>
      <c r="K20" s="5">
        <f t="shared" ref="K20:K42" si="3">STDEV(H4:H20)</f>
        <v>2.0930856331808037E-2</v>
      </c>
      <c r="L20" s="5">
        <f t="shared" ref="L20:L42" si="4">AVERAGE(H4:H20)</f>
        <v>8.2923327337422956E-3</v>
      </c>
      <c r="M20" s="7">
        <f t="shared" ref="M20:M42" si="5">AVERAGE(J4:J20)</f>
        <v>61036.882352941175</v>
      </c>
      <c r="N20" s="5">
        <v>4.9875415110389679E-3</v>
      </c>
      <c r="O20" s="5">
        <v>4.9999999999998934E-3</v>
      </c>
      <c r="P20" s="7">
        <v>9787</v>
      </c>
      <c r="Q20" s="5">
        <f t="shared" ref="Q20:Q42" si="6">STDEV(N4:N20)</f>
        <v>5.8021977716005216E-3</v>
      </c>
      <c r="R20" s="5">
        <f t="shared" ref="R20:R42" si="7">AVERAGE(N4:N20)</f>
        <v>2.9338479476697494E-4</v>
      </c>
      <c r="S20" s="7">
        <f t="shared" ref="S20:S42" si="8">AVERAGE(P4:P20)</f>
        <v>10811.117647058823</v>
      </c>
      <c r="T20" s="5">
        <v>-7.0484873310617388E-3</v>
      </c>
      <c r="U20" s="5">
        <v>-7.0237050043898217E-3</v>
      </c>
      <c r="V20" s="7">
        <v>60275</v>
      </c>
      <c r="W20" s="5">
        <f t="shared" ref="W20:W42" si="9">STDEV(T4:T20)</f>
        <v>2.6581857830409936E-2</v>
      </c>
      <c r="X20" s="5">
        <f t="shared" ref="X20:X42" si="10">AVERAGE(T4:T20)</f>
        <v>5.5596906048277156E-3</v>
      </c>
      <c r="Y20" s="7">
        <f t="shared" ref="Y20:Y42" si="11">AVERAGE(V4:V20)</f>
        <v>65715.352941176476</v>
      </c>
      <c r="Z20" s="5">
        <v>6.5574005461590396E-3</v>
      </c>
      <c r="AA20" s="5">
        <v>6.5789473684210583E-3</v>
      </c>
      <c r="AB20" s="7">
        <v>49055</v>
      </c>
      <c r="AC20" s="5">
        <f t="shared" ref="AC20:AC42" si="12">STDEV(Z4:Z20)</f>
        <v>1.4667470670363525E-2</v>
      </c>
      <c r="AD20" s="5">
        <f t="shared" ref="AD20:AD42" si="13">AVERAGE(Z4:Z20)</f>
        <v>7.7400497514770196E-4</v>
      </c>
      <c r="AE20" s="7">
        <f t="shared" ref="AE20:AE42" si="14">AVERAGE(AB4:AB20)</f>
        <v>66019.588235294112</v>
      </c>
    </row>
    <row r="21" spans="1:31" x14ac:dyDescent="0.2">
      <c r="A21" s="13">
        <v>42123</v>
      </c>
      <c r="B21" s="5">
        <v>-2.8987536873252413E-2</v>
      </c>
      <c r="C21" s="5">
        <v>-2.857142857142864E-2</v>
      </c>
      <c r="D21" s="39">
        <v>4757</v>
      </c>
      <c r="E21" s="5">
        <f t="shared" si="0"/>
        <v>2.634275805789606E-2</v>
      </c>
      <c r="F21" s="5">
        <f t="shared" si="1"/>
        <v>-2.0403269404641149E-3</v>
      </c>
      <c r="G21" s="7">
        <f t="shared" si="2"/>
        <v>7994</v>
      </c>
      <c r="H21" s="5">
        <v>5.6338177182560642E-3</v>
      </c>
      <c r="I21" s="5">
        <v>5.6497175141242651E-3</v>
      </c>
      <c r="J21" s="7">
        <v>101665</v>
      </c>
      <c r="K21" s="5">
        <f t="shared" si="3"/>
        <v>2.0802877977355694E-2</v>
      </c>
      <c r="L21" s="5">
        <f t="shared" si="4"/>
        <v>8.6933474283914878E-3</v>
      </c>
      <c r="M21" s="7">
        <f t="shared" si="5"/>
        <v>64223.176470588238</v>
      </c>
      <c r="N21" s="5">
        <v>-2.4906613124518078E-3</v>
      </c>
      <c r="O21" s="5">
        <v>-2.4875621890546734E-3</v>
      </c>
      <c r="P21" s="7">
        <v>3915</v>
      </c>
      <c r="Q21" s="5">
        <f t="shared" si="6"/>
        <v>5.68919990241954E-3</v>
      </c>
      <c r="R21" s="5">
        <f t="shared" si="7"/>
        <v>4.4173070718417942E-4</v>
      </c>
      <c r="S21" s="7">
        <f t="shared" si="8"/>
        <v>9641.6470588235297</v>
      </c>
      <c r="T21" s="5">
        <v>-5.3191614776000448E-3</v>
      </c>
      <c r="U21" s="5">
        <v>-5.3050397877984524E-3</v>
      </c>
      <c r="V21" s="7">
        <v>97824</v>
      </c>
      <c r="W21" s="5">
        <f t="shared" si="9"/>
        <v>2.5352767717887779E-2</v>
      </c>
      <c r="X21" s="5">
        <f t="shared" si="10"/>
        <v>3.0310141105481321E-3</v>
      </c>
      <c r="Y21" s="7">
        <f t="shared" si="11"/>
        <v>69551.882352941175</v>
      </c>
      <c r="Z21" s="5">
        <v>3.2157111634531443E-2</v>
      </c>
      <c r="AA21" s="5">
        <v>3.2679738562091533E-2</v>
      </c>
      <c r="AB21" s="7">
        <v>51947</v>
      </c>
      <c r="AC21" s="5">
        <f t="shared" si="12"/>
        <v>1.6362030783283736E-2</v>
      </c>
      <c r="AD21" s="5">
        <f t="shared" si="13"/>
        <v>3.0564552312182932E-3</v>
      </c>
      <c r="AE21" s="7">
        <f t="shared" si="14"/>
        <v>65381.705882352944</v>
      </c>
    </row>
    <row r="22" spans="1:31" x14ac:dyDescent="0.2">
      <c r="A22" s="13">
        <v>42124</v>
      </c>
      <c r="B22" s="5">
        <v>9.7561749453648743E-3</v>
      </c>
      <c r="C22" s="5">
        <v>9.8039215686275914E-3</v>
      </c>
      <c r="D22" s="39">
        <v>15466</v>
      </c>
      <c r="E22" s="5">
        <f t="shared" si="0"/>
        <v>2.6484794825602093E-2</v>
      </c>
      <c r="F22" s="5">
        <f t="shared" si="1"/>
        <v>-1.5777371290919436E-3</v>
      </c>
      <c r="G22" s="7">
        <f t="shared" si="2"/>
        <v>8708.6470588235297</v>
      </c>
      <c r="H22" s="5">
        <v>-2.0640567647072037E-2</v>
      </c>
      <c r="I22" s="5">
        <v>-2.0429009193054067E-2</v>
      </c>
      <c r="J22" s="7">
        <v>93582</v>
      </c>
      <c r="K22" s="5">
        <f t="shared" si="3"/>
        <v>2.1475657808537611E-2</v>
      </c>
      <c r="L22" s="5">
        <f t="shared" si="4"/>
        <v>8.1446676489754476E-3</v>
      </c>
      <c r="M22" s="7">
        <f t="shared" si="5"/>
        <v>68805.705882352937</v>
      </c>
      <c r="N22" s="5">
        <v>4.9751346401139289E-3</v>
      </c>
      <c r="O22" s="5">
        <v>4.9875311720699407E-3</v>
      </c>
      <c r="P22" s="7">
        <v>98245</v>
      </c>
      <c r="Q22" s="5">
        <f t="shared" si="6"/>
        <v>5.3912194580344342E-3</v>
      </c>
      <c r="R22" s="5">
        <f t="shared" si="7"/>
        <v>1.1794586497388701E-3</v>
      </c>
      <c r="S22" s="7">
        <f t="shared" si="8"/>
        <v>14228.35294117647</v>
      </c>
      <c r="T22" s="5">
        <v>0</v>
      </c>
      <c r="U22" s="5">
        <v>0</v>
      </c>
      <c r="V22" s="7">
        <v>87806</v>
      </c>
      <c r="W22" s="5">
        <f t="shared" si="9"/>
        <v>2.354590050846312E-2</v>
      </c>
      <c r="X22" s="5">
        <f t="shared" si="10"/>
        <v>5.01857914816953E-3</v>
      </c>
      <c r="Y22" s="7">
        <f t="shared" si="11"/>
        <v>73310.117647058825</v>
      </c>
      <c r="Z22" s="5">
        <v>3.1155167779795479E-2</v>
      </c>
      <c r="AA22" s="5">
        <v>3.1645569620253049E-2</v>
      </c>
      <c r="AB22" s="7">
        <v>726522</v>
      </c>
      <c r="AC22" s="5">
        <f t="shared" si="12"/>
        <v>1.7293385662801367E-2</v>
      </c>
      <c r="AD22" s="5">
        <f t="shared" si="13"/>
        <v>3.724251730254514E-3</v>
      </c>
      <c r="AE22" s="7">
        <f t="shared" si="14"/>
        <v>100000.5294117647</v>
      </c>
    </row>
    <row r="23" spans="1:31" x14ac:dyDescent="0.2">
      <c r="A23" s="13">
        <v>42128</v>
      </c>
      <c r="B23" s="5">
        <v>9.6619109117368901E-3</v>
      </c>
      <c r="C23" s="5">
        <v>9.7087378640776344E-3</v>
      </c>
      <c r="D23" s="39">
        <v>20101</v>
      </c>
      <c r="E23" s="5">
        <f t="shared" si="0"/>
        <v>2.6615162131201731E-2</v>
      </c>
      <c r="F23" s="5">
        <f t="shared" si="1"/>
        <v>-1.1204820570996652E-3</v>
      </c>
      <c r="G23" s="7">
        <f t="shared" si="2"/>
        <v>9499.7058823529405</v>
      </c>
      <c r="H23" s="5">
        <v>1.6546396114408935E-2</v>
      </c>
      <c r="I23" s="5">
        <v>1.6684045881126187E-2</v>
      </c>
      <c r="J23" s="7">
        <v>24270</v>
      </c>
      <c r="K23" s="5">
        <f t="shared" si="3"/>
        <v>2.1103247666333248E-2</v>
      </c>
      <c r="L23" s="5">
        <f t="shared" si="4"/>
        <v>7.5882089647098363E-3</v>
      </c>
      <c r="M23" s="7">
        <f t="shared" si="5"/>
        <v>68659.058823529413</v>
      </c>
      <c r="N23" s="5">
        <v>-4.9751346401139549E-3</v>
      </c>
      <c r="O23" s="5">
        <v>-4.9627791563276579E-3</v>
      </c>
      <c r="P23" s="7">
        <v>11730</v>
      </c>
      <c r="Q23" s="5">
        <f t="shared" si="6"/>
        <v>4.7093823557441171E-3</v>
      </c>
      <c r="R23" s="5">
        <f t="shared" si="7"/>
        <v>1.4687530579922785E-4</v>
      </c>
      <c r="S23" s="7">
        <f t="shared" si="8"/>
        <v>14367.823529411764</v>
      </c>
      <c r="T23" s="5">
        <v>1.1049836186584935E-2</v>
      </c>
      <c r="U23" s="5">
        <v>1.1111111111111112E-2</v>
      </c>
      <c r="V23" s="7">
        <v>29804</v>
      </c>
      <c r="W23" s="5">
        <f t="shared" si="9"/>
        <v>2.2389164687075004E-2</v>
      </c>
      <c r="X23" s="5">
        <f t="shared" si="10"/>
        <v>3.6534846941211987E-3</v>
      </c>
      <c r="Y23" s="7">
        <f t="shared" si="11"/>
        <v>59358.294117647056</v>
      </c>
      <c r="Z23" s="5">
        <v>7.1035773116751744E-2</v>
      </c>
      <c r="AA23" s="5">
        <v>7.3619631901840565E-2</v>
      </c>
      <c r="AB23" s="7">
        <v>112605</v>
      </c>
      <c r="AC23" s="5">
        <f t="shared" si="12"/>
        <v>2.3723829746626429E-2</v>
      </c>
      <c r="AD23" s="5">
        <f t="shared" si="13"/>
        <v>7.9028266194752055E-3</v>
      </c>
      <c r="AE23" s="7">
        <f t="shared" si="14"/>
        <v>100318.70588235294</v>
      </c>
    </row>
    <row r="24" spans="1:31" x14ac:dyDescent="0.2">
      <c r="A24" s="13">
        <v>42129</v>
      </c>
      <c r="B24" s="5">
        <v>-5.5350095083164956E-2</v>
      </c>
      <c r="C24" s="5">
        <v>-5.3846153846153891E-2</v>
      </c>
      <c r="D24" s="39">
        <v>5116</v>
      </c>
      <c r="E24" s="5">
        <f t="shared" si="0"/>
        <v>2.9697651873828709E-2</v>
      </c>
      <c r="F24" s="5">
        <f t="shared" si="1"/>
        <v>-4.1539745419972539E-3</v>
      </c>
      <c r="G24" s="7">
        <f t="shared" si="2"/>
        <v>9422.3529411764703</v>
      </c>
      <c r="H24" s="5">
        <v>-3.0816665374080007E-3</v>
      </c>
      <c r="I24" s="5">
        <v>-3.0769230769230114E-3</v>
      </c>
      <c r="J24" s="7">
        <v>54773</v>
      </c>
      <c r="K24" s="5">
        <f t="shared" si="3"/>
        <v>1.3472701089035437E-2</v>
      </c>
      <c r="L24" s="5">
        <f t="shared" si="4"/>
        <v>3.234243201020772E-3</v>
      </c>
      <c r="M24" s="7">
        <f t="shared" si="5"/>
        <v>67810.352941176476</v>
      </c>
      <c r="N24" s="5">
        <v>-5.0000104167056405E-3</v>
      </c>
      <c r="O24" s="5">
        <v>-4.9875311720697195E-3</v>
      </c>
      <c r="P24" s="7">
        <v>5072</v>
      </c>
      <c r="Q24" s="5">
        <f t="shared" si="6"/>
        <v>4.8251576650568473E-3</v>
      </c>
      <c r="R24" s="5">
        <f t="shared" si="7"/>
        <v>-2.9411825980623014E-4</v>
      </c>
      <c r="S24" s="7">
        <f t="shared" si="8"/>
        <v>13710.176470588236</v>
      </c>
      <c r="T24" s="5">
        <v>-1.5504186535965312E-2</v>
      </c>
      <c r="U24" s="5">
        <v>-1.5384615384615448E-2</v>
      </c>
      <c r="V24" s="7">
        <v>24487</v>
      </c>
      <c r="W24" s="5">
        <f t="shared" si="9"/>
        <v>2.2854761927531587E-2</v>
      </c>
      <c r="X24" s="5">
        <f t="shared" si="10"/>
        <v>2.4122366898457082E-3</v>
      </c>
      <c r="Y24" s="7">
        <f t="shared" si="11"/>
        <v>60095.117647058825</v>
      </c>
      <c r="Z24" s="5">
        <v>-3.4887259000440665E-2</v>
      </c>
      <c r="AA24" s="5">
        <v>-3.4285714285714315E-2</v>
      </c>
      <c r="AB24" s="7">
        <v>94321</v>
      </c>
      <c r="AC24" s="5">
        <f t="shared" si="12"/>
        <v>2.5068824950933721E-2</v>
      </c>
      <c r="AD24" s="5">
        <f t="shared" si="13"/>
        <v>7.0154953427539737E-3</v>
      </c>
      <c r="AE24" s="7">
        <f t="shared" si="14"/>
        <v>104512.58823529411</v>
      </c>
    </row>
    <row r="25" spans="1:31" x14ac:dyDescent="0.2">
      <c r="A25" s="13">
        <v>42130</v>
      </c>
      <c r="B25" s="5">
        <v>2.0121403199421028E-2</v>
      </c>
      <c r="C25" s="5">
        <v>2.0325203252032447E-2</v>
      </c>
      <c r="D25" s="39">
        <v>3435</v>
      </c>
      <c r="E25" s="5">
        <f t="shared" si="0"/>
        <v>3.0269034255079517E-2</v>
      </c>
      <c r="F25" s="5">
        <f t="shared" si="1"/>
        <v>-2.9703625890901346E-3</v>
      </c>
      <c r="G25" s="7">
        <f t="shared" si="2"/>
        <v>8817</v>
      </c>
      <c r="H25" s="5">
        <v>-2.7641916361926977E-2</v>
      </c>
      <c r="I25" s="5">
        <v>-2.7263374485596764E-2</v>
      </c>
      <c r="J25" s="7">
        <v>89255</v>
      </c>
      <c r="K25" s="5">
        <f t="shared" si="3"/>
        <v>1.5167954137987251E-2</v>
      </c>
      <c r="L25" s="5">
        <f t="shared" si="4"/>
        <v>2.1542525870467261E-3</v>
      </c>
      <c r="M25" s="7">
        <f t="shared" si="5"/>
        <v>70994.529411764699</v>
      </c>
      <c r="N25" s="5">
        <v>9.9751450568195243E-3</v>
      </c>
      <c r="O25" s="5">
        <v>1.0025062656641612E-2</v>
      </c>
      <c r="P25" s="7">
        <v>4348</v>
      </c>
      <c r="Q25" s="5">
        <f t="shared" si="6"/>
        <v>5.2958503357735994E-3</v>
      </c>
      <c r="R25" s="5">
        <f t="shared" si="7"/>
        <v>-1.8469702891282475E-17</v>
      </c>
      <c r="S25" s="7">
        <f t="shared" si="8"/>
        <v>13613.470588235294</v>
      </c>
      <c r="T25" s="5">
        <v>1.1540296738866158E-2</v>
      </c>
      <c r="U25" s="5">
        <v>1.1607142857142927E-2</v>
      </c>
      <c r="V25" s="7">
        <v>32379</v>
      </c>
      <c r="W25" s="5">
        <f t="shared" si="9"/>
        <v>2.250118208066058E-2</v>
      </c>
      <c r="X25" s="5">
        <f t="shared" si="10"/>
        <v>1.8725950634517624E-3</v>
      </c>
      <c r="Y25" s="7">
        <f t="shared" si="11"/>
        <v>60598.647058823532</v>
      </c>
      <c r="Z25" s="5">
        <v>5.1884835369011721E-2</v>
      </c>
      <c r="AA25" s="5">
        <v>5.3254437869822535E-2</v>
      </c>
      <c r="AB25" s="7">
        <v>1076819</v>
      </c>
      <c r="AC25" s="5">
        <f t="shared" si="12"/>
        <v>2.7326569760661359E-2</v>
      </c>
      <c r="AD25" s="5">
        <f t="shared" si="13"/>
        <v>9.6766890280682808E-3</v>
      </c>
      <c r="AE25" s="7">
        <f t="shared" si="14"/>
        <v>164629.23529411765</v>
      </c>
    </row>
    <row r="26" spans="1:31" x14ac:dyDescent="0.2">
      <c r="A26" s="13">
        <v>42131</v>
      </c>
      <c r="B26" s="5">
        <v>5.2388312166570354E-2</v>
      </c>
      <c r="C26" s="5">
        <v>5.3784860557769022E-2</v>
      </c>
      <c r="D26" s="39">
        <v>7545</v>
      </c>
      <c r="E26" s="5">
        <f t="shared" si="0"/>
        <v>3.3118650625969047E-2</v>
      </c>
      <c r="F26" s="5">
        <f t="shared" si="1"/>
        <v>2.2281666570219788E-4</v>
      </c>
      <c r="G26" s="7">
        <f t="shared" si="2"/>
        <v>8825.7058823529405</v>
      </c>
      <c r="H26" s="5">
        <v>-1.0098411620920154E-2</v>
      </c>
      <c r="I26" s="5">
        <v>-1.0047593865679601E-2</v>
      </c>
      <c r="J26" s="7">
        <v>138825</v>
      </c>
      <c r="K26" s="5">
        <f t="shared" si="3"/>
        <v>1.4231965704867681E-2</v>
      </c>
      <c r="L26" s="5">
        <f t="shared" si="4"/>
        <v>9.4344093057319693E-5</v>
      </c>
      <c r="M26" s="7">
        <f t="shared" si="5"/>
        <v>77332.588235294112</v>
      </c>
      <c r="N26" s="5">
        <v>7.4165976550493989E-3</v>
      </c>
      <c r="O26" s="5">
        <v>7.4441687344911564E-3</v>
      </c>
      <c r="P26" s="7">
        <v>16329</v>
      </c>
      <c r="Q26" s="5">
        <f t="shared" si="6"/>
        <v>5.5686951769801469E-3</v>
      </c>
      <c r="R26" s="5">
        <f t="shared" si="7"/>
        <v>2.9048715532835784E-4</v>
      </c>
      <c r="S26" s="7">
        <f t="shared" si="8"/>
        <v>14443.411764705883</v>
      </c>
      <c r="T26" s="5">
        <v>-4.8661896511728994E-3</v>
      </c>
      <c r="U26" s="5">
        <v>-4.8543689320388102E-3</v>
      </c>
      <c r="V26" s="7">
        <v>42612</v>
      </c>
      <c r="W26" s="5">
        <f t="shared" si="9"/>
        <v>2.2559781822954438E-2</v>
      </c>
      <c r="X26" s="5">
        <f t="shared" si="10"/>
        <v>1.4525066229630265E-3</v>
      </c>
      <c r="Y26" s="7">
        <f t="shared" si="11"/>
        <v>61783.705882352944</v>
      </c>
      <c r="Z26" s="5">
        <v>-1.6997576368571136E-2</v>
      </c>
      <c r="AA26" s="5">
        <v>-1.6853932584269676E-2</v>
      </c>
      <c r="AB26" s="7">
        <v>98949</v>
      </c>
      <c r="AC26" s="5">
        <f t="shared" si="12"/>
        <v>2.8055488505224793E-2</v>
      </c>
      <c r="AD26" s="5">
        <f t="shared" si="13"/>
        <v>7.902826619475202E-3</v>
      </c>
      <c r="AE26" s="7">
        <f t="shared" si="14"/>
        <v>170151.23529411765</v>
      </c>
    </row>
    <row r="27" spans="1:31" x14ac:dyDescent="0.2">
      <c r="A27" s="13">
        <v>42132</v>
      </c>
      <c r="B27" s="5">
        <v>0</v>
      </c>
      <c r="C27" s="5">
        <v>0</v>
      </c>
      <c r="D27" s="39">
        <v>4130</v>
      </c>
      <c r="E27" s="5">
        <f t="shared" si="0"/>
        <v>3.3083670436068642E-2</v>
      </c>
      <c r="F27" s="5">
        <f t="shared" si="1"/>
        <v>5.5863220807396863E-4</v>
      </c>
      <c r="G27" s="7">
        <f t="shared" si="2"/>
        <v>8913.823529411764</v>
      </c>
      <c r="H27" s="5">
        <v>3.6710991813732947E-2</v>
      </c>
      <c r="I27" s="5">
        <v>3.7393162393162545E-2</v>
      </c>
      <c r="J27" s="7">
        <v>56359</v>
      </c>
      <c r="K27" s="5">
        <f t="shared" si="3"/>
        <v>1.677463084475049E-2</v>
      </c>
      <c r="L27" s="5">
        <f t="shared" si="4"/>
        <v>2.0025654273389168E-3</v>
      </c>
      <c r="M27" s="7">
        <f t="shared" si="5"/>
        <v>75687.176470588238</v>
      </c>
      <c r="N27" s="5">
        <v>2.4600258408626207E-3</v>
      </c>
      <c r="O27" s="5">
        <v>2.4630541871922848E-3</v>
      </c>
      <c r="P27" s="7">
        <v>1707</v>
      </c>
      <c r="Q27" s="5">
        <f t="shared" si="6"/>
        <v>5.4200713211128015E-3</v>
      </c>
      <c r="R27" s="5">
        <f t="shared" si="7"/>
        <v>7.2712334256316629E-4</v>
      </c>
      <c r="S27" s="7">
        <f t="shared" si="8"/>
        <v>14429.705882352941</v>
      </c>
      <c r="T27" s="5">
        <v>-1.1596918550909928E-2</v>
      </c>
      <c r="U27" s="5">
        <v>-1.1529933481153063E-2</v>
      </c>
      <c r="V27" s="7">
        <v>21127</v>
      </c>
      <c r="W27" s="5">
        <f t="shared" si="9"/>
        <v>2.2780702808055484E-2</v>
      </c>
      <c r="X27" s="5">
        <f t="shared" si="10"/>
        <v>7.7033494349773666E-4</v>
      </c>
      <c r="Y27" s="7">
        <f t="shared" si="11"/>
        <v>61626.352941176468</v>
      </c>
      <c r="Z27" s="5">
        <v>-1.1494379425735134E-2</v>
      </c>
      <c r="AA27" s="5">
        <v>-1.1428571428571439E-2</v>
      </c>
      <c r="AB27" s="7">
        <v>27715</v>
      </c>
      <c r="AC27" s="5">
        <f t="shared" si="12"/>
        <v>2.8448433176582851E-2</v>
      </c>
      <c r="AD27" s="5">
        <f t="shared" si="13"/>
        <v>6.8434701225970375E-3</v>
      </c>
      <c r="AE27" s="7">
        <f t="shared" si="14"/>
        <v>170160.29411764705</v>
      </c>
    </row>
    <row r="28" spans="1:31" x14ac:dyDescent="0.2">
      <c r="A28" s="13">
        <v>42135</v>
      </c>
      <c r="B28" s="5">
        <v>-4.4451762570833921E-2</v>
      </c>
      <c r="C28" s="5">
        <v>-4.3478260869565299E-2</v>
      </c>
      <c r="D28" s="39">
        <v>5394</v>
      </c>
      <c r="E28" s="5">
        <f t="shared" si="0"/>
        <v>3.4032321241235321E-2</v>
      </c>
      <c r="F28" s="5">
        <f t="shared" si="1"/>
        <v>-2.320457818244791E-4</v>
      </c>
      <c r="G28" s="7">
        <f t="shared" si="2"/>
        <v>8933.8823529411766</v>
      </c>
      <c r="H28" s="5">
        <v>1.1264840063140928E-2</v>
      </c>
      <c r="I28" s="5">
        <v>1.1328527291452051E-2</v>
      </c>
      <c r="J28" s="7">
        <v>73326</v>
      </c>
      <c r="K28" s="5">
        <f t="shared" si="3"/>
        <v>1.6676093524122779E-2</v>
      </c>
      <c r="L28" s="5">
        <f t="shared" si="4"/>
        <v>1.8559777422506895E-3</v>
      </c>
      <c r="M28" s="7">
        <f t="shared" si="5"/>
        <v>74505.647058823524</v>
      </c>
      <c r="N28" s="5">
        <v>-4.9261183360560009E-3</v>
      </c>
      <c r="O28" s="5">
        <v>-4.9140049140050275E-3</v>
      </c>
      <c r="P28" s="7">
        <v>2358</v>
      </c>
      <c r="Q28" s="5">
        <f t="shared" si="6"/>
        <v>4.9079433671784479E-3</v>
      </c>
      <c r="R28" s="5">
        <f t="shared" si="7"/>
        <v>1.0255918718883022E-3</v>
      </c>
      <c r="S28" s="7">
        <f t="shared" si="8"/>
        <v>14330.941176470587</v>
      </c>
      <c r="T28" s="5">
        <v>4.4853106829570487E-4</v>
      </c>
      <c r="U28" s="5">
        <v>4.486316733962119E-4</v>
      </c>
      <c r="V28" s="7">
        <v>56038</v>
      </c>
      <c r="W28" s="5">
        <f t="shared" si="9"/>
        <v>2.2244564755869074E-2</v>
      </c>
      <c r="X28" s="5">
        <f t="shared" si="10"/>
        <v>1.8760802221149209E-3</v>
      </c>
      <c r="Y28" s="7">
        <f t="shared" si="11"/>
        <v>61994.647058823532</v>
      </c>
      <c r="Z28" s="5">
        <v>-5.7971176843259579E-3</v>
      </c>
      <c r="AA28" s="5">
        <v>-5.7803468208092535E-3</v>
      </c>
      <c r="AB28" s="7">
        <v>43691</v>
      </c>
      <c r="AC28" s="5">
        <f t="shared" si="12"/>
        <v>2.7832492028582609E-2</v>
      </c>
      <c r="AD28" s="5">
        <f t="shared" si="13"/>
        <v>7.6596847057957976E-3</v>
      </c>
      <c r="AE28" s="7">
        <f t="shared" si="14"/>
        <v>171238.58823529413</v>
      </c>
    </row>
    <row r="29" spans="1:31" x14ac:dyDescent="0.2">
      <c r="A29" s="13">
        <v>42136</v>
      </c>
      <c r="B29" s="5">
        <v>2.7292142288007554E-2</v>
      </c>
      <c r="C29" s="5">
        <v>2.7667984189723435E-2</v>
      </c>
      <c r="D29" s="39">
        <v>4138</v>
      </c>
      <c r="E29" s="5">
        <f t="shared" si="0"/>
        <v>3.440068065623695E-2</v>
      </c>
      <c r="F29" s="5">
        <f t="shared" si="1"/>
        <v>2.3071007737224432E-3</v>
      </c>
      <c r="G29" s="7">
        <f t="shared" si="2"/>
        <v>8933.4705882352937</v>
      </c>
      <c r="H29" s="5">
        <v>-1.4359221077888876E-2</v>
      </c>
      <c r="I29" s="5">
        <v>-1.4256619144602909E-2</v>
      </c>
      <c r="J29" s="7">
        <v>67059</v>
      </c>
      <c r="K29" s="5">
        <f t="shared" si="3"/>
        <v>1.7068843299574504E-2</v>
      </c>
      <c r="L29" s="5">
        <f t="shared" si="4"/>
        <v>6.1084172386567572E-4</v>
      </c>
      <c r="M29" s="7">
        <f t="shared" si="5"/>
        <v>75445.588235294112</v>
      </c>
      <c r="N29" s="5">
        <v>0</v>
      </c>
      <c r="O29" s="5">
        <v>0</v>
      </c>
      <c r="P29" s="7">
        <v>1617</v>
      </c>
      <c r="Q29" s="5">
        <f t="shared" si="6"/>
        <v>4.9079433671784479E-3</v>
      </c>
      <c r="R29" s="5">
        <f t="shared" si="7"/>
        <v>1.0255918718883022E-3</v>
      </c>
      <c r="S29" s="7">
        <f t="shared" si="8"/>
        <v>14320.117647058823</v>
      </c>
      <c r="T29" s="5">
        <v>8.9286307443013982E-3</v>
      </c>
      <c r="U29" s="5">
        <v>8.9686098654708207E-3</v>
      </c>
      <c r="V29" s="7">
        <v>67383</v>
      </c>
      <c r="W29" s="5">
        <f t="shared" si="9"/>
        <v>2.0513582178467833E-2</v>
      </c>
      <c r="X29" s="5">
        <f t="shared" si="10"/>
        <v>2.6202060878707442E-4</v>
      </c>
      <c r="Y29" s="7">
        <f t="shared" si="11"/>
        <v>63266</v>
      </c>
      <c r="Z29" s="5">
        <v>0</v>
      </c>
      <c r="AA29" s="5">
        <v>0</v>
      </c>
      <c r="AB29" s="7">
        <v>16972</v>
      </c>
      <c r="AC29" s="5">
        <f t="shared" si="12"/>
        <v>2.7467145145678856E-2</v>
      </c>
      <c r="AD29" s="5">
        <f t="shared" si="13"/>
        <v>6.1217270526003741E-3</v>
      </c>
      <c r="AE29" s="7">
        <f t="shared" si="14"/>
        <v>168125.4705882353</v>
      </c>
    </row>
    <row r="30" spans="1:31" ht="15" customHeight="1" x14ac:dyDescent="0.2">
      <c r="A30" s="13">
        <v>42137</v>
      </c>
      <c r="B30" s="5">
        <v>-2.5317807984289897E-2</v>
      </c>
      <c r="C30" s="5">
        <v>-2.4999999999999977E-2</v>
      </c>
      <c r="D30" s="39">
        <v>3373</v>
      </c>
      <c r="E30" s="5">
        <f t="shared" si="0"/>
        <v>3.5048731046189191E-2</v>
      </c>
      <c r="F30" s="5">
        <f t="shared" si="1"/>
        <v>8.1781795111715528E-4</v>
      </c>
      <c r="G30" s="7">
        <f t="shared" si="2"/>
        <v>8833.6470588235297</v>
      </c>
      <c r="H30" s="5">
        <v>2.5793153324879634E-3</v>
      </c>
      <c r="I30" s="5">
        <v>2.5826446280992105E-3</v>
      </c>
      <c r="J30" s="7">
        <v>194051</v>
      </c>
      <c r="K30" s="5">
        <f t="shared" si="3"/>
        <v>1.6830120954626639E-2</v>
      </c>
      <c r="L30" s="5">
        <f t="shared" si="4"/>
        <v>1.3798176678848882E-3</v>
      </c>
      <c r="M30" s="7">
        <f t="shared" si="5"/>
        <v>82707.470588235301</v>
      </c>
      <c r="N30" s="5">
        <v>0</v>
      </c>
      <c r="O30" s="5">
        <v>0</v>
      </c>
      <c r="P30" s="7">
        <v>1107</v>
      </c>
      <c r="Q30" s="5">
        <f t="shared" si="6"/>
        <v>4.8028938104167293E-3</v>
      </c>
      <c r="R30" s="5">
        <f t="shared" si="7"/>
        <v>7.3073647050334966E-4</v>
      </c>
      <c r="S30" s="7">
        <f t="shared" si="8"/>
        <v>13827.235294117647</v>
      </c>
      <c r="T30" s="5">
        <v>-1.6129381929883644E-2</v>
      </c>
      <c r="U30" s="5">
        <v>-1.5999999999999976E-2</v>
      </c>
      <c r="V30" s="7">
        <v>125931</v>
      </c>
      <c r="W30" s="5">
        <f t="shared" si="9"/>
        <v>2.0413236168994611E-2</v>
      </c>
      <c r="X30" s="5">
        <f t="shared" si="10"/>
        <v>3.7314552483381586E-4</v>
      </c>
      <c r="Y30" s="7">
        <f t="shared" si="11"/>
        <v>66802.588235294112</v>
      </c>
      <c r="Z30" s="5">
        <v>-1.1696039763191298E-2</v>
      </c>
      <c r="AA30" s="5">
        <v>-1.1627906976744196E-2</v>
      </c>
      <c r="AB30" s="7">
        <v>36881</v>
      </c>
      <c r="AC30" s="5">
        <f t="shared" si="12"/>
        <v>2.6616649927822186E-2</v>
      </c>
      <c r="AD30" s="5">
        <f t="shared" si="13"/>
        <v>6.9716823667845549E-3</v>
      </c>
      <c r="AE30" s="7">
        <f t="shared" si="14"/>
        <v>167369.29411764705</v>
      </c>
    </row>
    <row r="31" spans="1:31" ht="15" customHeight="1" x14ac:dyDescent="0.2">
      <c r="A31" s="13">
        <v>42138</v>
      </c>
      <c r="B31" s="5">
        <v>2.9156584291455487E-2</v>
      </c>
      <c r="C31" s="5">
        <v>2.9585798816567942E-2</v>
      </c>
      <c r="D31" s="39">
        <v>5866</v>
      </c>
      <c r="E31" s="5">
        <f>STDEV(B15:B31)</f>
        <v>3.5689779835888447E-2</v>
      </c>
      <c r="F31" s="5">
        <f t="shared" si="1"/>
        <v>2.0641952830158967E-3</v>
      </c>
      <c r="G31" s="7">
        <f t="shared" si="2"/>
        <v>8872.5882352941171</v>
      </c>
      <c r="H31" s="5">
        <v>-5.6833012700790112E-3</v>
      </c>
      <c r="I31" s="5">
        <v>-5.6671818650180028E-3</v>
      </c>
      <c r="J31" s="7">
        <v>202423</v>
      </c>
      <c r="K31" s="5">
        <f t="shared" si="3"/>
        <v>1.5588575750186774E-2</v>
      </c>
      <c r="L31" s="5">
        <f t="shared" si="4"/>
        <v>2.4902566956800471E-3</v>
      </c>
      <c r="M31" s="7">
        <f t="shared" si="5"/>
        <v>91865.411764705888</v>
      </c>
      <c r="N31" s="5">
        <v>0</v>
      </c>
      <c r="O31" s="5">
        <v>0</v>
      </c>
      <c r="P31" s="7">
        <v>3664</v>
      </c>
      <c r="Q31" s="5">
        <f t="shared" si="6"/>
        <v>4.8028938104167293E-3</v>
      </c>
      <c r="R31" s="5">
        <f t="shared" si="7"/>
        <v>7.3073647050334966E-4</v>
      </c>
      <c r="S31" s="7">
        <f t="shared" si="8"/>
        <v>12971</v>
      </c>
      <c r="T31" s="5">
        <v>1.6129381929883498E-2</v>
      </c>
      <c r="U31" s="5">
        <v>1.626016260162599E-2</v>
      </c>
      <c r="V31" s="7">
        <v>118843</v>
      </c>
      <c r="W31" s="5">
        <f t="shared" si="9"/>
        <v>2.0737707743613984E-2</v>
      </c>
      <c r="X31" s="5">
        <f t="shared" si="10"/>
        <v>1.5093968694457288E-3</v>
      </c>
      <c r="Y31" s="7">
        <f t="shared" si="11"/>
        <v>68154.76470588235</v>
      </c>
      <c r="Z31" s="5">
        <v>2.3256862164267183E-2</v>
      </c>
      <c r="AA31" s="5">
        <v>2.3529411764705903E-2</v>
      </c>
      <c r="AB31" s="7">
        <v>23340</v>
      </c>
      <c r="AC31" s="5">
        <f t="shared" si="12"/>
        <v>2.6874794449212314E-2</v>
      </c>
      <c r="AD31" s="5">
        <f t="shared" si="13"/>
        <v>7.5657281071819646E-3</v>
      </c>
      <c r="AE31" s="7">
        <f t="shared" si="14"/>
        <v>168270.29411764705</v>
      </c>
    </row>
    <row r="32" spans="1:31" x14ac:dyDescent="0.2">
      <c r="A32" s="13">
        <v>42139</v>
      </c>
      <c r="B32" s="5">
        <v>-2.3256862164267235E-2</v>
      </c>
      <c r="C32" s="5">
        <v>-2.2988505747126457E-2</v>
      </c>
      <c r="D32" s="39">
        <v>3308</v>
      </c>
      <c r="E32" s="5">
        <f t="shared" si="0"/>
        <v>3.4290939414296E-2</v>
      </c>
      <c r="F32" s="5">
        <f t="shared" si="1"/>
        <v>3.3215653922218399E-3</v>
      </c>
      <c r="G32" s="7">
        <f t="shared" si="2"/>
        <v>8641.2941176470595</v>
      </c>
      <c r="H32" s="5">
        <v>5.1679701584423773E-3</v>
      </c>
      <c r="I32" s="5">
        <v>5.1813471502589565E-3</v>
      </c>
      <c r="J32" s="7">
        <v>250851</v>
      </c>
      <c r="K32" s="5">
        <f t="shared" si="3"/>
        <v>1.5461898829422609E-2</v>
      </c>
      <c r="L32" s="5">
        <f t="shared" si="4"/>
        <v>2.1617377769847933E-3</v>
      </c>
      <c r="M32" s="7">
        <f t="shared" si="5"/>
        <v>100234.29411764706</v>
      </c>
      <c r="N32" s="5">
        <v>0</v>
      </c>
      <c r="O32" s="5">
        <v>0</v>
      </c>
      <c r="P32" s="7">
        <v>22957</v>
      </c>
      <c r="Q32" s="5">
        <f t="shared" si="6"/>
        <v>4.8028938104167293E-3</v>
      </c>
      <c r="R32" s="5">
        <f t="shared" si="7"/>
        <v>7.3073647050334966E-4</v>
      </c>
      <c r="S32" s="7">
        <f t="shared" si="8"/>
        <v>14156.411764705883</v>
      </c>
      <c r="T32" s="5">
        <v>-4.0821994520255048E-2</v>
      </c>
      <c r="U32" s="5">
        <v>-3.9999999999999938E-2</v>
      </c>
      <c r="V32" s="7">
        <v>90926</v>
      </c>
      <c r="W32" s="5">
        <f t="shared" si="9"/>
        <v>2.2602111568347433E-2</v>
      </c>
      <c r="X32" s="5">
        <f t="shared" si="10"/>
        <v>3.0032964915883157E-4</v>
      </c>
      <c r="Y32" s="7">
        <f t="shared" si="11"/>
        <v>67742</v>
      </c>
      <c r="Z32" s="5">
        <v>-1.7391742711869222E-2</v>
      </c>
      <c r="AA32" s="5">
        <v>-1.7241379310344845E-2</v>
      </c>
      <c r="AB32" s="7">
        <v>20676</v>
      </c>
      <c r="AC32" s="5">
        <f t="shared" si="12"/>
        <v>2.7354822396066791E-2</v>
      </c>
      <c r="AD32" s="5">
        <f t="shared" si="13"/>
        <v>6.9284138621401887E-3</v>
      </c>
      <c r="AE32" s="7">
        <f t="shared" si="14"/>
        <v>156516.88235294117</v>
      </c>
    </row>
    <row r="33" spans="1:31" x14ac:dyDescent="0.2">
      <c r="A33" s="13">
        <v>42142</v>
      </c>
      <c r="B33" s="5">
        <v>0</v>
      </c>
      <c r="C33" s="5">
        <v>0</v>
      </c>
      <c r="D33" s="39">
        <v>2805</v>
      </c>
      <c r="E33" s="5">
        <f t="shared" si="0"/>
        <v>3.3516235651920953E-2</v>
      </c>
      <c r="F33" s="5">
        <f t="shared" si="1"/>
        <v>4.8045900596627835E-3</v>
      </c>
      <c r="G33" s="7">
        <f t="shared" si="2"/>
        <v>8307.1176470588234</v>
      </c>
      <c r="H33" s="5">
        <v>6.678678819305315E-3</v>
      </c>
      <c r="I33" s="5">
        <v>6.7010309278351839E-3</v>
      </c>
      <c r="J33" s="7">
        <v>86792</v>
      </c>
      <c r="K33" s="5">
        <f t="shared" si="3"/>
        <v>1.5446346089078151E-2</v>
      </c>
      <c r="L33" s="5">
        <f t="shared" si="4"/>
        <v>2.1158515141394513E-3</v>
      </c>
      <c r="M33" s="7">
        <f t="shared" si="5"/>
        <v>100681</v>
      </c>
      <c r="N33" s="5">
        <v>7.3801072976226803E-3</v>
      </c>
      <c r="O33" s="5">
        <v>7.4074074074074693E-3</v>
      </c>
      <c r="P33" s="7">
        <v>6199</v>
      </c>
      <c r="Q33" s="5">
        <f t="shared" si="6"/>
        <v>4.8171537542541177E-3</v>
      </c>
      <c r="R33" s="5">
        <f t="shared" si="7"/>
        <v>1.4597158305719947E-3</v>
      </c>
      <c r="S33" s="7">
        <f t="shared" si="8"/>
        <v>12508.588235294117</v>
      </c>
      <c r="T33" s="5">
        <v>-3.055466832197266E-2</v>
      </c>
      <c r="U33" s="5">
        <v>-3.0092592592592688E-2</v>
      </c>
      <c r="V33" s="7">
        <v>68295</v>
      </c>
      <c r="W33" s="5">
        <f t="shared" si="9"/>
        <v>2.3152304421342942E-2</v>
      </c>
      <c r="X33" s="5">
        <f t="shared" si="10"/>
        <v>-1.4022302089862065E-4</v>
      </c>
      <c r="Y33" s="7">
        <f t="shared" si="11"/>
        <v>63046.882352941175</v>
      </c>
      <c r="Z33" s="5">
        <v>2.3122417420854212E-2</v>
      </c>
      <c r="AA33" s="5">
        <v>2.3391812865497099E-2</v>
      </c>
      <c r="AB33" s="7">
        <v>17408</v>
      </c>
      <c r="AC33" s="5">
        <f t="shared" si="12"/>
        <v>2.709941256605598E-2</v>
      </c>
      <c r="AD33" s="5">
        <f t="shared" si="13"/>
        <v>9.067687048662244E-3</v>
      </c>
      <c r="AE33" s="7">
        <f t="shared" si="14"/>
        <v>153509.35294117648</v>
      </c>
    </row>
    <row r="34" spans="1:31" x14ac:dyDescent="0.2">
      <c r="A34" s="13">
        <v>42143</v>
      </c>
      <c r="B34" s="5">
        <v>5.8651194523980576E-3</v>
      </c>
      <c r="C34" s="5">
        <v>5.8823529411765199E-3</v>
      </c>
      <c r="D34" s="39">
        <v>8509</v>
      </c>
      <c r="E34" s="5">
        <f t="shared" si="0"/>
        <v>3.3509823950473354E-2</v>
      </c>
      <c r="F34" s="5">
        <f t="shared" si="1"/>
        <v>5.024573597314814E-3</v>
      </c>
      <c r="G34" s="7">
        <f t="shared" si="2"/>
        <v>8479.6470588235297</v>
      </c>
      <c r="H34" s="5">
        <v>5.4309733700226362E-2</v>
      </c>
      <c r="I34" s="5">
        <v>5.5811571940604189E-2</v>
      </c>
      <c r="J34" s="7">
        <v>164350</v>
      </c>
      <c r="K34" s="5">
        <f t="shared" si="3"/>
        <v>1.9958914913283925E-2</v>
      </c>
      <c r="L34" s="5">
        <f t="shared" si="4"/>
        <v>5.2481294931472173E-3</v>
      </c>
      <c r="M34" s="7">
        <f t="shared" si="5"/>
        <v>108763.4705882353</v>
      </c>
      <c r="N34" s="5">
        <v>0</v>
      </c>
      <c r="O34" s="5">
        <v>0</v>
      </c>
      <c r="P34" s="7">
        <v>10810</v>
      </c>
      <c r="Q34" s="5">
        <f t="shared" si="6"/>
        <v>4.8171537542541177E-3</v>
      </c>
      <c r="R34" s="5">
        <f t="shared" si="7"/>
        <v>1.4597158305719947E-3</v>
      </c>
      <c r="S34" s="7">
        <f t="shared" si="8"/>
        <v>12249.823529411764</v>
      </c>
      <c r="T34" s="5">
        <v>1.3276629347018089E-2</v>
      </c>
      <c r="U34" s="5">
        <v>1.3365155131264971E-2</v>
      </c>
      <c r="V34" s="7">
        <v>67643</v>
      </c>
      <c r="W34" s="5">
        <f t="shared" si="9"/>
        <v>2.3376203384855101E-2</v>
      </c>
      <c r="X34" s="5">
        <f t="shared" si="10"/>
        <v>5.0086562275141974E-4</v>
      </c>
      <c r="Y34" s="7">
        <f t="shared" si="11"/>
        <v>64659.411764705881</v>
      </c>
      <c r="Z34" s="5">
        <v>1.6997576368571077E-2</v>
      </c>
      <c r="AA34" s="5">
        <v>1.7142857142857158E-2</v>
      </c>
      <c r="AB34" s="7">
        <v>50922</v>
      </c>
      <c r="AC34" s="5">
        <f t="shared" si="12"/>
        <v>2.7057480049350331E-2</v>
      </c>
      <c r="AD34" s="5">
        <f t="shared" si="13"/>
        <v>1.0067544482107602E-2</v>
      </c>
      <c r="AE34" s="7">
        <f t="shared" si="14"/>
        <v>149973.41176470587</v>
      </c>
    </row>
    <row r="35" spans="1:31" x14ac:dyDescent="0.2">
      <c r="A35" s="13">
        <v>42144</v>
      </c>
      <c r="B35" s="5">
        <v>5.8309203107931437E-3</v>
      </c>
      <c r="C35" s="5">
        <v>5.8479532163743173E-3</v>
      </c>
      <c r="D35" s="39">
        <v>5256</v>
      </c>
      <c r="E35" s="5">
        <f t="shared" si="0"/>
        <v>2.9094962962521204E-2</v>
      </c>
      <c r="F35" s="5">
        <f t="shared" si="1"/>
        <v>1.2675491886001723E-3</v>
      </c>
      <c r="G35" s="7">
        <f t="shared" si="2"/>
        <v>8404.2352941176468</v>
      </c>
      <c r="H35" s="5">
        <v>2.4218951048630304E-3</v>
      </c>
      <c r="I35" s="5">
        <v>2.4248302618817027E-3</v>
      </c>
      <c r="J35" s="7">
        <v>69885</v>
      </c>
      <c r="K35" s="5">
        <f t="shared" si="3"/>
        <v>1.9911345359944609E-2</v>
      </c>
      <c r="L35" s="5">
        <f t="shared" si="4"/>
        <v>4.7392325930205592E-3</v>
      </c>
      <c r="M35" s="7">
        <f t="shared" si="5"/>
        <v>108678.76470588235</v>
      </c>
      <c r="N35" s="5">
        <v>0</v>
      </c>
      <c r="O35" s="5">
        <v>0</v>
      </c>
      <c r="P35" s="7">
        <v>10244</v>
      </c>
      <c r="Q35" s="5">
        <f t="shared" si="6"/>
        <v>4.5654559443406286E-3</v>
      </c>
      <c r="R35" s="5">
        <f t="shared" si="7"/>
        <v>1.0179851233877977E-3</v>
      </c>
      <c r="S35" s="7">
        <f t="shared" si="8"/>
        <v>12544.470588235294</v>
      </c>
      <c r="T35" s="5">
        <v>-8.9898878456556291E-3</v>
      </c>
      <c r="U35" s="5">
        <v>-8.9495996231748129E-3</v>
      </c>
      <c r="V35" s="7">
        <v>34316</v>
      </c>
      <c r="W35" s="5">
        <f t="shared" si="9"/>
        <v>1.5935463354412829E-2</v>
      </c>
      <c r="X35" s="5">
        <f t="shared" si="10"/>
        <v>-3.9726039440665835E-3</v>
      </c>
      <c r="Y35" s="7">
        <f t="shared" si="11"/>
        <v>63397.647058823532</v>
      </c>
      <c r="Z35" s="5">
        <v>-5.6338177182560199E-3</v>
      </c>
      <c r="AA35" s="5">
        <v>-5.6179775280898927E-3</v>
      </c>
      <c r="AB35" s="7">
        <v>7487</v>
      </c>
      <c r="AC35" s="5">
        <f t="shared" si="12"/>
        <v>2.7222492878041099E-2</v>
      </c>
      <c r="AD35" s="5">
        <f t="shared" si="13"/>
        <v>9.736143439857247E-3</v>
      </c>
      <c r="AE35" s="7">
        <f t="shared" si="14"/>
        <v>146258.76470588235</v>
      </c>
    </row>
    <row r="36" spans="1:31" x14ac:dyDescent="0.2">
      <c r="A36" s="13">
        <v>42145</v>
      </c>
      <c r="B36" s="5">
        <v>-1.562531790308087E-2</v>
      </c>
      <c r="C36" s="5">
        <v>-1.5503875968992262E-2</v>
      </c>
      <c r="D36" s="7">
        <v>11109</v>
      </c>
      <c r="E36" s="5">
        <f t="shared" si="0"/>
        <v>2.9382892978586907E-2</v>
      </c>
      <c r="F36" s="5">
        <f t="shared" si="1"/>
        <v>3.4841284136012121E-4</v>
      </c>
      <c r="G36" s="7">
        <f t="shared" si="2"/>
        <v>8660.7058823529405</v>
      </c>
      <c r="H36" s="5">
        <v>3.862872983030393E-3</v>
      </c>
      <c r="I36" s="5">
        <v>3.8703434929849194E-3</v>
      </c>
      <c r="J36" s="7">
        <v>26897</v>
      </c>
      <c r="K36" s="5">
        <f t="shared" si="3"/>
        <v>1.9558726522019298E-2</v>
      </c>
      <c r="L36" s="5">
        <f t="shared" si="4"/>
        <v>3.8360851555537911E-3</v>
      </c>
      <c r="M36" s="7">
        <f t="shared" si="5"/>
        <v>105453.70588235294</v>
      </c>
      <c r="N36" s="5">
        <v>9.7561749453646558E-3</v>
      </c>
      <c r="O36" s="5">
        <v>9.8039215686274595E-3</v>
      </c>
      <c r="P36" s="7">
        <v>9246</v>
      </c>
      <c r="Q36" s="5">
        <f t="shared" si="6"/>
        <v>4.9286425703213219E-3</v>
      </c>
      <c r="R36" s="5">
        <f t="shared" si="7"/>
        <v>1.7387530730320218E-3</v>
      </c>
      <c r="S36" s="7">
        <f t="shared" si="8"/>
        <v>12902.058823529413</v>
      </c>
      <c r="T36" s="5">
        <v>-1.4268730125999495E-3</v>
      </c>
      <c r="U36" s="5">
        <v>-1.4258555133078701E-3</v>
      </c>
      <c r="V36" s="7">
        <v>161771</v>
      </c>
      <c r="W36" s="5">
        <f t="shared" si="9"/>
        <v>1.5423887336800812E-2</v>
      </c>
      <c r="X36" s="5">
        <f t="shared" si="10"/>
        <v>-4.7579084213015916E-3</v>
      </c>
      <c r="Y36" s="7">
        <f t="shared" si="11"/>
        <v>69850.588235294112</v>
      </c>
      <c r="Z36" s="5">
        <v>1.123607326692597E-2</v>
      </c>
      <c r="AA36" s="5">
        <v>1.1299435028248598E-2</v>
      </c>
      <c r="AB36" s="7">
        <v>14105</v>
      </c>
      <c r="AC36" s="5">
        <f t="shared" si="12"/>
        <v>2.7210664920809841E-2</v>
      </c>
      <c r="AD36" s="5">
        <f t="shared" si="13"/>
        <v>9.6179579408516708E-3</v>
      </c>
      <c r="AE36" s="7">
        <f t="shared" si="14"/>
        <v>145259.70588235295</v>
      </c>
    </row>
    <row r="37" spans="1:31" x14ac:dyDescent="0.2">
      <c r="A37" s="13">
        <v>42146</v>
      </c>
      <c r="B37" s="5">
        <v>-1.387534649361718E-2</v>
      </c>
      <c r="C37" s="5">
        <v>-1.3779527559055173E-2</v>
      </c>
      <c r="D37" s="7">
        <v>3914</v>
      </c>
      <c r="E37" s="5">
        <f t="shared" si="0"/>
        <v>2.780617304184136E-2</v>
      </c>
      <c r="F37" s="5">
        <f t="shared" si="1"/>
        <v>-2.7524800886328869E-3</v>
      </c>
      <c r="G37" s="7">
        <f t="shared" si="2"/>
        <v>6718.9411764705883</v>
      </c>
      <c r="H37" s="5">
        <v>-4.3467829852147947E-3</v>
      </c>
      <c r="I37" s="5">
        <v>-4.3373493975903546E-3</v>
      </c>
      <c r="J37" s="7">
        <v>17217</v>
      </c>
      <c r="K37" s="5">
        <f t="shared" si="3"/>
        <v>1.965381204382469E-2</v>
      </c>
      <c r="L37" s="5">
        <f t="shared" si="4"/>
        <v>3.4896849592579095E-3</v>
      </c>
      <c r="M37" s="7">
        <f t="shared" si="5"/>
        <v>100681.17647058824</v>
      </c>
      <c r="N37" s="5">
        <v>0</v>
      </c>
      <c r="O37" s="5">
        <v>0</v>
      </c>
      <c r="P37" s="7">
        <v>3387</v>
      </c>
      <c r="Q37" s="5">
        <f t="shared" si="6"/>
        <v>4.8712783773049474E-3</v>
      </c>
      <c r="R37" s="5">
        <f t="shared" si="7"/>
        <v>1.4453682782650237E-3</v>
      </c>
      <c r="S37" s="7">
        <f t="shared" si="8"/>
        <v>12525.588235294117</v>
      </c>
      <c r="T37" s="5">
        <v>3.6452634099619255E-2</v>
      </c>
      <c r="U37" s="5">
        <v>3.7125178486434915E-2</v>
      </c>
      <c r="V37" s="7">
        <v>32374</v>
      </c>
      <c r="W37" s="5">
        <f t="shared" si="9"/>
        <v>1.8350899687907273E-2</v>
      </c>
      <c r="X37" s="5">
        <f t="shared" si="10"/>
        <v>-2.1990189253791805E-3</v>
      </c>
      <c r="Y37" s="7">
        <f t="shared" si="11"/>
        <v>68209.352941176476</v>
      </c>
      <c r="Z37" s="5">
        <v>-5.6022555486698981E-3</v>
      </c>
      <c r="AA37" s="5">
        <v>-5.5865921787709542E-3</v>
      </c>
      <c r="AB37" s="7">
        <v>6196</v>
      </c>
      <c r="AC37" s="5">
        <f t="shared" si="12"/>
        <v>2.7454866337239529E-2</v>
      </c>
      <c r="AD37" s="5">
        <f t="shared" si="13"/>
        <v>8.9026840529205595E-3</v>
      </c>
      <c r="AE37" s="7">
        <f t="shared" si="14"/>
        <v>142738.58823529413</v>
      </c>
    </row>
    <row r="38" spans="1:31" x14ac:dyDescent="0.2">
      <c r="A38" s="13">
        <v>42149</v>
      </c>
      <c r="B38" s="5">
        <v>0</v>
      </c>
      <c r="C38" s="5">
        <v>0</v>
      </c>
      <c r="D38" s="7">
        <v>5369</v>
      </c>
      <c r="E38" s="5">
        <f t="shared" si="0"/>
        <v>2.6973137115650532E-2</v>
      </c>
      <c r="F38" s="5">
        <f t="shared" si="1"/>
        <v>-1.0473308607945096E-3</v>
      </c>
      <c r="G38" s="7">
        <f t="shared" si="2"/>
        <v>6754.9411764705883</v>
      </c>
      <c r="H38" s="5">
        <v>-1.4627272009170552E-2</v>
      </c>
      <c r="I38" s="5">
        <v>-1.4520813165537305E-2</v>
      </c>
      <c r="J38" s="7">
        <v>30555</v>
      </c>
      <c r="K38" s="5">
        <f t="shared" si="3"/>
        <v>2.0124357629131753E-2</v>
      </c>
      <c r="L38" s="5">
        <f t="shared" si="4"/>
        <v>2.2978561517622269E-3</v>
      </c>
      <c r="M38" s="7">
        <f t="shared" si="5"/>
        <v>96498.23529411765</v>
      </c>
      <c r="N38" s="5">
        <v>-4.8661896511730113E-3</v>
      </c>
      <c r="O38" s="5">
        <v>-4.8543689320389473E-3</v>
      </c>
      <c r="P38" s="7">
        <v>2210</v>
      </c>
      <c r="Q38" s="5">
        <f t="shared" si="6"/>
        <v>5.0229543965290644E-3</v>
      </c>
      <c r="R38" s="5">
        <f t="shared" si="7"/>
        <v>1.3056313171637764E-3</v>
      </c>
      <c r="S38" s="7">
        <f t="shared" si="8"/>
        <v>12425.294117647059</v>
      </c>
      <c r="T38" s="5">
        <v>-4.6498162249256104E-2</v>
      </c>
      <c r="U38" s="5">
        <v>-4.5433685176686486E-2</v>
      </c>
      <c r="V38" s="7">
        <v>21134</v>
      </c>
      <c r="W38" s="5">
        <f t="shared" si="9"/>
        <v>2.127354499455314E-2</v>
      </c>
      <c r="X38" s="5">
        <f t="shared" si="10"/>
        <v>-4.6213130884177724E-3</v>
      </c>
      <c r="Y38" s="7">
        <f t="shared" si="11"/>
        <v>63698.176470588238</v>
      </c>
      <c r="Z38" s="5">
        <v>-1.1299555253933394E-2</v>
      </c>
      <c r="AA38" s="5">
        <v>-1.1235955056179785E-2</v>
      </c>
      <c r="AB38" s="7">
        <v>2760</v>
      </c>
      <c r="AC38" s="5">
        <f t="shared" si="12"/>
        <v>2.717603478938178E-2</v>
      </c>
      <c r="AD38" s="5">
        <f t="shared" si="13"/>
        <v>6.346409530069686E-3</v>
      </c>
      <c r="AE38" s="7">
        <f>AVERAGE(AB22:AB38)</f>
        <v>139845.23529411765</v>
      </c>
    </row>
    <row r="39" spans="1:31" x14ac:dyDescent="0.2">
      <c r="A39" s="13">
        <v>42150</v>
      </c>
      <c r="B39" s="5">
        <v>3.9840690148745129E-3</v>
      </c>
      <c r="C39" s="5">
        <v>3.9920159680639647E-3</v>
      </c>
      <c r="D39" s="7">
        <v>5124</v>
      </c>
      <c r="E39" s="5">
        <f t="shared" si="0"/>
        <v>2.6864755518454974E-2</v>
      </c>
      <c r="F39" s="5">
        <f t="shared" si="1"/>
        <v>-1.3868665037645314E-3</v>
      </c>
      <c r="G39" s="7">
        <f t="shared" si="2"/>
        <v>6146.588235294118</v>
      </c>
      <c r="H39" s="5">
        <v>1.1718884113213479E-2</v>
      </c>
      <c r="I39" s="5">
        <v>1.1787819253438213E-2</v>
      </c>
      <c r="J39" s="7">
        <v>14053</v>
      </c>
      <c r="K39" s="5">
        <f t="shared" si="3"/>
        <v>1.9333947923013985E-2</v>
      </c>
      <c r="L39" s="5">
        <f t="shared" si="4"/>
        <v>4.2013533141319632E-3</v>
      </c>
      <c r="M39" s="7">
        <f t="shared" si="5"/>
        <v>91820.058823529413</v>
      </c>
      <c r="N39" s="5">
        <v>7.290433262679274E-3</v>
      </c>
      <c r="O39" s="5">
        <v>7.3170731707317685E-3</v>
      </c>
      <c r="P39" s="7">
        <v>15218</v>
      </c>
      <c r="Q39" s="5">
        <f t="shared" si="6"/>
        <v>5.1582361552804743E-3</v>
      </c>
      <c r="R39" s="5">
        <f t="shared" si="7"/>
        <v>1.4418253537852675E-3</v>
      </c>
      <c r="S39" s="7">
        <f t="shared" si="8"/>
        <v>7541.3529411764703</v>
      </c>
      <c r="T39" s="5">
        <v>2.843793532053341E-2</v>
      </c>
      <c r="U39" s="5">
        <v>2.8846153846153744E-2</v>
      </c>
      <c r="V39" s="7">
        <v>37832</v>
      </c>
      <c r="W39" s="5">
        <f t="shared" si="9"/>
        <v>2.272801863577889E-2</v>
      </c>
      <c r="X39" s="5">
        <f t="shared" si="10"/>
        <v>-2.9484933636805132E-3</v>
      </c>
      <c r="Y39" s="7">
        <f t="shared" si="11"/>
        <v>60758.529411764706</v>
      </c>
      <c r="Z39" s="5">
        <v>5.6657375356772999E-3</v>
      </c>
      <c r="AA39" s="5">
        <v>5.6818181818181872E-3</v>
      </c>
      <c r="AB39" s="7">
        <v>11410</v>
      </c>
      <c r="AC39" s="5">
        <f t="shared" si="12"/>
        <v>2.6414201200710113E-2</v>
      </c>
      <c r="AD39" s="5">
        <f>AVERAGE(Z23:Z39)</f>
        <v>4.8470312804156741E-3</v>
      </c>
      <c r="AE39" s="7">
        <f t="shared" si="14"/>
        <v>97779.823529411762</v>
      </c>
    </row>
    <row r="40" spans="1:31" x14ac:dyDescent="0.2">
      <c r="A40" s="13">
        <v>42151</v>
      </c>
      <c r="B40" s="5">
        <v>-5.98207167754754E-3</v>
      </c>
      <c r="C40" s="5">
        <v>-5.9642147117296715E-3</v>
      </c>
      <c r="D40" s="7">
        <v>4709</v>
      </c>
      <c r="E40" s="5">
        <f>STDEV(B24:B40)</f>
        <v>2.6730233028791919E-2</v>
      </c>
      <c r="F40" s="5">
        <f t="shared" si="1"/>
        <v>-2.3071007737224388E-3</v>
      </c>
      <c r="G40" s="7">
        <f t="shared" si="2"/>
        <v>5241.1764705882351</v>
      </c>
      <c r="H40" s="5">
        <v>7.7369825021524011E-3</v>
      </c>
      <c r="I40" s="5">
        <v>7.7669902912621425E-3</v>
      </c>
      <c r="J40" s="7">
        <v>49992</v>
      </c>
      <c r="K40" s="5">
        <f t="shared" si="3"/>
        <v>1.9099018665012325E-2</v>
      </c>
      <c r="L40" s="5">
        <f t="shared" si="4"/>
        <v>3.6831525134109902E-3</v>
      </c>
      <c r="M40" s="7">
        <f t="shared" si="5"/>
        <v>93333.117647058825</v>
      </c>
      <c r="N40" s="5">
        <v>2.4183808642816527E-3</v>
      </c>
      <c r="O40" s="5">
        <v>2.4213075060532173E-3</v>
      </c>
      <c r="P40" s="7">
        <v>6717</v>
      </c>
      <c r="Q40" s="5">
        <f t="shared" si="6"/>
        <v>4.8879900983277731E-3</v>
      </c>
      <c r="R40" s="5">
        <f t="shared" si="7"/>
        <v>1.8767380305144206E-3</v>
      </c>
      <c r="S40" s="7">
        <f t="shared" si="8"/>
        <v>7246.4705882352937</v>
      </c>
      <c r="T40" s="5">
        <v>-2.1252275659658978E-2</v>
      </c>
      <c r="U40" s="5">
        <v>-2.1028037383177538E-2</v>
      </c>
      <c r="V40" s="7">
        <v>37673</v>
      </c>
      <c r="W40" s="5">
        <f t="shared" si="9"/>
        <v>2.2834598869637041E-2</v>
      </c>
      <c r="X40" s="5">
        <f t="shared" si="10"/>
        <v>-4.8486175899301537E-3</v>
      </c>
      <c r="Y40" s="7">
        <f t="shared" si="11"/>
        <v>61221.411764705881</v>
      </c>
      <c r="Z40" s="5">
        <v>0</v>
      </c>
      <c r="AA40" s="5">
        <v>0</v>
      </c>
      <c r="AB40" s="7">
        <v>5090</v>
      </c>
      <c r="AC40" s="5">
        <f>STDEV(Z24:Z40)</f>
        <v>2.016971162058297E-2</v>
      </c>
      <c r="AD40" s="5">
        <f t="shared" si="13"/>
        <v>6.684563911949845E-4</v>
      </c>
      <c r="AE40" s="7">
        <f t="shared" si="14"/>
        <v>91455.411764705888</v>
      </c>
    </row>
    <row r="41" spans="1:31" x14ac:dyDescent="0.2">
      <c r="A41" s="13">
        <v>42152</v>
      </c>
      <c r="B41" s="5">
        <v>-1.4098924379501648E-2</v>
      </c>
      <c r="C41" s="5">
        <v>-1.4000000000000058E-2</v>
      </c>
      <c r="D41" s="7">
        <v>1812</v>
      </c>
      <c r="E41" s="5">
        <f t="shared" si="0"/>
        <v>2.3261389669650565E-2</v>
      </c>
      <c r="F41" s="5">
        <f t="shared" si="1"/>
        <v>1.194386794342261E-4</v>
      </c>
      <c r="G41" s="7">
        <f t="shared" si="2"/>
        <v>5046.8235294117649</v>
      </c>
      <c r="H41" s="5">
        <v>-1.9947146409083908E-2</v>
      </c>
      <c r="I41" s="5">
        <v>-1.9749518304431606E-2</v>
      </c>
      <c r="J41" s="7">
        <v>38643</v>
      </c>
      <c r="K41" s="5">
        <f t="shared" si="3"/>
        <v>1.9893869108417762E-2</v>
      </c>
      <c r="L41" s="5">
        <f t="shared" si="4"/>
        <v>2.691065462135937E-3</v>
      </c>
      <c r="M41" s="7">
        <f t="shared" si="5"/>
        <v>92384.294117647063</v>
      </c>
      <c r="N41" s="5">
        <v>0</v>
      </c>
      <c r="O41" s="5">
        <v>0</v>
      </c>
      <c r="P41" s="7">
        <v>7800</v>
      </c>
      <c r="Q41" s="5">
        <f t="shared" si="6"/>
        <v>4.589669359603062E-3</v>
      </c>
      <c r="R41" s="5">
        <f t="shared" si="7"/>
        <v>2.1708562903206348E-3</v>
      </c>
      <c r="S41" s="7">
        <f t="shared" si="8"/>
        <v>7406.9411764705883</v>
      </c>
      <c r="T41" s="5">
        <v>-1.2004946096823375E-2</v>
      </c>
      <c r="U41" s="5">
        <v>-1.1933174224343675E-2</v>
      </c>
      <c r="V41" s="7">
        <v>37505</v>
      </c>
      <c r="W41" s="5">
        <f t="shared" si="9"/>
        <v>2.2748151162816577E-2</v>
      </c>
      <c r="X41" s="5">
        <f t="shared" si="10"/>
        <v>-4.6427799170394518E-3</v>
      </c>
      <c r="Y41" s="7">
        <f t="shared" si="11"/>
        <v>61987.176470588238</v>
      </c>
      <c r="Z41" s="5">
        <v>-1.7094433359300183E-2</v>
      </c>
      <c r="AA41" s="5">
        <v>-1.6949152542372895E-2</v>
      </c>
      <c r="AB41" s="7">
        <v>42891</v>
      </c>
      <c r="AC41" s="5">
        <f t="shared" si="12"/>
        <v>1.8610757975667368E-2</v>
      </c>
      <c r="AD41" s="5">
        <f t="shared" si="13"/>
        <v>1.715093193615012E-3</v>
      </c>
      <c r="AE41" s="7">
        <f t="shared" si="14"/>
        <v>88430.117647058825</v>
      </c>
    </row>
    <row r="42" spans="1:31" x14ac:dyDescent="0.2">
      <c r="A42" s="13">
        <v>42153</v>
      </c>
      <c r="B42" s="5">
        <v>-6.1037829380176873E-3</v>
      </c>
      <c r="C42" s="5">
        <v>-6.0851926977686334E-3</v>
      </c>
      <c r="D42" s="7">
        <v>5260</v>
      </c>
      <c r="E42" s="5">
        <f t="shared" si="0"/>
        <v>2.2715178569414071E-2</v>
      </c>
      <c r="F42" s="5">
        <f t="shared" si="1"/>
        <v>-1.4232193286504041E-3</v>
      </c>
      <c r="G42" s="7">
        <f t="shared" si="2"/>
        <v>5154.1764705882351</v>
      </c>
      <c r="H42" s="5">
        <v>-1.3854749080357314E-2</v>
      </c>
      <c r="I42" s="5">
        <v>-1.3759213759213814E-2</v>
      </c>
      <c r="J42" s="7">
        <v>106023</v>
      </c>
      <c r="K42" s="5">
        <f t="shared" si="3"/>
        <v>1.8832732664580694E-2</v>
      </c>
      <c r="L42" s="5">
        <f t="shared" si="4"/>
        <v>3.5020753022282709E-3</v>
      </c>
      <c r="M42" s="7">
        <f t="shared" si="5"/>
        <v>93370.647058823524</v>
      </c>
      <c r="N42" s="5">
        <v>2.4125464053841475E-3</v>
      </c>
      <c r="O42" s="5">
        <v>2.415458937198231E-3</v>
      </c>
      <c r="P42" s="7">
        <v>4420</v>
      </c>
      <c r="Q42" s="5">
        <f t="shared" si="6"/>
        <v>4.1293782833307941E-3</v>
      </c>
      <c r="R42" s="5">
        <f t="shared" si="7"/>
        <v>1.7259975461185538E-3</v>
      </c>
      <c r="S42" s="7">
        <f t="shared" si="8"/>
        <v>7411.1764705882351</v>
      </c>
      <c r="T42" s="5">
        <v>1.2959144642505116E-2</v>
      </c>
      <c r="U42" s="5">
        <v>1.3043478260869545E-2</v>
      </c>
      <c r="V42" s="7">
        <v>110658</v>
      </c>
      <c r="W42" s="5">
        <f t="shared" si="9"/>
        <v>2.2813745116699535E-2</v>
      </c>
      <c r="X42" s="5">
        <f t="shared" si="10"/>
        <v>-4.5593182756489261E-3</v>
      </c>
      <c r="Y42" s="7">
        <f t="shared" si="11"/>
        <v>66591.823529411762</v>
      </c>
      <c r="Z42" s="5">
        <v>-4.7067510857985856E-2</v>
      </c>
      <c r="AA42" s="5">
        <v>-4.5977011494252915E-2</v>
      </c>
      <c r="AB42" s="7">
        <v>130550</v>
      </c>
      <c r="AC42" s="5">
        <f t="shared" si="12"/>
        <v>1.7371906033742147E-2</v>
      </c>
      <c r="AD42" s="5">
        <f t="shared" si="13"/>
        <v>-4.1056330550319027E-3</v>
      </c>
      <c r="AE42" s="7">
        <f t="shared" si="14"/>
        <v>32767.235294117647</v>
      </c>
    </row>
    <row r="43" spans="1:31" x14ac:dyDescent="0.2">
      <c r="A43" s="54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</row>
    <row r="44" spans="1:31" x14ac:dyDescent="0.2">
      <c r="A44" s="199" t="s">
        <v>39</v>
      </c>
      <c r="B44" s="209" t="s">
        <v>13</v>
      </c>
      <c r="C44" s="210"/>
      <c r="D44" s="210"/>
      <c r="E44" s="210"/>
      <c r="F44" s="210"/>
      <c r="G44" s="211"/>
      <c r="H44" s="209" t="s">
        <v>20</v>
      </c>
      <c r="I44" s="210"/>
      <c r="J44" s="210"/>
      <c r="K44" s="210"/>
      <c r="L44" s="210"/>
      <c r="M44" s="211"/>
      <c r="N44" s="209" t="s">
        <v>11</v>
      </c>
      <c r="O44" s="210"/>
      <c r="P44" s="210"/>
      <c r="Q44" s="210"/>
      <c r="R44" s="210"/>
      <c r="S44" s="211"/>
      <c r="T44" s="209" t="s">
        <v>42</v>
      </c>
      <c r="U44" s="210"/>
      <c r="V44" s="210"/>
      <c r="W44" s="210"/>
      <c r="X44" s="210"/>
      <c r="Y44" s="211"/>
      <c r="Z44" s="209" t="s">
        <v>56</v>
      </c>
      <c r="AA44" s="210"/>
      <c r="AB44" s="210"/>
      <c r="AC44" s="210"/>
      <c r="AD44" s="210"/>
      <c r="AE44" s="211"/>
    </row>
    <row r="45" spans="1:31" ht="30" customHeight="1" x14ac:dyDescent="0.2">
      <c r="A45" s="200"/>
      <c r="B45" s="34" t="s">
        <v>41</v>
      </c>
      <c r="C45" s="34" t="s">
        <v>96</v>
      </c>
      <c r="D45" s="34" t="s">
        <v>98</v>
      </c>
      <c r="E45" s="34" t="s">
        <v>95</v>
      </c>
      <c r="F45" s="34" t="s">
        <v>94</v>
      </c>
      <c r="G45" s="34" t="s">
        <v>93</v>
      </c>
      <c r="H45" s="34" t="s">
        <v>41</v>
      </c>
      <c r="I45" s="34" t="s">
        <v>96</v>
      </c>
      <c r="J45" s="34" t="s">
        <v>98</v>
      </c>
      <c r="K45" s="34" t="s">
        <v>95</v>
      </c>
      <c r="L45" s="34" t="s">
        <v>94</v>
      </c>
      <c r="M45" s="34" t="s">
        <v>93</v>
      </c>
      <c r="N45" s="34" t="s">
        <v>41</v>
      </c>
      <c r="O45" s="34" t="s">
        <v>96</v>
      </c>
      <c r="P45" s="34" t="s">
        <v>98</v>
      </c>
      <c r="Q45" s="34" t="s">
        <v>95</v>
      </c>
      <c r="R45" s="34" t="s">
        <v>94</v>
      </c>
      <c r="S45" s="34" t="s">
        <v>93</v>
      </c>
      <c r="T45" s="34" t="s">
        <v>41</v>
      </c>
      <c r="U45" s="34" t="s">
        <v>96</v>
      </c>
      <c r="V45" s="34" t="s">
        <v>98</v>
      </c>
      <c r="W45" s="34" t="s">
        <v>95</v>
      </c>
      <c r="X45" s="34" t="s">
        <v>94</v>
      </c>
      <c r="Y45" s="34" t="s">
        <v>93</v>
      </c>
      <c r="Z45" s="142" t="s">
        <v>41</v>
      </c>
      <c r="AA45" s="142" t="s">
        <v>96</v>
      </c>
      <c r="AB45" s="142" t="s">
        <v>98</v>
      </c>
      <c r="AC45" s="142" t="s">
        <v>95</v>
      </c>
      <c r="AD45" s="142" t="s">
        <v>94</v>
      </c>
      <c r="AE45" s="142" t="s">
        <v>93</v>
      </c>
    </row>
    <row r="46" spans="1:31" x14ac:dyDescent="0.2">
      <c r="A46" s="29">
        <v>42093</v>
      </c>
      <c r="B46" s="5">
        <v>0</v>
      </c>
      <c r="C46" s="5">
        <v>0</v>
      </c>
      <c r="D46" s="7">
        <v>2695</v>
      </c>
      <c r="E46" s="30"/>
      <c r="F46" s="30"/>
      <c r="G46" s="30"/>
      <c r="H46" s="5">
        <v>7.8408369001721614E-2</v>
      </c>
      <c r="I46" s="5">
        <v>8.1564245810055919E-2</v>
      </c>
      <c r="J46" s="7">
        <v>192972</v>
      </c>
      <c r="K46" s="30"/>
      <c r="L46" s="30"/>
      <c r="M46" s="30"/>
      <c r="N46" s="5">
        <v>-4.8119248344198458E-2</v>
      </c>
      <c r="O46" s="5">
        <v>-4.6979865771812152E-2</v>
      </c>
      <c r="P46" s="7">
        <v>77204</v>
      </c>
      <c r="Q46" s="30"/>
      <c r="R46" s="30"/>
      <c r="S46" s="30"/>
      <c r="T46" s="5">
        <v>1.7716998853946245E-2</v>
      </c>
      <c r="U46" s="5">
        <v>1.7874875868917547E-2</v>
      </c>
      <c r="V46" s="7">
        <v>200</v>
      </c>
      <c r="W46" s="30"/>
      <c r="X46" s="30"/>
      <c r="Y46" s="30"/>
      <c r="Z46" s="5">
        <v>-6.7010710282960309E-2</v>
      </c>
      <c r="AA46" s="5">
        <v>-6.4814814814814867E-2</v>
      </c>
      <c r="AB46" s="7">
        <v>8046</v>
      </c>
      <c r="AC46" s="30"/>
      <c r="AD46" s="30"/>
      <c r="AE46" s="30"/>
    </row>
    <row r="47" spans="1:31" x14ac:dyDescent="0.2">
      <c r="A47" s="29">
        <v>42094</v>
      </c>
      <c r="B47" s="5">
        <v>-5.8997221271883827E-3</v>
      </c>
      <c r="C47" s="5">
        <v>-5.8823529411765538E-3</v>
      </c>
      <c r="D47" s="7">
        <v>2096</v>
      </c>
      <c r="E47" s="30"/>
      <c r="F47" s="30"/>
      <c r="G47" s="30"/>
      <c r="H47" s="5">
        <v>0</v>
      </c>
      <c r="I47" s="5">
        <v>0</v>
      </c>
      <c r="J47" s="7">
        <v>225120</v>
      </c>
      <c r="K47" s="30"/>
      <c r="L47" s="30"/>
      <c r="M47" s="30"/>
      <c r="N47" s="5">
        <v>4.5431074682398001E-2</v>
      </c>
      <c r="O47" s="5">
        <v>4.6478873239436634E-2</v>
      </c>
      <c r="P47" s="7">
        <v>222574</v>
      </c>
      <c r="Q47" s="30"/>
      <c r="R47" s="30"/>
      <c r="S47" s="30"/>
      <c r="T47" s="5">
        <v>4.7628048989254664E-2</v>
      </c>
      <c r="U47" s="5">
        <v>4.878048780487805E-2</v>
      </c>
      <c r="V47" s="7">
        <v>170</v>
      </c>
      <c r="W47" s="30"/>
      <c r="X47" s="30"/>
      <c r="Y47" s="30"/>
      <c r="Z47" s="5">
        <v>3.8839833316263957E-2</v>
      </c>
      <c r="AA47" s="5">
        <v>3.9603960396039639E-2</v>
      </c>
      <c r="AB47" s="7">
        <v>13776</v>
      </c>
      <c r="AC47" s="30"/>
      <c r="AD47" s="30"/>
      <c r="AE47" s="30"/>
    </row>
    <row r="48" spans="1:31" x14ac:dyDescent="0.2">
      <c r="A48" s="29">
        <v>42095</v>
      </c>
      <c r="B48" s="5">
        <v>-4.045224040252788E-2</v>
      </c>
      <c r="C48" s="5">
        <v>-3.9644970414201078E-2</v>
      </c>
      <c r="D48" s="7">
        <v>16916</v>
      </c>
      <c r="E48" s="30"/>
      <c r="F48" s="30"/>
      <c r="G48" s="37"/>
      <c r="H48" s="5">
        <v>-4.8686863719983084E-2</v>
      </c>
      <c r="I48" s="5">
        <v>-4.7520661157024698E-2</v>
      </c>
      <c r="J48" s="7">
        <v>155214</v>
      </c>
      <c r="K48" s="30"/>
      <c r="L48" s="30"/>
      <c r="M48" s="30"/>
      <c r="N48" s="5">
        <v>6.7069332567180799E-3</v>
      </c>
      <c r="O48" s="5">
        <v>6.729475100942222E-3</v>
      </c>
      <c r="P48" s="7">
        <v>34097</v>
      </c>
      <c r="Q48" s="30"/>
      <c r="R48" s="30"/>
      <c r="S48" s="30"/>
      <c r="T48" s="5">
        <v>-4.7628048989254587E-2</v>
      </c>
      <c r="U48" s="5">
        <v>-4.6511627906976744E-2</v>
      </c>
      <c r="V48" s="7">
        <v>6</v>
      </c>
      <c r="W48" s="30"/>
      <c r="X48" s="30"/>
      <c r="Y48" s="30"/>
      <c r="Z48" s="5">
        <v>-5.7830908821581116E-2</v>
      </c>
      <c r="AA48" s="5">
        <v>-5.6190476190476235E-2</v>
      </c>
      <c r="AB48" s="7">
        <v>31805</v>
      </c>
      <c r="AC48" s="30"/>
      <c r="AD48" s="30"/>
      <c r="AE48" s="30"/>
    </row>
    <row r="49" spans="1:31" x14ac:dyDescent="0.2">
      <c r="A49" s="29">
        <v>42096</v>
      </c>
      <c r="B49" s="5">
        <v>1.649899938003507E-2</v>
      </c>
      <c r="C49" s="5">
        <v>1.6635859519408477E-2</v>
      </c>
      <c r="D49" s="7">
        <v>8580</v>
      </c>
      <c r="E49" s="30"/>
      <c r="F49" s="30"/>
      <c r="G49" s="37"/>
      <c r="H49" s="5">
        <v>8.6393625907078605E-3</v>
      </c>
      <c r="I49" s="5">
        <v>8.6767895878525018E-3</v>
      </c>
      <c r="J49" s="7">
        <v>42234</v>
      </c>
      <c r="K49" s="30"/>
      <c r="L49" s="30"/>
      <c r="M49" s="30"/>
      <c r="N49" s="5">
        <v>2.6702285558788921E-3</v>
      </c>
      <c r="O49" s="5">
        <v>2.6737967914437933E-3</v>
      </c>
      <c r="P49" s="7">
        <v>29962</v>
      </c>
      <c r="Q49" s="30"/>
      <c r="R49" s="30"/>
      <c r="S49" s="30"/>
      <c r="T49" s="5">
        <v>9.7513415820629139E-4</v>
      </c>
      <c r="U49" s="5">
        <v>9.7560975609754016E-4</v>
      </c>
      <c r="V49" s="7">
        <v>2190</v>
      </c>
      <c r="W49" s="30"/>
      <c r="X49" s="30"/>
      <c r="Y49" s="30"/>
      <c r="Z49" s="5">
        <v>1.8991075505317236E-2</v>
      </c>
      <c r="AA49" s="5">
        <v>1.9172552976791137E-2</v>
      </c>
      <c r="AB49" s="7">
        <v>38453</v>
      </c>
      <c r="AC49" s="30"/>
      <c r="AD49" s="30"/>
      <c r="AE49" s="30"/>
    </row>
    <row r="50" spans="1:31" x14ac:dyDescent="0.2">
      <c r="A50" s="13">
        <v>42101</v>
      </c>
      <c r="B50" s="5">
        <v>3.3376161156998131E-2</v>
      </c>
      <c r="C50" s="5">
        <v>3.393939393939386E-2</v>
      </c>
      <c r="D50" s="7">
        <v>761</v>
      </c>
      <c r="E50" s="31"/>
      <c r="F50" s="31"/>
      <c r="G50" s="31"/>
      <c r="H50" s="5">
        <v>-2.9462032730316334E-2</v>
      </c>
      <c r="I50" s="5">
        <v>-2.9032258064516273E-2</v>
      </c>
      <c r="J50" s="7">
        <v>100177</v>
      </c>
      <c r="K50" s="31"/>
      <c r="L50" s="31"/>
      <c r="M50" s="31"/>
      <c r="N50" s="5">
        <v>1.3245226750020505E-2</v>
      </c>
      <c r="O50" s="5">
        <v>1.3333333333333286E-2</v>
      </c>
      <c r="P50" s="7">
        <v>71888</v>
      </c>
      <c r="Q50" s="31"/>
      <c r="R50" s="31"/>
      <c r="S50" s="31"/>
      <c r="T50" s="5">
        <v>0</v>
      </c>
      <c r="U50" s="5">
        <v>0</v>
      </c>
      <c r="V50" s="7">
        <v>0</v>
      </c>
      <c r="W50" s="31"/>
      <c r="X50" s="31"/>
      <c r="Y50" s="31"/>
      <c r="Z50" s="5">
        <v>-7.076247024992556E-2</v>
      </c>
      <c r="AA50" s="5">
        <v>-6.8316831683168378E-2</v>
      </c>
      <c r="AB50" s="7">
        <v>21178</v>
      </c>
      <c r="AC50" s="31"/>
      <c r="AD50" s="31"/>
      <c r="AE50" s="31"/>
    </row>
    <row r="51" spans="1:31" x14ac:dyDescent="0.2">
      <c r="A51" s="13">
        <v>42102</v>
      </c>
      <c r="B51" s="5">
        <v>2.5464338865935361E-2</v>
      </c>
      <c r="C51" s="5">
        <v>2.5791324736225165E-2</v>
      </c>
      <c r="D51" s="7">
        <v>660</v>
      </c>
      <c r="E51" s="31"/>
      <c r="F51" s="31"/>
      <c r="G51" s="31"/>
      <c r="H51" s="5">
        <v>-4.4149784612929628E-2</v>
      </c>
      <c r="I51" s="5">
        <v>-4.3189368770763986E-2</v>
      </c>
      <c r="J51" s="7">
        <v>550765</v>
      </c>
      <c r="K51" s="31"/>
      <c r="L51" s="31"/>
      <c r="M51" s="31"/>
      <c r="N51" s="5">
        <v>-7.9260652724206029E-3</v>
      </c>
      <c r="O51" s="5">
        <v>-7.8947368421052114E-3</v>
      </c>
      <c r="P51" s="7">
        <v>233308</v>
      </c>
      <c r="Q51" s="31"/>
      <c r="R51" s="31"/>
      <c r="S51" s="31"/>
      <c r="T51" s="5">
        <v>0</v>
      </c>
      <c r="U51" s="5">
        <v>0</v>
      </c>
      <c r="V51" s="7">
        <v>103</v>
      </c>
      <c r="W51" s="31"/>
      <c r="X51" s="31"/>
      <c r="Y51" s="31"/>
      <c r="Z51" s="5">
        <v>-3.1931905791549088E-3</v>
      </c>
      <c r="AA51" s="5">
        <v>-3.188097768331565E-3</v>
      </c>
      <c r="AB51" s="7">
        <v>15712</v>
      </c>
      <c r="AC51" s="31"/>
      <c r="AD51" s="31"/>
      <c r="AE51" s="31"/>
    </row>
    <row r="52" spans="1:31" x14ac:dyDescent="0.2">
      <c r="A52" s="13">
        <v>42103</v>
      </c>
      <c r="B52" s="5">
        <v>5.6980211146377959E-3</v>
      </c>
      <c r="C52" s="5">
        <v>5.7142857142857958E-3</v>
      </c>
      <c r="D52" s="7">
        <v>5544</v>
      </c>
      <c r="E52" s="31"/>
      <c r="F52" s="31"/>
      <c r="G52" s="31"/>
      <c r="H52" s="5">
        <v>1.1567381278237332E-3</v>
      </c>
      <c r="I52" s="5">
        <v>1.1574074074073826E-3</v>
      </c>
      <c r="J52" s="7">
        <v>169686</v>
      </c>
      <c r="K52" s="31"/>
      <c r="L52" s="31"/>
      <c r="M52" s="31"/>
      <c r="N52" s="5">
        <v>1.3253812410687102E-3</v>
      </c>
      <c r="O52" s="5">
        <v>1.3262599469495739E-3</v>
      </c>
      <c r="P52" s="7">
        <v>27656</v>
      </c>
      <c r="Q52" s="31"/>
      <c r="R52" s="31"/>
      <c r="S52" s="31"/>
      <c r="T52" s="5">
        <v>3.2601161375398036E-2</v>
      </c>
      <c r="U52" s="5">
        <v>3.3138401559454175E-2</v>
      </c>
      <c r="V52" s="7">
        <v>105</v>
      </c>
      <c r="W52" s="31"/>
      <c r="X52" s="31"/>
      <c r="Y52" s="31"/>
      <c r="Z52" s="5">
        <v>2.129926257824849E-3</v>
      </c>
      <c r="AA52" s="5">
        <v>2.1321961620469104E-3</v>
      </c>
      <c r="AB52" s="7">
        <v>2430</v>
      </c>
      <c r="AC52" s="31"/>
      <c r="AD52" s="31"/>
      <c r="AE52" s="31"/>
    </row>
    <row r="53" spans="1:31" x14ac:dyDescent="0.2">
      <c r="A53" s="13">
        <v>42108</v>
      </c>
      <c r="B53" s="5">
        <v>1.2983529830942827E-2</v>
      </c>
      <c r="C53" s="5">
        <v>1.3068181818181639E-2</v>
      </c>
      <c r="D53" s="7">
        <v>1173</v>
      </c>
      <c r="E53" s="31"/>
      <c r="F53" s="31"/>
      <c r="G53" s="31"/>
      <c r="H53" s="5">
        <v>-4.1303806141235633E-2</v>
      </c>
      <c r="I53" s="5">
        <v>-4.0462427745664699E-2</v>
      </c>
      <c r="J53" s="7">
        <v>448415</v>
      </c>
      <c r="K53" s="31"/>
      <c r="L53" s="31"/>
      <c r="M53" s="31"/>
      <c r="N53" s="5">
        <v>-4.7466537238923606E-2</v>
      </c>
      <c r="O53" s="5">
        <v>-4.6357615894039687E-2</v>
      </c>
      <c r="P53" s="7">
        <v>25843</v>
      </c>
      <c r="Q53" s="31"/>
      <c r="R53" s="31"/>
      <c r="S53" s="31"/>
      <c r="T53" s="5">
        <v>-3.2601161375397973E-2</v>
      </c>
      <c r="U53" s="5">
        <v>-3.2075471698113193E-2</v>
      </c>
      <c r="V53" s="7">
        <v>298</v>
      </c>
      <c r="W53" s="31"/>
      <c r="X53" s="31"/>
      <c r="Y53" s="31"/>
      <c r="Z53" s="5">
        <v>2.6248226074936411E-2</v>
      </c>
      <c r="AA53" s="5">
        <v>2.6595744680851088E-2</v>
      </c>
      <c r="AB53" s="7">
        <v>15203</v>
      </c>
      <c r="AC53" s="31"/>
      <c r="AD53" s="31"/>
      <c r="AE53" s="31"/>
    </row>
    <row r="54" spans="1:31" x14ac:dyDescent="0.2">
      <c r="A54" s="13">
        <v>42109</v>
      </c>
      <c r="B54" s="5">
        <v>-7.8829237033550045E-3</v>
      </c>
      <c r="C54" s="5">
        <v>-7.8519349411103213E-3</v>
      </c>
      <c r="D54" s="7">
        <v>3038</v>
      </c>
      <c r="E54" s="31"/>
      <c r="F54" s="31"/>
      <c r="G54" s="31"/>
      <c r="H54" s="5">
        <v>1.197619104671562E-2</v>
      </c>
      <c r="I54" s="5">
        <v>1.2048192771084293E-2</v>
      </c>
      <c r="J54" s="7">
        <v>244881</v>
      </c>
      <c r="K54" s="31"/>
      <c r="L54" s="31"/>
      <c r="M54" s="31"/>
      <c r="N54" s="5">
        <v>-1.3986241974739952E-2</v>
      </c>
      <c r="O54" s="5">
        <v>-1.3888888888888963E-2</v>
      </c>
      <c r="P54" s="7">
        <v>79502</v>
      </c>
      <c r="Q54" s="31"/>
      <c r="R54" s="31"/>
      <c r="S54" s="31"/>
      <c r="T54" s="5">
        <v>1.4514042884254012E-2</v>
      </c>
      <c r="U54" s="5">
        <v>1.4619883040935708E-2</v>
      </c>
      <c r="V54" s="7">
        <v>6698</v>
      </c>
      <c r="W54" s="31"/>
      <c r="X54" s="31"/>
      <c r="Y54" s="31"/>
      <c r="Z54" s="5">
        <v>-3.8019362525147364E-2</v>
      </c>
      <c r="AA54" s="5">
        <v>-3.7305699481865205E-2</v>
      </c>
      <c r="AB54" s="7">
        <v>11054</v>
      </c>
      <c r="AC54" s="31"/>
      <c r="AD54" s="31"/>
      <c r="AE54" s="31"/>
    </row>
    <row r="55" spans="1:31" x14ac:dyDescent="0.2">
      <c r="A55" s="13">
        <v>42110</v>
      </c>
      <c r="B55" s="5">
        <v>-1.0798627242225595E-2</v>
      </c>
      <c r="C55" s="5">
        <v>-1.0740531373657505E-2</v>
      </c>
      <c r="D55" s="7">
        <v>6654</v>
      </c>
      <c r="E55" s="31"/>
      <c r="F55" s="31"/>
      <c r="G55" s="31"/>
      <c r="H55" s="5">
        <v>6.8992871486951421E-2</v>
      </c>
      <c r="I55" s="5">
        <v>7.1428571428571383E-2</v>
      </c>
      <c r="J55" s="7">
        <v>400625</v>
      </c>
      <c r="K55" s="31"/>
      <c r="L55" s="31"/>
      <c r="M55" s="31"/>
      <c r="N55" s="5">
        <v>1.398624197473987E-2</v>
      </c>
      <c r="O55" s="5">
        <v>1.4084507042253596E-2</v>
      </c>
      <c r="P55" s="7">
        <v>57995</v>
      </c>
      <c r="Q55" s="31"/>
      <c r="R55" s="31"/>
      <c r="S55" s="31"/>
      <c r="T55" s="5">
        <v>0</v>
      </c>
      <c r="U55" s="5">
        <v>0</v>
      </c>
      <c r="V55" s="7">
        <v>373</v>
      </c>
      <c r="W55" s="31"/>
      <c r="X55" s="31"/>
      <c r="Y55" s="31"/>
      <c r="Z55" s="5">
        <v>-3.5052876755042484E-2</v>
      </c>
      <c r="AA55" s="5">
        <v>-3.4445640473627588E-2</v>
      </c>
      <c r="AB55" s="7">
        <v>12746</v>
      </c>
      <c r="AC55" s="31"/>
      <c r="AD55" s="31"/>
      <c r="AE55" s="31"/>
    </row>
    <row r="56" spans="1:31" x14ac:dyDescent="0.2">
      <c r="A56" s="13">
        <v>42111</v>
      </c>
      <c r="B56" s="5">
        <v>-1.6129381929883644E-2</v>
      </c>
      <c r="C56" s="5">
        <v>-1.6000000000000066E-2</v>
      </c>
      <c r="D56" s="7">
        <v>498</v>
      </c>
      <c r="E56" s="31"/>
      <c r="F56" s="31"/>
      <c r="G56" s="31"/>
      <c r="H56" s="5">
        <v>-7.4963038473455354E-2</v>
      </c>
      <c r="I56" s="5">
        <v>-7.2222222222222257E-2</v>
      </c>
      <c r="J56" s="7">
        <v>301402</v>
      </c>
      <c r="K56" s="31"/>
      <c r="L56" s="31"/>
      <c r="M56" s="31"/>
      <c r="N56" s="5">
        <v>-4.2559614418795889E-2</v>
      </c>
      <c r="O56" s="5">
        <v>-4.1666666666666644E-2</v>
      </c>
      <c r="P56" s="7">
        <v>119127</v>
      </c>
      <c r="Q56" s="31"/>
      <c r="R56" s="31"/>
      <c r="S56" s="31"/>
      <c r="T56" s="5">
        <v>-9.6107647955047816E-4</v>
      </c>
      <c r="U56" s="5">
        <v>-9.6061479346779889E-4</v>
      </c>
      <c r="V56" s="7">
        <v>2215</v>
      </c>
      <c r="W56" s="31"/>
      <c r="X56" s="31"/>
      <c r="Y56" s="31"/>
      <c r="Z56" s="5">
        <v>-1.1154490838656095E-3</v>
      </c>
      <c r="AA56" s="5">
        <v>-1.1148272017837246E-3</v>
      </c>
      <c r="AB56" s="7">
        <v>8057</v>
      </c>
      <c r="AC56" s="31"/>
      <c r="AD56" s="31"/>
      <c r="AE56" s="31"/>
    </row>
    <row r="57" spans="1:31" x14ac:dyDescent="0.2">
      <c r="A57" s="13">
        <v>42114</v>
      </c>
      <c r="B57" s="5">
        <v>-5.8088877613657536E-4</v>
      </c>
      <c r="C57" s="5">
        <v>-5.807200929150994E-4</v>
      </c>
      <c r="D57" s="7">
        <v>4033</v>
      </c>
      <c r="E57" s="31"/>
      <c r="F57" s="31"/>
      <c r="G57" s="31"/>
      <c r="H57" s="5">
        <v>-6.006024060211698E-3</v>
      </c>
      <c r="I57" s="5">
        <v>-5.9880239520956812E-3</v>
      </c>
      <c r="J57" s="7">
        <v>526904</v>
      </c>
      <c r="K57" s="31"/>
      <c r="L57" s="31"/>
      <c r="M57" s="31"/>
      <c r="N57" s="5">
        <v>1.0093813169218686E-2</v>
      </c>
      <c r="O57" s="5">
        <v>1.0144927536231797E-2</v>
      </c>
      <c r="P57" s="7">
        <v>41394</v>
      </c>
      <c r="Q57" s="31"/>
      <c r="R57" s="31"/>
      <c r="S57" s="31"/>
      <c r="T57" s="5">
        <v>0</v>
      </c>
      <c r="U57" s="5">
        <v>0</v>
      </c>
      <c r="V57" s="7">
        <v>4682</v>
      </c>
      <c r="W57" s="31"/>
      <c r="X57" s="31"/>
      <c r="Y57" s="31"/>
      <c r="Z57" s="5">
        <v>3.6168325838908111E-2</v>
      </c>
      <c r="AA57" s="5">
        <v>3.6830357142857172E-2</v>
      </c>
      <c r="AB57" s="7">
        <v>11631</v>
      </c>
      <c r="AC57" s="31"/>
      <c r="AD57" s="31"/>
      <c r="AE57" s="31"/>
    </row>
    <row r="58" spans="1:31" x14ac:dyDescent="0.2">
      <c r="A58" s="13">
        <v>42115</v>
      </c>
      <c r="B58" s="5">
        <v>-1.5812920999539636E-2</v>
      </c>
      <c r="C58" s="5">
        <v>-1.5688553166763482E-2</v>
      </c>
      <c r="D58" s="7">
        <v>915</v>
      </c>
      <c r="E58" s="31"/>
      <c r="F58" s="31"/>
      <c r="G58" s="31"/>
      <c r="H58" s="5">
        <v>-1.7011345826536677E-2</v>
      </c>
      <c r="I58" s="5">
        <v>-1.6867469879518138E-2</v>
      </c>
      <c r="J58" s="7">
        <v>412512</v>
      </c>
      <c r="K58" s="31"/>
      <c r="L58" s="31"/>
      <c r="M58" s="31"/>
      <c r="N58" s="5">
        <v>-6.8275768551954677E-2</v>
      </c>
      <c r="O58" s="5">
        <v>-6.5997130559540887E-2</v>
      </c>
      <c r="P58" s="7">
        <v>195199</v>
      </c>
      <c r="Q58" s="31"/>
      <c r="R58" s="31"/>
      <c r="S58" s="31"/>
      <c r="T58" s="5">
        <v>1.5267472130788381E-2</v>
      </c>
      <c r="U58" s="5">
        <v>1.5384615384615398E-2</v>
      </c>
      <c r="V58" s="7">
        <v>1336</v>
      </c>
      <c r="W58" s="31"/>
      <c r="X58" s="31"/>
      <c r="Y58" s="31"/>
      <c r="Z58" s="5">
        <v>-5.8742647877447179E-2</v>
      </c>
      <c r="AA58" s="5">
        <v>-5.7050592034445687E-2</v>
      </c>
      <c r="AB58" s="7">
        <v>27124</v>
      </c>
      <c r="AC58" s="31"/>
      <c r="AD58" s="31"/>
      <c r="AE58" s="31"/>
    </row>
    <row r="59" spans="1:31" x14ac:dyDescent="0.2">
      <c r="A59" s="13">
        <v>42116</v>
      </c>
      <c r="B59" s="5">
        <v>3.137968100348109E-2</v>
      </c>
      <c r="C59" s="5">
        <v>3.1877213695395458E-2</v>
      </c>
      <c r="D59" s="7">
        <v>26847</v>
      </c>
      <c r="E59" s="31"/>
      <c r="F59" s="31"/>
      <c r="G59" s="31"/>
      <c r="H59" s="5">
        <v>-3.7457562534900443E-2</v>
      </c>
      <c r="I59" s="5">
        <v>-3.6764705882352922E-2</v>
      </c>
      <c r="J59" s="7">
        <v>583281</v>
      </c>
      <c r="K59" s="31"/>
      <c r="L59" s="31"/>
      <c r="M59" s="31"/>
      <c r="N59" s="5">
        <v>5.8181955382735892E-2</v>
      </c>
      <c r="O59" s="5">
        <v>5.9907834101382576E-2</v>
      </c>
      <c r="P59" s="7">
        <v>111081</v>
      </c>
      <c r="Q59" s="31"/>
      <c r="R59" s="31"/>
      <c r="S59" s="31"/>
      <c r="T59" s="5">
        <v>-1.5267472130788421E-2</v>
      </c>
      <c r="U59" s="5">
        <v>-1.5151515151515164E-2</v>
      </c>
      <c r="V59" s="7">
        <v>1000</v>
      </c>
      <c r="W59" s="31"/>
      <c r="X59" s="31"/>
      <c r="Y59" s="31"/>
      <c r="Z59" s="5">
        <v>-1.8433701688838022E-2</v>
      </c>
      <c r="AA59" s="5">
        <v>-1.8264840182648418E-2</v>
      </c>
      <c r="AB59" s="7">
        <v>15635</v>
      </c>
      <c r="AC59" s="31"/>
      <c r="AD59" s="31"/>
      <c r="AE59" s="31"/>
    </row>
    <row r="60" spans="1:31" x14ac:dyDescent="0.2">
      <c r="A60" s="13">
        <v>42117</v>
      </c>
      <c r="B60" s="5">
        <v>5.6713361856889716E-2</v>
      </c>
      <c r="C60" s="5">
        <v>5.8352402745995395E-2</v>
      </c>
      <c r="D60" s="7">
        <v>18818</v>
      </c>
      <c r="E60" s="31"/>
      <c r="F60" s="31"/>
      <c r="G60" s="31"/>
      <c r="H60" s="5">
        <v>7.3562567177016855E-2</v>
      </c>
      <c r="I60" s="5">
        <v>7.6335877862595491E-2</v>
      </c>
      <c r="J60" s="7">
        <v>1275667</v>
      </c>
      <c r="K60" s="31"/>
      <c r="L60" s="31"/>
      <c r="M60" s="31"/>
      <c r="N60" s="5">
        <v>-4.3573053689558126E-3</v>
      </c>
      <c r="O60" s="5">
        <v>-4.3478260869565574E-3</v>
      </c>
      <c r="P60" s="7">
        <v>41937</v>
      </c>
      <c r="Q60" s="31"/>
      <c r="R60" s="31"/>
      <c r="S60" s="31"/>
      <c r="T60" s="5">
        <v>0</v>
      </c>
      <c r="U60" s="5">
        <v>0</v>
      </c>
      <c r="V60" s="7">
        <v>93</v>
      </c>
      <c r="W60" s="31"/>
      <c r="X60" s="31"/>
      <c r="Y60" s="31"/>
      <c r="Z60" s="5">
        <v>5.1002554452372791E-2</v>
      </c>
      <c r="AA60" s="5">
        <v>5.2325581395348882E-2</v>
      </c>
      <c r="AB60" s="7">
        <v>22474</v>
      </c>
      <c r="AC60" s="31"/>
      <c r="AD60" s="31"/>
      <c r="AE60" s="31"/>
    </row>
    <row r="61" spans="1:31" x14ac:dyDescent="0.2">
      <c r="A61" s="13">
        <v>42118</v>
      </c>
      <c r="B61" s="5">
        <v>-5.4068668524576158E-4</v>
      </c>
      <c r="C61" s="5">
        <v>-5.4054054054062501E-4</v>
      </c>
      <c r="D61" s="7">
        <v>9138</v>
      </c>
      <c r="E61" s="31"/>
      <c r="F61" s="31"/>
      <c r="G61" s="31"/>
      <c r="H61" s="5">
        <v>8.8192712035460905E-2</v>
      </c>
      <c r="I61" s="5">
        <v>9.2198581560283599E-2</v>
      </c>
      <c r="J61" s="7">
        <v>229457</v>
      </c>
      <c r="K61" s="31"/>
      <c r="L61" s="31"/>
      <c r="M61" s="31"/>
      <c r="N61" s="5">
        <v>1.8746042821055412E-2</v>
      </c>
      <c r="O61" s="5">
        <v>1.8922852983988339E-2</v>
      </c>
      <c r="P61" s="7">
        <v>70876</v>
      </c>
      <c r="Q61" s="31"/>
      <c r="R61" s="31"/>
      <c r="S61" s="31"/>
      <c r="T61" s="5">
        <v>2.843793532053341E-2</v>
      </c>
      <c r="U61" s="5">
        <v>2.8846153846153744E-2</v>
      </c>
      <c r="V61" s="7">
        <v>189</v>
      </c>
      <c r="W61" s="31"/>
      <c r="X61" s="31"/>
      <c r="Y61" s="31"/>
      <c r="Z61" s="5">
        <v>-3.7145519790946581E-2</v>
      </c>
      <c r="AA61" s="5">
        <v>-3.6464088397790084E-2</v>
      </c>
      <c r="AB61" s="7">
        <v>34059</v>
      </c>
      <c r="AC61" s="31"/>
      <c r="AD61" s="31"/>
      <c r="AE61" s="31"/>
    </row>
    <row r="62" spans="1:31" x14ac:dyDescent="0.2">
      <c r="A62" s="13">
        <v>42121</v>
      </c>
      <c r="B62" s="5">
        <v>1.3963707017386459E-2</v>
      </c>
      <c r="C62" s="5">
        <v>1.4061654948620961E-2</v>
      </c>
      <c r="D62" s="7">
        <v>20863</v>
      </c>
      <c r="E62" s="5">
        <f>STDEV(B46:B62)</f>
        <v>2.2950753343049357E-2</v>
      </c>
      <c r="F62" s="5">
        <f>AVERAGE(B46:B62)</f>
        <v>5.7635534329531744E-3</v>
      </c>
      <c r="G62" s="7">
        <f>AVERAGE(D46:D62)</f>
        <v>7601.7058823529414</v>
      </c>
      <c r="H62" s="5">
        <v>-1.416917438172589E-2</v>
      </c>
      <c r="I62" s="5">
        <v>-1.4069264069264153E-2</v>
      </c>
      <c r="J62" s="7">
        <v>196127</v>
      </c>
      <c r="K62" s="5">
        <f>STDEV(H46:H62)</f>
        <v>4.9206586949300052E-2</v>
      </c>
      <c r="L62" s="5">
        <f>AVERAGE(H46:H62)</f>
        <v>1.0423046461825469E-3</v>
      </c>
      <c r="M62" s="7">
        <f>AVERAGE(J46:J62)</f>
        <v>356202.29411764705</v>
      </c>
      <c r="N62" s="5">
        <v>6.7658648473814864E-2</v>
      </c>
      <c r="O62" s="5">
        <v>7.0000000000000034E-2</v>
      </c>
      <c r="P62" s="7">
        <v>136577</v>
      </c>
      <c r="Q62" s="5">
        <f>STDEV(N46:N62)</f>
        <v>3.7267787331808279E-2</v>
      </c>
      <c r="R62" s="5">
        <f>AVERAGE(N46:N62)</f>
        <v>3.149861845682299E-4</v>
      </c>
      <c r="S62" s="7">
        <f>AVERAGE(P46:P62)</f>
        <v>92718.823529411762</v>
      </c>
      <c r="T62" s="5">
        <v>1.3921338518608014E-2</v>
      </c>
      <c r="U62" s="5">
        <v>1.4018691588785081E-2</v>
      </c>
      <c r="V62" s="7">
        <v>110</v>
      </c>
      <c r="W62" s="5">
        <f>STDEV(T46:T62)</f>
        <v>2.2817575595788536E-2</v>
      </c>
      <c r="X62" s="5">
        <f>AVERAGE(T46:T62)</f>
        <v>4.3884925444704461E-3</v>
      </c>
      <c r="Y62" s="7">
        <f>AVERAGE(V46:V62)</f>
        <v>1162.8235294117646</v>
      </c>
      <c r="Z62" s="5">
        <v>0.1013386774300062</v>
      </c>
      <c r="AA62" s="5">
        <v>0.10665137614678896</v>
      </c>
      <c r="AB62" s="7">
        <v>12134</v>
      </c>
      <c r="AC62" s="5">
        <f>STDEV(Z46:Z62)</f>
        <v>4.7889237487060914E-2</v>
      </c>
      <c r="AD62" s="5">
        <f>AVERAGE(Z46:Z62)</f>
        <v>-6.6228363987811505E-3</v>
      </c>
      <c r="AE62" s="7">
        <f>AVERAGE(AB46:AB62)</f>
        <v>17736.294117647059</v>
      </c>
    </row>
    <row r="63" spans="1:31" x14ac:dyDescent="0.2">
      <c r="A63" s="13">
        <v>42122</v>
      </c>
      <c r="B63" s="5">
        <v>0</v>
      </c>
      <c r="C63" s="5">
        <v>0</v>
      </c>
      <c r="D63" s="7">
        <v>15925</v>
      </c>
      <c r="E63" s="5">
        <f t="shared" ref="E63:E85" si="15">STDEV(B47:B63)</f>
        <v>2.2950753343049357E-2</v>
      </c>
      <c r="F63" s="5">
        <f t="shared" ref="F63:F85" si="16">AVERAGE(B47:B63)</f>
        <v>5.7635534329531744E-3</v>
      </c>
      <c r="G63" s="7">
        <f t="shared" ref="G63:G85" si="17">AVERAGE(D47:D63)</f>
        <v>8379.9411764705874</v>
      </c>
      <c r="H63" s="5">
        <v>-2.78259466548774E-2</v>
      </c>
      <c r="I63" s="5">
        <v>-2.7442371020856202E-2</v>
      </c>
      <c r="J63" s="7">
        <v>153500</v>
      </c>
      <c r="K63" s="5">
        <f t="shared" ref="K63:K85" si="18">STDEV(H47:H63)</f>
        <v>4.5362851504784564E-2</v>
      </c>
      <c r="L63" s="5">
        <f t="shared" ref="L63:L85" si="19">AVERAGE(H47:H63)</f>
        <v>-5.2067727453821025E-3</v>
      </c>
      <c r="M63" s="7">
        <f t="shared" ref="M63:M85" si="20">AVERAGE(J47:J63)</f>
        <v>353880.4117647059</v>
      </c>
      <c r="N63" s="5">
        <v>-2.2958469555907857E-2</v>
      </c>
      <c r="O63" s="5">
        <v>-2.2696929238985305E-2</v>
      </c>
      <c r="P63" s="7">
        <v>138141</v>
      </c>
      <c r="Q63" s="5">
        <f t="shared" ref="Q63:Q85" si="21">STDEV(N47:N63)</f>
        <v>3.569028852871739E-2</v>
      </c>
      <c r="R63" s="5">
        <f t="shared" ref="R63:R85" si="22">AVERAGE(N47:N63)</f>
        <v>1.795031995644148E-3</v>
      </c>
      <c r="S63" s="7">
        <f t="shared" ref="S63:S85" si="23">AVERAGE(P47:P63)</f>
        <v>96303.352941176476</v>
      </c>
      <c r="T63" s="5">
        <v>5.8181955382735892E-2</v>
      </c>
      <c r="U63" s="5">
        <v>5.9907834101382521E-2</v>
      </c>
      <c r="V63" s="7">
        <v>100</v>
      </c>
      <c r="W63" s="5">
        <f t="shared" ref="W63:W85" si="24">STDEV(T47:T63)</f>
        <v>2.6160606436826363E-2</v>
      </c>
      <c r="X63" s="5">
        <f t="shared" ref="X63:X85" si="25">AVERAGE(T47:T63)</f>
        <v>6.7687841049874839E-3</v>
      </c>
      <c r="Y63" s="7">
        <f t="shared" ref="Y63:Y85" si="26">AVERAGE(V47:V63)</f>
        <v>1156.9411764705883</v>
      </c>
      <c r="Z63" s="5">
        <v>1.5424470325631731E-2</v>
      </c>
      <c r="AA63" s="5">
        <v>1.5544041450777216E-2</v>
      </c>
      <c r="AB63" s="7">
        <v>311411</v>
      </c>
      <c r="AC63" s="5">
        <f t="shared" ref="AC63:AC85" si="27">STDEV(Z47:Z63)</f>
        <v>4.550667171566776E-2</v>
      </c>
      <c r="AD63" s="5">
        <f t="shared" ref="AD63:AD85" si="28">AVERAGE(Z47:Z63)</f>
        <v>-1.773708127687502E-3</v>
      </c>
      <c r="AE63" s="7">
        <f t="shared" ref="AE63:AE85" si="29">AVERAGE(AB47:AB63)</f>
        <v>35581.294117647056</v>
      </c>
    </row>
    <row r="64" spans="1:31" x14ac:dyDescent="0.2">
      <c r="A64" s="13">
        <v>42123</v>
      </c>
      <c r="B64" s="5">
        <v>1.3245226750020723E-2</v>
      </c>
      <c r="C64" s="5">
        <v>1.3333333333333334E-2</v>
      </c>
      <c r="D64" s="7">
        <v>14285</v>
      </c>
      <c r="E64" s="5">
        <f t="shared" si="15"/>
        <v>2.2811970774223436E-2</v>
      </c>
      <c r="F64" s="5">
        <f t="shared" si="16"/>
        <v>6.8897268963184159E-3</v>
      </c>
      <c r="G64" s="7">
        <f t="shared" si="17"/>
        <v>9096.9411764705874</v>
      </c>
      <c r="H64" s="5">
        <v>-1.2493064247466445E-2</v>
      </c>
      <c r="I64" s="5">
        <v>-1.241534988713312E-2</v>
      </c>
      <c r="J64" s="7">
        <v>95390</v>
      </c>
      <c r="K64" s="5">
        <f t="shared" si="18"/>
        <v>4.5374422398589041E-2</v>
      </c>
      <c r="L64" s="5">
        <f t="shared" si="19"/>
        <v>-5.9416588775860115E-3</v>
      </c>
      <c r="M64" s="7">
        <f t="shared" si="20"/>
        <v>346249.23529411765</v>
      </c>
      <c r="N64" s="5">
        <v>1.0869672236903891E-2</v>
      </c>
      <c r="O64" s="5">
        <v>1.0928961748633888E-2</v>
      </c>
      <c r="P64" s="7">
        <v>35043</v>
      </c>
      <c r="Q64" s="5">
        <f t="shared" si="21"/>
        <v>3.3993315380568503E-2</v>
      </c>
      <c r="R64" s="5">
        <f t="shared" si="22"/>
        <v>-2.3799167762021136E-4</v>
      </c>
      <c r="S64" s="7">
        <f t="shared" si="23"/>
        <v>85272.117647058825</v>
      </c>
      <c r="T64" s="5">
        <v>-0.1005412292218774</v>
      </c>
      <c r="U64" s="5">
        <v>-9.5652173913043453E-2</v>
      </c>
      <c r="V64" s="7">
        <v>200</v>
      </c>
      <c r="W64" s="5">
        <f t="shared" si="24"/>
        <v>3.4914696935349904E-2</v>
      </c>
      <c r="X64" s="5">
        <f t="shared" si="25"/>
        <v>-1.9470557897849905E-3</v>
      </c>
      <c r="Y64" s="7">
        <f t="shared" si="26"/>
        <v>1158.7058823529412</v>
      </c>
      <c r="Z64" s="5">
        <v>2.0202707317519469E-2</v>
      </c>
      <c r="AA64" s="5">
        <v>2.0408163265306142E-2</v>
      </c>
      <c r="AB64" s="7">
        <v>1000</v>
      </c>
      <c r="AC64" s="5">
        <f t="shared" si="27"/>
        <v>4.4684159600793368E-2</v>
      </c>
      <c r="AD64" s="5">
        <f t="shared" si="28"/>
        <v>-2.870009657025413E-3</v>
      </c>
      <c r="AE64" s="7">
        <f t="shared" si="29"/>
        <v>34829.76470588235</v>
      </c>
    </row>
    <row r="65" spans="1:31" x14ac:dyDescent="0.2">
      <c r="A65" s="13">
        <v>42124</v>
      </c>
      <c r="B65" s="5">
        <v>6.2959284568148309E-3</v>
      </c>
      <c r="C65" s="5">
        <v>6.3157894736842633E-3</v>
      </c>
      <c r="D65" s="7">
        <v>14459</v>
      </c>
      <c r="E65" s="5">
        <f t="shared" si="15"/>
        <v>1.9294938568188175E-2</v>
      </c>
      <c r="F65" s="5">
        <f t="shared" si="16"/>
        <v>9.6396191821621052E-3</v>
      </c>
      <c r="G65" s="7">
        <f t="shared" si="17"/>
        <v>8952.4117647058829</v>
      </c>
      <c r="H65" s="5">
        <v>4.9062235998072599E-2</v>
      </c>
      <c r="I65" s="5">
        <v>5.0285714285714232E-2</v>
      </c>
      <c r="J65" s="7">
        <v>244618</v>
      </c>
      <c r="K65" s="5">
        <f t="shared" si="18"/>
        <v>4.5810503091374931E-2</v>
      </c>
      <c r="L65" s="5">
        <f t="shared" si="19"/>
        <v>-1.9171183534744159E-4</v>
      </c>
      <c r="M65" s="7">
        <f t="shared" si="20"/>
        <v>351508.29411764705</v>
      </c>
      <c r="N65" s="5">
        <v>1.342302033214055E-2</v>
      </c>
      <c r="O65" s="5">
        <v>1.3513513513513466E-2</v>
      </c>
      <c r="P65" s="7">
        <v>119759</v>
      </c>
      <c r="Q65" s="5">
        <f t="shared" si="21"/>
        <v>3.4117870896288413E-2</v>
      </c>
      <c r="R65" s="5">
        <f t="shared" si="22"/>
        <v>1.5707226799287454E-4</v>
      </c>
      <c r="S65" s="7">
        <f t="shared" si="23"/>
        <v>90311.058823529413</v>
      </c>
      <c r="T65" s="5">
        <v>0</v>
      </c>
      <c r="U65" s="5">
        <v>0</v>
      </c>
      <c r="V65" s="7">
        <v>4000</v>
      </c>
      <c r="W65" s="5">
        <f t="shared" si="24"/>
        <v>3.2871128820874937E-2</v>
      </c>
      <c r="X65" s="5">
        <f t="shared" si="25"/>
        <v>8.5459415075939777E-4</v>
      </c>
      <c r="Y65" s="7">
        <f t="shared" si="26"/>
        <v>1393.6470588235295</v>
      </c>
      <c r="Z65" s="5">
        <v>-3.1490667091370848E-2</v>
      </c>
      <c r="AA65" s="5">
        <v>-3.1000000000000028E-2</v>
      </c>
      <c r="AB65" s="7">
        <v>28462</v>
      </c>
      <c r="AC65" s="5">
        <f t="shared" si="27"/>
        <v>4.3087422213230787E-2</v>
      </c>
      <c r="AD65" s="5">
        <f t="shared" si="28"/>
        <v>-1.320583672895398E-3</v>
      </c>
      <c r="AE65" s="7">
        <f t="shared" si="29"/>
        <v>34633.117647058825</v>
      </c>
    </row>
    <row r="66" spans="1:31" x14ac:dyDescent="0.2">
      <c r="A66" s="13">
        <v>42128</v>
      </c>
      <c r="B66" s="5">
        <v>-6.7611578451918522E-2</v>
      </c>
      <c r="C66" s="5">
        <v>-6.5376569037656901E-2</v>
      </c>
      <c r="D66" s="7">
        <v>7407</v>
      </c>
      <c r="E66" s="5">
        <f t="shared" si="15"/>
        <v>2.6764316959396798E-2</v>
      </c>
      <c r="F66" s="5">
        <f t="shared" si="16"/>
        <v>4.6919381332236583E-3</v>
      </c>
      <c r="G66" s="7">
        <f t="shared" si="17"/>
        <v>8883.4117647058829</v>
      </c>
      <c r="H66" s="5">
        <v>-2.5345709380756441E-2</v>
      </c>
      <c r="I66" s="5">
        <v>-2.5027203482045558E-2</v>
      </c>
      <c r="J66" s="7">
        <v>74584</v>
      </c>
      <c r="K66" s="5">
        <f t="shared" si="18"/>
        <v>4.6141379552251838E-2</v>
      </c>
      <c r="L66" s="5">
        <f t="shared" si="19"/>
        <v>-2.1908337160218118E-3</v>
      </c>
      <c r="M66" s="7">
        <f t="shared" si="20"/>
        <v>353411.23529411765</v>
      </c>
      <c r="N66" s="5">
        <v>2.6317308317373358E-2</v>
      </c>
      <c r="O66" s="5">
        <v>2.6666666666666689E-2</v>
      </c>
      <c r="P66" s="7">
        <v>156422</v>
      </c>
      <c r="Q66" s="5">
        <f t="shared" si="21"/>
        <v>3.4703759368283842E-2</v>
      </c>
      <c r="R66" s="5">
        <f t="shared" si="22"/>
        <v>1.54807695984549E-3</v>
      </c>
      <c r="S66" s="7">
        <f t="shared" si="23"/>
        <v>97749.882352941175</v>
      </c>
      <c r="T66" s="5">
        <v>0</v>
      </c>
      <c r="U66" s="5">
        <v>0</v>
      </c>
      <c r="V66" s="7">
        <v>1303</v>
      </c>
      <c r="W66" s="5">
        <f t="shared" si="24"/>
        <v>3.2871756138532653E-2</v>
      </c>
      <c r="X66" s="5">
        <f t="shared" si="25"/>
        <v>7.9723331792373405E-4</v>
      </c>
      <c r="Y66" s="7">
        <f t="shared" si="26"/>
        <v>1341.4705882352941</v>
      </c>
      <c r="Z66" s="5">
        <v>-4.1080025743464518E-2</v>
      </c>
      <c r="AA66" s="5">
        <v>-4.0247678018575775E-2</v>
      </c>
      <c r="AB66" s="7">
        <v>67951</v>
      </c>
      <c r="AC66" s="5">
        <f t="shared" si="27"/>
        <v>4.3775277046856409E-2</v>
      </c>
      <c r="AD66" s="5">
        <f t="shared" si="28"/>
        <v>-4.854177864000205E-3</v>
      </c>
      <c r="AE66" s="7">
        <f t="shared" si="29"/>
        <v>36368.294117647056</v>
      </c>
    </row>
    <row r="67" spans="1:31" x14ac:dyDescent="0.2">
      <c r="A67" s="13">
        <v>42129</v>
      </c>
      <c r="B67" s="5">
        <v>1.1185683492910977E-3</v>
      </c>
      <c r="C67" s="5">
        <v>1.119194180190239E-3</v>
      </c>
      <c r="D67" s="7">
        <v>4397</v>
      </c>
      <c r="E67" s="5">
        <f t="shared" si="15"/>
        <v>2.5726972664316988E-2</v>
      </c>
      <c r="F67" s="5">
        <f t="shared" si="16"/>
        <v>2.7944326739467737E-3</v>
      </c>
      <c r="G67" s="7">
        <f t="shared" si="17"/>
        <v>9097.2941176470595</v>
      </c>
      <c r="H67" s="5">
        <v>-1.1166947000752908E-3</v>
      </c>
      <c r="I67" s="5">
        <v>-1.1160714285716028E-3</v>
      </c>
      <c r="J67" s="7">
        <v>166106</v>
      </c>
      <c r="K67" s="5">
        <f t="shared" si="18"/>
        <v>4.5603319331184611E-2</v>
      </c>
      <c r="L67" s="5">
        <f t="shared" si="19"/>
        <v>-5.2346089071351532E-4</v>
      </c>
      <c r="M67" s="7">
        <f t="shared" si="20"/>
        <v>357289.4117647059</v>
      </c>
      <c r="N67" s="5">
        <v>-3.4349480014637682E-2</v>
      </c>
      <c r="O67" s="5">
        <v>-3.3766233766233736E-2</v>
      </c>
      <c r="P67" s="7">
        <v>57535</v>
      </c>
      <c r="Q67" s="5">
        <f t="shared" si="21"/>
        <v>3.5609141692004652E-2</v>
      </c>
      <c r="R67" s="5">
        <f t="shared" si="22"/>
        <v>-1.2516116733696967E-3</v>
      </c>
      <c r="S67" s="7">
        <f t="shared" si="23"/>
        <v>96905.588235294112</v>
      </c>
      <c r="T67" s="5">
        <v>0</v>
      </c>
      <c r="U67" s="5">
        <v>0</v>
      </c>
      <c r="V67" s="7">
        <v>186</v>
      </c>
      <c r="W67" s="5">
        <f t="shared" si="24"/>
        <v>3.2871756138532653E-2</v>
      </c>
      <c r="X67" s="5">
        <f t="shared" si="25"/>
        <v>7.9723331792373405E-4</v>
      </c>
      <c r="Y67" s="7">
        <f t="shared" si="26"/>
        <v>1352.4117647058824</v>
      </c>
      <c r="Z67" s="5">
        <v>-4.0598005270802581E-2</v>
      </c>
      <c r="AA67" s="5">
        <v>-3.978494623655917E-2</v>
      </c>
      <c r="AB67" s="7">
        <v>3182</v>
      </c>
      <c r="AC67" s="5">
        <f t="shared" si="27"/>
        <v>4.1488396757948083E-2</v>
      </c>
      <c r="AD67" s="5">
        <f t="shared" si="28"/>
        <v>-3.0797975711106197E-3</v>
      </c>
      <c r="AE67" s="7">
        <f t="shared" si="29"/>
        <v>35309.705882352944</v>
      </c>
    </row>
    <row r="68" spans="1:31" x14ac:dyDescent="0.2">
      <c r="A68" s="13">
        <v>42130</v>
      </c>
      <c r="B68" s="5">
        <v>-1.97579105765909E-2</v>
      </c>
      <c r="C68" s="5">
        <v>-1.9564002235886047E-2</v>
      </c>
      <c r="D68" s="7">
        <v>515</v>
      </c>
      <c r="E68" s="5">
        <f t="shared" si="15"/>
        <v>2.5573937333167967E-2</v>
      </c>
      <c r="F68" s="5">
        <f t="shared" si="16"/>
        <v>1.3430035379817049E-4</v>
      </c>
      <c r="G68" s="7">
        <f t="shared" si="17"/>
        <v>9088.7647058823532</v>
      </c>
      <c r="H68" s="5">
        <v>6.6815393334826471E-3</v>
      </c>
      <c r="I68" s="5">
        <v>6.7039106145251959E-3</v>
      </c>
      <c r="J68" s="7">
        <v>135353</v>
      </c>
      <c r="K68" s="5">
        <f t="shared" si="18"/>
        <v>4.4209211450898692E-2</v>
      </c>
      <c r="L68" s="5">
        <f t="shared" si="19"/>
        <v>2.4666169884872058E-3</v>
      </c>
      <c r="M68" s="7">
        <f t="shared" si="20"/>
        <v>332853.4117647059</v>
      </c>
      <c r="N68" s="5">
        <v>1.069528911674795E-2</v>
      </c>
      <c r="O68" s="5">
        <v>1.0752688172042901E-2</v>
      </c>
      <c r="P68" s="7">
        <v>120402</v>
      </c>
      <c r="Q68" s="5">
        <f t="shared" si="21"/>
        <v>3.5677337271732966E-2</v>
      </c>
      <c r="R68" s="5">
        <f t="shared" si="22"/>
        <v>-1.5623788577154695E-4</v>
      </c>
      <c r="S68" s="7">
        <f t="shared" si="23"/>
        <v>90264.058823529413</v>
      </c>
      <c r="T68" s="5">
        <v>-1.9418085857101738E-2</v>
      </c>
      <c r="U68" s="5">
        <v>-1.9230769230769332E-2</v>
      </c>
      <c r="V68" s="7">
        <v>33</v>
      </c>
      <c r="W68" s="5">
        <f t="shared" si="24"/>
        <v>3.3236539618885438E-2</v>
      </c>
      <c r="X68" s="5">
        <f t="shared" si="25"/>
        <v>-3.4500702661166235E-4</v>
      </c>
      <c r="Y68" s="7">
        <f t="shared" si="26"/>
        <v>1348.2941176470588</v>
      </c>
      <c r="Z68" s="5">
        <v>-1.5801683191322059E-2</v>
      </c>
      <c r="AA68" s="5">
        <v>-1.5677491601343799E-2</v>
      </c>
      <c r="AB68" s="7">
        <v>10484</v>
      </c>
      <c r="AC68" s="5">
        <f t="shared" si="27"/>
        <v>4.160309119198468E-2</v>
      </c>
      <c r="AD68" s="5">
        <f t="shared" si="28"/>
        <v>-3.8214736071204521E-3</v>
      </c>
      <c r="AE68" s="7">
        <f t="shared" si="29"/>
        <v>35002.176470588238</v>
      </c>
    </row>
    <row r="69" spans="1:31" x14ac:dyDescent="0.2">
      <c r="A69" s="13">
        <v>42131</v>
      </c>
      <c r="B69" s="5">
        <v>5.328674514024221E-2</v>
      </c>
      <c r="C69" s="5">
        <v>5.4732041049030837E-2</v>
      </c>
      <c r="D69" s="7">
        <v>3188</v>
      </c>
      <c r="E69" s="5">
        <f t="shared" si="15"/>
        <v>2.8641568204688932E-2</v>
      </c>
      <c r="F69" s="5">
        <f t="shared" si="16"/>
        <v>2.9336370611866658E-3</v>
      </c>
      <c r="G69" s="7">
        <f t="shared" si="17"/>
        <v>8950.176470588236</v>
      </c>
      <c r="H69" s="5">
        <v>2.8448307957517131E-2</v>
      </c>
      <c r="I69" s="5">
        <v>2.8856825749167567E-2</v>
      </c>
      <c r="J69" s="7">
        <v>476934</v>
      </c>
      <c r="K69" s="5">
        <f t="shared" si="18"/>
        <v>4.4651979939340752E-2</v>
      </c>
      <c r="L69" s="5">
        <f t="shared" si="19"/>
        <v>4.0720034490574061E-3</v>
      </c>
      <c r="M69" s="7">
        <f t="shared" si="20"/>
        <v>350926.82352941175</v>
      </c>
      <c r="N69" s="5">
        <v>6.6269294876090783E-3</v>
      </c>
      <c r="O69" s="5">
        <v>6.6489361702128606E-3</v>
      </c>
      <c r="P69" s="7">
        <v>169938</v>
      </c>
      <c r="Q69" s="5">
        <f t="shared" si="21"/>
        <v>3.5714248874516651E-2</v>
      </c>
      <c r="R69" s="5">
        <f t="shared" si="22"/>
        <v>1.5561789343671018E-4</v>
      </c>
      <c r="S69" s="7">
        <f t="shared" si="23"/>
        <v>98633.588235294112</v>
      </c>
      <c r="T69" s="5">
        <v>1.9418085857101731E-2</v>
      </c>
      <c r="U69" s="5">
        <v>1.9607843137255009E-2</v>
      </c>
      <c r="V69" s="7">
        <v>137</v>
      </c>
      <c r="W69" s="5">
        <f t="shared" si="24"/>
        <v>3.2566842546782805E-2</v>
      </c>
      <c r="X69" s="5">
        <f t="shared" si="25"/>
        <v>-1.1204820570996801E-3</v>
      </c>
      <c r="Y69" s="7">
        <f t="shared" si="26"/>
        <v>1350.1764705882354</v>
      </c>
      <c r="Z69" s="5">
        <v>0.12395783947341581</v>
      </c>
      <c r="AA69" s="5">
        <v>0.13196814562002274</v>
      </c>
      <c r="AB69" s="7">
        <v>12354</v>
      </c>
      <c r="AC69" s="5">
        <f t="shared" si="27"/>
        <v>5.1908662352958997E-2</v>
      </c>
      <c r="AD69" s="5">
        <f t="shared" si="28"/>
        <v>3.3448742290907809E-3</v>
      </c>
      <c r="AE69" s="7">
        <f t="shared" si="29"/>
        <v>35585.941176470587</v>
      </c>
    </row>
    <row r="70" spans="1:31" x14ac:dyDescent="0.2">
      <c r="A70" s="13">
        <v>42132</v>
      </c>
      <c r="B70" s="5">
        <v>-1.0816658707410232E-3</v>
      </c>
      <c r="C70" s="5">
        <v>-1.0810810810810581E-3</v>
      </c>
      <c r="D70" s="7">
        <v>1169</v>
      </c>
      <c r="E70" s="5">
        <f t="shared" si="15"/>
        <v>2.8536069431493727E-2</v>
      </c>
      <c r="F70" s="5">
        <f t="shared" si="16"/>
        <v>2.1062726081464388E-3</v>
      </c>
      <c r="G70" s="7">
        <f t="shared" si="17"/>
        <v>8949.9411764705874</v>
      </c>
      <c r="H70" s="5">
        <v>-2.84483079575172E-2</v>
      </c>
      <c r="I70" s="5">
        <v>-2.8047464940668801E-2</v>
      </c>
      <c r="J70" s="7">
        <v>234582</v>
      </c>
      <c r="K70" s="5">
        <f t="shared" si="18"/>
        <v>4.3938646255378834E-2</v>
      </c>
      <c r="L70" s="5">
        <f t="shared" si="19"/>
        <v>4.828209224570253E-3</v>
      </c>
      <c r="M70" s="7">
        <f t="shared" si="20"/>
        <v>338348.4117647059</v>
      </c>
      <c r="N70" s="5">
        <v>-9.290046907092642E-3</v>
      </c>
      <c r="O70" s="5">
        <v>-9.2470277410832604E-3</v>
      </c>
      <c r="P70" s="7">
        <v>61783</v>
      </c>
      <c r="Q70" s="5">
        <f t="shared" si="21"/>
        <v>3.3674675260546065E-2</v>
      </c>
      <c r="R70" s="5">
        <f t="shared" si="22"/>
        <v>2.4012937953091199E-3</v>
      </c>
      <c r="S70" s="7">
        <f t="shared" si="23"/>
        <v>100747.70588235294</v>
      </c>
      <c r="T70" s="5">
        <v>0</v>
      </c>
      <c r="U70" s="5">
        <v>0</v>
      </c>
      <c r="V70" s="7">
        <v>0</v>
      </c>
      <c r="W70" s="5">
        <f t="shared" si="24"/>
        <v>3.1540935996689896E-2</v>
      </c>
      <c r="X70" s="5">
        <f t="shared" si="25"/>
        <v>7.972333179237295E-4</v>
      </c>
      <c r="Y70" s="7">
        <f t="shared" si="26"/>
        <v>1332.6470588235295</v>
      </c>
      <c r="Z70" s="5">
        <v>-6.0484055358807041E-3</v>
      </c>
      <c r="AA70" s="5">
        <v>-6.03015075376885E-3</v>
      </c>
      <c r="AB70" s="7">
        <v>7040</v>
      </c>
      <c r="AC70" s="5">
        <f t="shared" si="27"/>
        <v>5.1608175596602392E-2</v>
      </c>
      <c r="AD70" s="5">
        <f t="shared" si="28"/>
        <v>1.4450723696309493E-3</v>
      </c>
      <c r="AE70" s="7">
        <f t="shared" si="29"/>
        <v>35105.76470588235</v>
      </c>
    </row>
    <row r="71" spans="1:31" x14ac:dyDescent="0.2">
      <c r="A71" s="13">
        <v>42135</v>
      </c>
      <c r="B71" s="5">
        <v>-3.5806634338489192E-2</v>
      </c>
      <c r="C71" s="5">
        <v>-3.5173160173160287E-2</v>
      </c>
      <c r="D71" s="7">
        <v>815</v>
      </c>
      <c r="E71" s="5">
        <f t="shared" si="15"/>
        <v>2.9917233666929336E-2</v>
      </c>
      <c r="F71" s="5">
        <f t="shared" si="16"/>
        <v>4.6370139431501631E-4</v>
      </c>
      <c r="G71" s="7">
        <f t="shared" si="17"/>
        <v>8819.176470588236</v>
      </c>
      <c r="H71" s="5">
        <v>-3.271583369935821E-2</v>
      </c>
      <c r="I71" s="5">
        <v>-3.2186459489456067E-2</v>
      </c>
      <c r="J71" s="7">
        <v>144962</v>
      </c>
      <c r="K71" s="5">
        <f t="shared" si="18"/>
        <v>4.481255606820643E-2</v>
      </c>
      <c r="L71" s="5">
        <f t="shared" si="19"/>
        <v>2.1992665924482641E-3</v>
      </c>
      <c r="M71" s="7">
        <f t="shared" si="20"/>
        <v>332470.82352941175</v>
      </c>
      <c r="N71" s="5">
        <v>0</v>
      </c>
      <c r="O71" s="5">
        <v>0</v>
      </c>
      <c r="P71" s="7">
        <v>41751</v>
      </c>
      <c r="Q71" s="5">
        <f t="shared" si="21"/>
        <v>3.3419163835203117E-2</v>
      </c>
      <c r="R71" s="5">
        <f t="shared" si="22"/>
        <v>3.2240139114702929E-3</v>
      </c>
      <c r="S71" s="7">
        <f t="shared" si="23"/>
        <v>98527.058823529413</v>
      </c>
      <c r="T71" s="5">
        <v>0</v>
      </c>
      <c r="U71" s="5">
        <v>0</v>
      </c>
      <c r="V71" s="7">
        <v>0</v>
      </c>
      <c r="W71" s="5">
        <f t="shared" si="24"/>
        <v>3.1342247246003117E-2</v>
      </c>
      <c r="X71" s="5">
        <f t="shared" si="25"/>
        <v>-5.653391056180034E-5</v>
      </c>
      <c r="Y71" s="7">
        <f t="shared" si="26"/>
        <v>938.64705882352939</v>
      </c>
      <c r="Z71" s="5">
        <v>-3.8129296831346887E-2</v>
      </c>
      <c r="AA71" s="5">
        <v>-3.7411526794742196E-2</v>
      </c>
      <c r="AB71" s="7">
        <v>6923</v>
      </c>
      <c r="AC71" s="5">
        <f t="shared" si="27"/>
        <v>5.1613436343972155E-2</v>
      </c>
      <c r="AD71" s="5">
        <f t="shared" si="28"/>
        <v>1.4386056457368615E-3</v>
      </c>
      <c r="AE71" s="7">
        <f t="shared" si="29"/>
        <v>34862.76470588235</v>
      </c>
    </row>
    <row r="72" spans="1:31" x14ac:dyDescent="0.2">
      <c r="A72" s="13">
        <v>42136</v>
      </c>
      <c r="B72" s="5">
        <v>8.9336160873926141E-3</v>
      </c>
      <c r="C72" s="5">
        <v>8.9736399326977093E-3</v>
      </c>
      <c r="D72" s="7">
        <v>2887</v>
      </c>
      <c r="E72" s="5">
        <f t="shared" si="15"/>
        <v>2.9835643238996307E-2</v>
      </c>
      <c r="F72" s="5">
        <f t="shared" si="16"/>
        <v>1.6244215901749116E-3</v>
      </c>
      <c r="G72" s="7">
        <f t="shared" si="17"/>
        <v>8597.5882352941171</v>
      </c>
      <c r="H72" s="5">
        <v>1.0268202027199792E-2</v>
      </c>
      <c r="I72" s="5">
        <v>1.0321100917431176E-2</v>
      </c>
      <c r="J72" s="7">
        <v>100946</v>
      </c>
      <c r="K72" s="5">
        <f t="shared" si="18"/>
        <v>4.148155231459897E-2</v>
      </c>
      <c r="L72" s="5">
        <f t="shared" si="19"/>
        <v>-1.2551257287135957E-3</v>
      </c>
      <c r="M72" s="7">
        <f t="shared" si="20"/>
        <v>314842.64705882355</v>
      </c>
      <c r="N72" s="5">
        <v>1.5873349156290163E-2</v>
      </c>
      <c r="O72" s="5">
        <v>1.6000000000000014E-2</v>
      </c>
      <c r="P72" s="7">
        <v>93154</v>
      </c>
      <c r="Q72" s="5">
        <f t="shared" si="21"/>
        <v>3.3460255183913164E-2</v>
      </c>
      <c r="R72" s="5">
        <f t="shared" si="22"/>
        <v>3.3350202162673696E-3</v>
      </c>
      <c r="S72" s="7">
        <f t="shared" si="23"/>
        <v>100595.23529411765</v>
      </c>
      <c r="T72" s="5">
        <v>5.6089466651043578E-2</v>
      </c>
      <c r="U72" s="5">
        <v>5.7692307692307654E-2</v>
      </c>
      <c r="V72" s="7">
        <v>170</v>
      </c>
      <c r="W72" s="5">
        <f t="shared" si="24"/>
        <v>3.4172991066987707E-2</v>
      </c>
      <c r="X72" s="5">
        <f t="shared" si="25"/>
        <v>3.2428464806760573E-3</v>
      </c>
      <c r="Y72" s="7">
        <f t="shared" si="26"/>
        <v>926.70588235294122</v>
      </c>
      <c r="Z72" s="5">
        <v>-4.2105325363434943E-3</v>
      </c>
      <c r="AA72" s="5">
        <v>-4.2016806722689117E-3</v>
      </c>
      <c r="AB72" s="7">
        <v>14773</v>
      </c>
      <c r="AC72" s="5">
        <f t="shared" si="27"/>
        <v>5.0785995584530071E-2</v>
      </c>
      <c r="AD72" s="5">
        <f t="shared" si="28"/>
        <v>3.2528611880132717E-3</v>
      </c>
      <c r="AE72" s="7">
        <f t="shared" si="29"/>
        <v>34982</v>
      </c>
    </row>
    <row r="73" spans="1:31" x14ac:dyDescent="0.2">
      <c r="A73" s="13">
        <v>42137</v>
      </c>
      <c r="B73" s="5">
        <v>3.3296368164484006E-3</v>
      </c>
      <c r="C73" s="5">
        <v>3.335186214563773E-3</v>
      </c>
      <c r="D73" s="7">
        <v>1706</v>
      </c>
      <c r="E73" s="5">
        <f t="shared" si="15"/>
        <v>2.9483137351353265E-2</v>
      </c>
      <c r="F73" s="5">
        <f t="shared" si="16"/>
        <v>2.7690697517238545E-3</v>
      </c>
      <c r="G73" s="7">
        <f t="shared" si="17"/>
        <v>8668.6470588235297</v>
      </c>
      <c r="H73" s="5">
        <v>-1.7172717373744435E-2</v>
      </c>
      <c r="I73" s="5">
        <v>-1.7026106696935338E-2</v>
      </c>
      <c r="J73" s="7">
        <v>288582</v>
      </c>
      <c r="K73" s="5">
        <f t="shared" si="18"/>
        <v>3.7211864751433593E-2</v>
      </c>
      <c r="L73" s="5">
        <f t="shared" si="19"/>
        <v>2.1443049242105749E-3</v>
      </c>
      <c r="M73" s="7">
        <f t="shared" si="20"/>
        <v>314088.5294117647</v>
      </c>
      <c r="N73" s="5">
        <v>1.0443959161083314E-2</v>
      </c>
      <c r="O73" s="5">
        <v>1.0498687664042003E-2</v>
      </c>
      <c r="P73" s="7">
        <v>118509</v>
      </c>
      <c r="Q73" s="5">
        <f t="shared" si="21"/>
        <v>3.1317308292506285E-2</v>
      </c>
      <c r="R73" s="5">
        <f t="shared" si="22"/>
        <v>6.4528774856720296E-3</v>
      </c>
      <c r="S73" s="7">
        <f t="shared" si="23"/>
        <v>100558.88235294117</v>
      </c>
      <c r="T73" s="5">
        <v>0</v>
      </c>
      <c r="U73" s="5">
        <v>0</v>
      </c>
      <c r="V73" s="7">
        <v>11098</v>
      </c>
      <c r="W73" s="5">
        <f t="shared" si="24"/>
        <v>3.4166395997255773E-2</v>
      </c>
      <c r="X73" s="5">
        <f t="shared" si="25"/>
        <v>3.2993803912378496E-3</v>
      </c>
      <c r="Y73" s="7">
        <f t="shared" si="26"/>
        <v>1449.2352941176471</v>
      </c>
      <c r="Z73" s="5">
        <v>-3.9811604995063393E-2</v>
      </c>
      <c r="AA73" s="5">
        <v>-3.9029535864978822E-2</v>
      </c>
      <c r="AB73" s="7">
        <v>88778</v>
      </c>
      <c r="AC73" s="5">
        <f t="shared" si="27"/>
        <v>5.1850061332213447E-2</v>
      </c>
      <c r="AD73" s="5">
        <f t="shared" si="28"/>
        <v>9.7661672264869569E-4</v>
      </c>
      <c r="AE73" s="7">
        <f t="shared" si="29"/>
        <v>39730.294117647056</v>
      </c>
    </row>
    <row r="74" spans="1:31" x14ac:dyDescent="0.2">
      <c r="A74" s="13">
        <v>42138</v>
      </c>
      <c r="B74" s="5">
        <v>-8.3449719321807576E-3</v>
      </c>
      <c r="C74" s="5">
        <v>-8.3102493074793428E-3</v>
      </c>
      <c r="D74" s="7">
        <v>2200</v>
      </c>
      <c r="E74" s="5">
        <f t="shared" si="15"/>
        <v>2.9598184033449035E-2</v>
      </c>
      <c r="F74" s="5">
        <f t="shared" si="16"/>
        <v>2.3123589778389036E-3</v>
      </c>
      <c r="G74" s="7">
        <f t="shared" si="17"/>
        <v>8560.823529411764</v>
      </c>
      <c r="H74" s="5">
        <v>-1.2783439625674926E-2</v>
      </c>
      <c r="I74" s="5">
        <v>-1.2702078521939887E-2</v>
      </c>
      <c r="J74" s="7">
        <v>223808</v>
      </c>
      <c r="K74" s="5">
        <f t="shared" si="18"/>
        <v>3.7340723232819485E-2</v>
      </c>
      <c r="L74" s="5">
        <f t="shared" si="19"/>
        <v>1.7456334203597968E-3</v>
      </c>
      <c r="M74" s="7">
        <f t="shared" si="20"/>
        <v>296259.35294117645</v>
      </c>
      <c r="N74" s="5">
        <v>-7.2710347887083943E-2</v>
      </c>
      <c r="O74" s="5">
        <v>-7.0129870129870139E-2</v>
      </c>
      <c r="P74" s="7">
        <v>118747</v>
      </c>
      <c r="Q74" s="5">
        <f t="shared" si="21"/>
        <v>3.669350706978651E-2</v>
      </c>
      <c r="R74" s="5">
        <f t="shared" si="22"/>
        <v>1.5820444823601092E-3</v>
      </c>
      <c r="S74" s="7">
        <f t="shared" si="23"/>
        <v>105109.05882352941</v>
      </c>
      <c r="T74" s="5">
        <v>6.3434739221749515E-3</v>
      </c>
      <c r="U74" s="5">
        <v>6.3636363636363899E-3</v>
      </c>
      <c r="V74" s="7">
        <v>2209</v>
      </c>
      <c r="W74" s="5">
        <f t="shared" si="24"/>
        <v>3.4162749635580573E-2</v>
      </c>
      <c r="X74" s="5">
        <f t="shared" si="25"/>
        <v>3.6725259160716702E-3</v>
      </c>
      <c r="Y74" s="7">
        <f t="shared" si="26"/>
        <v>1303.7647058823529</v>
      </c>
      <c r="Z74" s="5">
        <v>3.1336978004091166E-2</v>
      </c>
      <c r="AA74" s="5">
        <v>3.1833150384193099E-2</v>
      </c>
      <c r="AB74" s="7">
        <v>1263</v>
      </c>
      <c r="AC74" s="5">
        <f t="shared" si="27"/>
        <v>5.1658000260641844E-2</v>
      </c>
      <c r="AD74" s="5">
        <f t="shared" si="28"/>
        <v>6.9241979118887635E-4</v>
      </c>
      <c r="AE74" s="7">
        <f t="shared" si="29"/>
        <v>39120.411764705881</v>
      </c>
    </row>
    <row r="75" spans="1:31" x14ac:dyDescent="0.2">
      <c r="A75" s="13">
        <v>42139</v>
      </c>
      <c r="B75" s="5">
        <v>-1.5766092338675732E-2</v>
      </c>
      <c r="C75" s="5">
        <v>-1.5642458100558525E-2</v>
      </c>
      <c r="D75" s="7">
        <v>995</v>
      </c>
      <c r="E75" s="5">
        <f t="shared" si="15"/>
        <v>2.9596393855498268E-2</v>
      </c>
      <c r="F75" s="5">
        <f t="shared" si="16"/>
        <v>2.315113604948545E-3</v>
      </c>
      <c r="G75" s="7">
        <f t="shared" si="17"/>
        <v>8565.5294117647063</v>
      </c>
      <c r="H75" s="5">
        <v>-3.3296773913069087E-2</v>
      </c>
      <c r="I75" s="5">
        <v>-3.2748538011696034E-2</v>
      </c>
      <c r="J75" s="7">
        <v>151165</v>
      </c>
      <c r="K75" s="5">
        <f t="shared" si="18"/>
        <v>3.8054088917799628E-2</v>
      </c>
      <c r="L75" s="5">
        <f t="shared" si="19"/>
        <v>7.8766706232847943E-4</v>
      </c>
      <c r="M75" s="7">
        <f t="shared" si="20"/>
        <v>280886</v>
      </c>
      <c r="N75" s="5">
        <v>0</v>
      </c>
      <c r="O75" s="5">
        <v>0</v>
      </c>
      <c r="P75" s="7">
        <v>479419</v>
      </c>
      <c r="Q75" s="5">
        <f t="shared" si="21"/>
        <v>3.2006633666173151E-2</v>
      </c>
      <c r="R75" s="5">
        <f t="shared" si="22"/>
        <v>5.5982661618868505E-3</v>
      </c>
      <c r="S75" s="7">
        <f t="shared" si="23"/>
        <v>121827.88235294117</v>
      </c>
      <c r="T75" s="5">
        <v>3.8108288648658895E-2</v>
      </c>
      <c r="U75" s="5">
        <v>3.884372177055101E-2</v>
      </c>
      <c r="V75" s="7">
        <v>1050</v>
      </c>
      <c r="W75" s="5">
        <f t="shared" si="24"/>
        <v>3.5083993834467427E-2</v>
      </c>
      <c r="X75" s="5">
        <f t="shared" si="25"/>
        <v>5.0161033582993477E-3</v>
      </c>
      <c r="Y75" s="7">
        <f t="shared" si="26"/>
        <v>1286.9411764705883</v>
      </c>
      <c r="Z75" s="5">
        <v>-5.3535447793240147E-2</v>
      </c>
      <c r="AA75" s="5">
        <v>-5.2127659574468015E-2</v>
      </c>
      <c r="AB75" s="7">
        <v>12704</v>
      </c>
      <c r="AC75" s="5">
        <f t="shared" si="27"/>
        <v>5.1297735825273277E-2</v>
      </c>
      <c r="AD75" s="5">
        <f t="shared" si="28"/>
        <v>9.9872567849516999E-4</v>
      </c>
      <c r="AE75" s="7">
        <f t="shared" si="29"/>
        <v>38272.176470588238</v>
      </c>
    </row>
    <row r="76" spans="1:31" x14ac:dyDescent="0.2">
      <c r="A76" s="13">
        <v>42142</v>
      </c>
      <c r="B76" s="5">
        <v>3.7866439339341862E-2</v>
      </c>
      <c r="C76" s="5">
        <v>3.8592508513053334E-2</v>
      </c>
      <c r="D76" s="7">
        <v>1895</v>
      </c>
      <c r="E76" s="5">
        <f t="shared" si="15"/>
        <v>3.0033124393068173E-2</v>
      </c>
      <c r="F76" s="5">
        <f t="shared" si="16"/>
        <v>2.6966876247050604E-3</v>
      </c>
      <c r="G76" s="7">
        <f t="shared" si="17"/>
        <v>7097.7647058823532</v>
      </c>
      <c r="H76" s="5">
        <v>3.3296773913069025E-2</v>
      </c>
      <c r="I76" s="5">
        <v>3.3857315598549112E-2</v>
      </c>
      <c r="J76" s="7">
        <v>135643</v>
      </c>
      <c r="K76" s="5">
        <f t="shared" si="18"/>
        <v>3.7474560059550195E-2</v>
      </c>
      <c r="L76" s="5">
        <f t="shared" si="19"/>
        <v>4.9496868533855064E-3</v>
      </c>
      <c r="M76" s="7">
        <f t="shared" si="20"/>
        <v>254554.35294117648</v>
      </c>
      <c r="N76" s="5">
        <v>3.2970019237569897E-2</v>
      </c>
      <c r="O76" s="5">
        <v>3.3519553072625725E-2</v>
      </c>
      <c r="P76" s="7">
        <v>159011</v>
      </c>
      <c r="Q76" s="5">
        <f t="shared" si="21"/>
        <v>2.9934899556112751E-2</v>
      </c>
      <c r="R76" s="5">
        <f t="shared" si="22"/>
        <v>4.1152110945241495E-3</v>
      </c>
      <c r="S76" s="7">
        <f t="shared" si="23"/>
        <v>124647.29411764706</v>
      </c>
      <c r="T76" s="5">
        <v>0</v>
      </c>
      <c r="U76" s="5">
        <v>0</v>
      </c>
      <c r="V76" s="7">
        <v>51</v>
      </c>
      <c r="W76" s="5">
        <f t="shared" si="24"/>
        <v>3.4725902004336416E-2</v>
      </c>
      <c r="X76" s="5">
        <f t="shared" si="25"/>
        <v>5.9141899542280787E-3</v>
      </c>
      <c r="Y76" s="7">
        <f t="shared" si="26"/>
        <v>1231.1176470588234</v>
      </c>
      <c r="Z76" s="5">
        <v>1.0050335853501506E-2</v>
      </c>
      <c r="AA76" s="5">
        <v>1.0101010101010111E-2</v>
      </c>
      <c r="AB76" s="7">
        <v>13450</v>
      </c>
      <c r="AC76" s="5">
        <f t="shared" si="27"/>
        <v>5.1088103874944939E-2</v>
      </c>
      <c r="AD76" s="5">
        <f t="shared" si="28"/>
        <v>2.6742572986327901E-3</v>
      </c>
      <c r="AE76" s="7">
        <f t="shared" si="29"/>
        <v>38143.647058823532</v>
      </c>
    </row>
    <row r="77" spans="1:31" x14ac:dyDescent="0.2">
      <c r="A77" s="13">
        <v>42143</v>
      </c>
      <c r="B77" s="5">
        <v>2.7487583465563643E-2</v>
      </c>
      <c r="C77" s="5">
        <v>2.7868852459016283E-2</v>
      </c>
      <c r="D77" s="7">
        <v>1755</v>
      </c>
      <c r="E77" s="5">
        <f t="shared" si="15"/>
        <v>2.7475398660523308E-2</v>
      </c>
      <c r="F77" s="5">
        <f t="shared" si="16"/>
        <v>9.7752418992117299E-4</v>
      </c>
      <c r="G77" s="7">
        <f t="shared" si="17"/>
        <v>6094.0588235294117</v>
      </c>
      <c r="H77" s="5">
        <v>3.4486176071169189E-2</v>
      </c>
      <c r="I77" s="5">
        <v>3.5087719298245487E-2</v>
      </c>
      <c r="J77" s="7">
        <v>314750</v>
      </c>
      <c r="K77" s="5">
        <f t="shared" si="18"/>
        <v>3.4044399175601099E-2</v>
      </c>
      <c r="L77" s="5">
        <f t="shared" si="19"/>
        <v>2.6510756118650566E-3</v>
      </c>
      <c r="M77" s="7">
        <f t="shared" si="20"/>
        <v>198029.82352941178</v>
      </c>
      <c r="N77" s="5">
        <v>-2.7063615977430252E-3</v>
      </c>
      <c r="O77" s="5">
        <v>-2.7027027027027649E-3</v>
      </c>
      <c r="P77" s="7">
        <v>39023</v>
      </c>
      <c r="Q77" s="5">
        <f t="shared" si="21"/>
        <v>2.9908361468211353E-2</v>
      </c>
      <c r="R77" s="5">
        <f t="shared" si="22"/>
        <v>4.2123254340072549E-3</v>
      </c>
      <c r="S77" s="7">
        <f t="shared" si="23"/>
        <v>124475.88235294117</v>
      </c>
      <c r="T77" s="5">
        <v>1.6386740114772525E-2</v>
      </c>
      <c r="U77" s="5">
        <v>1.652173913043474E-2</v>
      </c>
      <c r="V77" s="7">
        <v>6014</v>
      </c>
      <c r="W77" s="5">
        <f t="shared" si="24"/>
        <v>3.4778866950035361E-2</v>
      </c>
      <c r="X77" s="5">
        <f t="shared" si="25"/>
        <v>6.8781158433323447E-3</v>
      </c>
      <c r="Y77" s="7">
        <f t="shared" si="26"/>
        <v>1579.4117647058824</v>
      </c>
      <c r="Z77" s="5">
        <v>3.9220713153281329E-2</v>
      </c>
      <c r="AA77" s="5">
        <v>4.0000000000000036E-2</v>
      </c>
      <c r="AB77" s="7">
        <v>1120</v>
      </c>
      <c r="AC77" s="5">
        <f t="shared" si="27"/>
        <v>5.0467665051042859E-2</v>
      </c>
      <c r="AD77" s="5">
        <f t="shared" si="28"/>
        <v>1.9812078104509399E-3</v>
      </c>
      <c r="AE77" s="7">
        <f t="shared" si="29"/>
        <v>36887.529411764706</v>
      </c>
    </row>
    <row r="78" spans="1:31" x14ac:dyDescent="0.2">
      <c r="A78" s="13">
        <v>42144</v>
      </c>
      <c r="B78" s="5">
        <v>-1.1764841579586257E-2</v>
      </c>
      <c r="C78" s="5">
        <v>-1.1695906432748478E-2</v>
      </c>
      <c r="D78" s="7">
        <v>900</v>
      </c>
      <c r="E78" s="5">
        <f t="shared" si="15"/>
        <v>2.7648477286892997E-2</v>
      </c>
      <c r="F78" s="5">
        <f t="shared" si="16"/>
        <v>3.1727978437173207E-4</v>
      </c>
      <c r="G78" s="7">
        <f t="shared" si="17"/>
        <v>5609.4705882352937</v>
      </c>
      <c r="H78" s="5">
        <v>-5.6657375356771959E-3</v>
      </c>
      <c r="I78" s="5">
        <v>-5.6497175141241732E-3</v>
      </c>
      <c r="J78" s="7">
        <v>138381</v>
      </c>
      <c r="K78" s="5">
        <f t="shared" si="18"/>
        <v>2.5954208665526512E-2</v>
      </c>
      <c r="L78" s="5">
        <f t="shared" si="19"/>
        <v>-2.8700096570254199E-3</v>
      </c>
      <c r="M78" s="7">
        <f t="shared" si="20"/>
        <v>192672.41176470587</v>
      </c>
      <c r="N78" s="5">
        <v>-5.4347959859569446E-3</v>
      </c>
      <c r="O78" s="5">
        <v>-5.4200542005420106E-3</v>
      </c>
      <c r="P78" s="7">
        <v>36580</v>
      </c>
      <c r="Q78" s="5">
        <f t="shared" si="21"/>
        <v>2.9748534104323633E-2</v>
      </c>
      <c r="R78" s="5">
        <f t="shared" si="22"/>
        <v>2.7899231512418217E-3</v>
      </c>
      <c r="S78" s="7">
        <f t="shared" si="23"/>
        <v>122458.4705882353</v>
      </c>
      <c r="T78" s="5">
        <v>-5.9929824749388412E-2</v>
      </c>
      <c r="U78" s="5">
        <v>-5.8169375534644976E-2</v>
      </c>
      <c r="V78" s="7">
        <v>2412</v>
      </c>
      <c r="W78" s="5">
        <f t="shared" si="24"/>
        <v>3.7825457470576335E-2</v>
      </c>
      <c r="X78" s="5">
        <f t="shared" si="25"/>
        <v>1.6800123098075308E-3</v>
      </c>
      <c r="Y78" s="7">
        <f t="shared" si="26"/>
        <v>1710.1764705882354</v>
      </c>
      <c r="Z78" s="5">
        <v>1.3793322132335769E-2</v>
      </c>
      <c r="AA78" s="5">
        <v>1.3888888888888782E-2</v>
      </c>
      <c r="AB78" s="7">
        <v>6822</v>
      </c>
      <c r="AC78" s="5">
        <f t="shared" si="27"/>
        <v>4.9502370783926476E-2</v>
      </c>
      <c r="AD78" s="5">
        <f t="shared" si="28"/>
        <v>4.9776102765263716E-3</v>
      </c>
      <c r="AE78" s="7">
        <f t="shared" si="29"/>
        <v>35285.352941176468</v>
      </c>
    </row>
    <row r="79" spans="1:31" x14ac:dyDescent="0.2">
      <c r="A79" s="13">
        <v>42145</v>
      </c>
      <c r="B79" s="5">
        <v>1.8124163487878844E-2</v>
      </c>
      <c r="C79" s="5">
        <v>1.8289402904787512E-2</v>
      </c>
      <c r="D79" s="7">
        <v>1009</v>
      </c>
      <c r="E79" s="5">
        <f t="shared" si="15"/>
        <v>2.7794845151193046E-2</v>
      </c>
      <c r="F79" s="5">
        <f t="shared" si="16"/>
        <v>5.6201251793010763E-4</v>
      </c>
      <c r="G79" s="7">
        <f t="shared" si="17"/>
        <v>4441.588235294118</v>
      </c>
      <c r="H79" s="5">
        <v>-5.6980211146377786E-3</v>
      </c>
      <c r="I79" s="5">
        <v>-5.6818181818182618E-3</v>
      </c>
      <c r="J79" s="7">
        <v>135085</v>
      </c>
      <c r="K79" s="5">
        <f t="shared" si="18"/>
        <v>2.5804602886853569E-2</v>
      </c>
      <c r="L79" s="5">
        <f t="shared" si="19"/>
        <v>-2.3717065236672961E-3</v>
      </c>
      <c r="M79" s="7">
        <f t="shared" si="20"/>
        <v>189081.70588235295</v>
      </c>
      <c r="N79" s="5">
        <v>2.688333939344045E-2</v>
      </c>
      <c r="O79" s="5">
        <v>2.7247956403269779E-2</v>
      </c>
      <c r="P79" s="7">
        <v>114924</v>
      </c>
      <c r="Q79" s="5">
        <f t="shared" si="21"/>
        <v>2.5537159399949723E-2</v>
      </c>
      <c r="R79" s="5">
        <f t="shared" si="22"/>
        <v>3.9137555827862121E-4</v>
      </c>
      <c r="S79" s="7">
        <f t="shared" si="23"/>
        <v>121184.76470588235</v>
      </c>
      <c r="T79" s="5">
        <v>1.8148825308225342E-3</v>
      </c>
      <c r="U79" s="5">
        <v>1.8165304268846117E-3</v>
      </c>
      <c r="V79" s="7">
        <v>363</v>
      </c>
      <c r="W79" s="5">
        <f t="shared" si="24"/>
        <v>3.76943217728802E-2</v>
      </c>
      <c r="X79" s="5">
        <f t="shared" si="25"/>
        <v>9.6786783993779713E-4</v>
      </c>
      <c r="Y79" s="7">
        <f t="shared" si="26"/>
        <v>1725.0588235294117</v>
      </c>
      <c r="Z79" s="5">
        <v>0</v>
      </c>
      <c r="AA79" s="5">
        <v>0</v>
      </c>
      <c r="AB79" s="7">
        <v>29041</v>
      </c>
      <c r="AC79" s="5">
        <f t="shared" si="27"/>
        <v>4.2824486933069957E-2</v>
      </c>
      <c r="AD79" s="5">
        <f t="shared" si="28"/>
        <v>-9.8348839582693137E-4</v>
      </c>
      <c r="AE79" s="7">
        <f t="shared" si="29"/>
        <v>36279.882352941175</v>
      </c>
    </row>
    <row r="80" spans="1:31" x14ac:dyDescent="0.2">
      <c r="A80" s="13">
        <v>42146</v>
      </c>
      <c r="B80" s="5">
        <v>-2.5683594734695347E-2</v>
      </c>
      <c r="C80" s="5">
        <v>-2.5356576862123635E-2</v>
      </c>
      <c r="D80" s="7">
        <v>1340</v>
      </c>
      <c r="E80" s="5">
        <f t="shared" si="15"/>
        <v>2.8515969151818237E-2</v>
      </c>
      <c r="F80" s="5">
        <f t="shared" si="16"/>
        <v>-9.487871723460892E-4</v>
      </c>
      <c r="G80" s="7">
        <f t="shared" si="17"/>
        <v>3583.6470588235293</v>
      </c>
      <c r="H80" s="5">
        <v>5.6980211146377959E-3</v>
      </c>
      <c r="I80" s="5">
        <v>5.7142857142857958E-3</v>
      </c>
      <c r="J80" s="7">
        <v>250761</v>
      </c>
      <c r="K80" s="5">
        <f t="shared" si="18"/>
        <v>2.5006415982937603E-2</v>
      </c>
      <c r="L80" s="5">
        <f t="shared" si="19"/>
        <v>-3.9970841957816602E-4</v>
      </c>
      <c r="M80" s="7">
        <f t="shared" si="20"/>
        <v>194802.9411764706</v>
      </c>
      <c r="N80" s="5">
        <v>-6.6533844907365478E-3</v>
      </c>
      <c r="O80" s="5">
        <v>-6.6312997347479866E-3</v>
      </c>
      <c r="P80" s="7">
        <v>12109</v>
      </c>
      <c r="Q80" s="5">
        <f t="shared" si="21"/>
        <v>2.4903713282831964E-2</v>
      </c>
      <c r="R80" s="5">
        <f t="shared" si="22"/>
        <v>1.3504982091710512E-3</v>
      </c>
      <c r="S80" s="7">
        <f t="shared" si="23"/>
        <v>113771.11764705883</v>
      </c>
      <c r="T80" s="5">
        <v>0</v>
      </c>
      <c r="U80" s="5">
        <v>0</v>
      </c>
      <c r="V80" s="7">
        <v>0</v>
      </c>
      <c r="W80" s="5">
        <f t="shared" si="24"/>
        <v>3.4697036418040471E-2</v>
      </c>
      <c r="X80" s="5">
        <f t="shared" si="25"/>
        <v>-2.4546001237525498E-3</v>
      </c>
      <c r="Y80" s="7">
        <f t="shared" si="26"/>
        <v>1719.1764705882354</v>
      </c>
      <c r="Z80" s="5">
        <v>-2.1097054238495955E-3</v>
      </c>
      <c r="AA80" s="5">
        <v>-2.1074815595363561E-3</v>
      </c>
      <c r="AB80" s="7">
        <v>5038</v>
      </c>
      <c r="AC80" s="5">
        <f t="shared" si="27"/>
        <v>4.2615247429951389E-2</v>
      </c>
      <c r="AD80" s="5">
        <f t="shared" si="28"/>
        <v>-2.0149104987375998E-3</v>
      </c>
      <c r="AE80" s="7">
        <f t="shared" si="29"/>
        <v>18257.941176470587</v>
      </c>
    </row>
    <row r="81" spans="1:31" x14ac:dyDescent="0.2">
      <c r="A81" s="13">
        <v>42149</v>
      </c>
      <c r="B81" s="5">
        <v>-9.2568044605321146E-3</v>
      </c>
      <c r="C81" s="5">
        <v>-9.2140921409213095E-3</v>
      </c>
      <c r="D81" s="7">
        <v>1398</v>
      </c>
      <c r="E81" s="5">
        <f t="shared" si="15"/>
        <v>2.8337625471679024E-2</v>
      </c>
      <c r="F81" s="5">
        <f t="shared" si="16"/>
        <v>-2.2724360670844912E-3</v>
      </c>
      <c r="G81" s="7">
        <f t="shared" si="17"/>
        <v>2825.5882352941176</v>
      </c>
      <c r="H81" s="5">
        <v>-5.6089466651043585E-2</v>
      </c>
      <c r="I81" s="5">
        <v>-5.4545454545454591E-2</v>
      </c>
      <c r="J81" s="7">
        <v>80178</v>
      </c>
      <c r="K81" s="5">
        <f t="shared" si="18"/>
        <v>2.8337729529295527E-2</v>
      </c>
      <c r="L81" s="5">
        <f t="shared" si="19"/>
        <v>-2.9642026786121161E-3</v>
      </c>
      <c r="M81" s="7">
        <f t="shared" si="20"/>
        <v>193908.11764705883</v>
      </c>
      <c r="N81" s="5">
        <v>-3.6713844624393352E-2</v>
      </c>
      <c r="O81" s="5">
        <v>-3.6048064085447321E-2</v>
      </c>
      <c r="P81" s="7">
        <v>20876</v>
      </c>
      <c r="Q81" s="5">
        <f t="shared" si="21"/>
        <v>2.6396271961149676E-2</v>
      </c>
      <c r="R81" s="5">
        <f t="shared" si="22"/>
        <v>-1.4485321944346693E-3</v>
      </c>
      <c r="S81" s="7">
        <f t="shared" si="23"/>
        <v>112937.76470588235</v>
      </c>
      <c r="T81" s="5">
        <v>-2.7235604670404925E-3</v>
      </c>
      <c r="U81" s="5">
        <v>-2.7198549410697519E-3</v>
      </c>
      <c r="V81" s="7">
        <v>2470</v>
      </c>
      <c r="W81" s="5">
        <f t="shared" si="24"/>
        <v>2.3820151593389981E-2</v>
      </c>
      <c r="X81" s="5">
        <f t="shared" si="25"/>
        <v>3.299380391237857E-3</v>
      </c>
      <c r="Y81" s="7">
        <f t="shared" si="26"/>
        <v>1852.7058823529412</v>
      </c>
      <c r="Z81" s="5">
        <v>-3.1729270405776088E-3</v>
      </c>
      <c r="AA81" s="5">
        <v>-3.167898627243931E-3</v>
      </c>
      <c r="AB81" s="7">
        <v>2460</v>
      </c>
      <c r="AC81" s="5">
        <f t="shared" si="27"/>
        <v>4.2228933437002882E-2</v>
      </c>
      <c r="AD81" s="5">
        <f t="shared" si="28"/>
        <v>-3.3899478139197813E-3</v>
      </c>
      <c r="AE81" s="7">
        <f t="shared" si="29"/>
        <v>18343.823529411766</v>
      </c>
    </row>
    <row r="82" spans="1:31" x14ac:dyDescent="0.2">
      <c r="A82" s="13">
        <v>42150</v>
      </c>
      <c r="B82" s="5">
        <v>1.0934938213712896E-3</v>
      </c>
      <c r="C82" s="5">
        <v>1.094091903719889E-3</v>
      </c>
      <c r="D82" s="7">
        <v>1680</v>
      </c>
      <c r="E82" s="5">
        <f t="shared" si="15"/>
        <v>2.82673141779534E-2</v>
      </c>
      <c r="F82" s="5">
        <f t="shared" si="16"/>
        <v>-2.5784616338752875E-3</v>
      </c>
      <c r="G82" s="7">
        <f t="shared" si="17"/>
        <v>2073.8823529411766</v>
      </c>
      <c r="H82" s="5">
        <v>2.140390866315358E-2</v>
      </c>
      <c r="I82" s="5">
        <v>2.1634615384615349E-2</v>
      </c>
      <c r="J82" s="7">
        <v>553148</v>
      </c>
      <c r="K82" s="5">
        <f t="shared" si="18"/>
        <v>2.5848701808334994E-2</v>
      </c>
      <c r="L82" s="5">
        <f t="shared" si="19"/>
        <v>-4.5911631100779412E-3</v>
      </c>
      <c r="M82" s="7">
        <f t="shared" si="20"/>
        <v>212056.9411764706</v>
      </c>
      <c r="N82" s="5">
        <v>2.1918685707646275E-2</v>
      </c>
      <c r="O82" s="5">
        <v>2.2160664819944619E-2</v>
      </c>
      <c r="P82" s="7">
        <v>15636</v>
      </c>
      <c r="Q82" s="5">
        <f t="shared" si="21"/>
        <v>2.6773154589303082E-2</v>
      </c>
      <c r="R82" s="5">
        <f t="shared" si="22"/>
        <v>-9.487871723460969E-4</v>
      </c>
      <c r="S82" s="7">
        <f t="shared" si="23"/>
        <v>106812.88235294117</v>
      </c>
      <c r="T82" s="5">
        <v>0</v>
      </c>
      <c r="U82" s="5">
        <v>0</v>
      </c>
      <c r="V82" s="7">
        <v>228</v>
      </c>
      <c r="W82" s="5">
        <f t="shared" si="24"/>
        <v>2.3820151593389981E-2</v>
      </c>
      <c r="X82" s="5">
        <f t="shared" si="25"/>
        <v>3.299380391237857E-3</v>
      </c>
      <c r="Y82" s="7">
        <f t="shared" si="26"/>
        <v>1630.8235294117646</v>
      </c>
      <c r="Z82" s="5">
        <v>-1.4941579998198914E-2</v>
      </c>
      <c r="AA82" s="5">
        <v>-1.4830508474576167E-2</v>
      </c>
      <c r="AB82" s="7">
        <v>7236</v>
      </c>
      <c r="AC82" s="5">
        <f t="shared" si="27"/>
        <v>4.1728441106987695E-2</v>
      </c>
      <c r="AD82" s="5">
        <f t="shared" si="28"/>
        <v>-2.4164721025567238E-3</v>
      </c>
      <c r="AE82" s="7">
        <f t="shared" si="29"/>
        <v>17095.235294117647</v>
      </c>
    </row>
    <row r="83" spans="1:31" x14ac:dyDescent="0.2">
      <c r="A83" s="13">
        <v>42151</v>
      </c>
      <c r="B83" s="5">
        <v>3.4375027910557007E-2</v>
      </c>
      <c r="C83" s="5">
        <v>3.4972677595628443E-2</v>
      </c>
      <c r="D83" s="7">
        <v>920</v>
      </c>
      <c r="E83" s="5">
        <f t="shared" si="15"/>
        <v>2.4120882592814134E-2</v>
      </c>
      <c r="F83" s="5">
        <f t="shared" si="16"/>
        <v>3.420750505093861E-3</v>
      </c>
      <c r="G83" s="7">
        <f t="shared" si="17"/>
        <v>1692.2941176470588</v>
      </c>
      <c r="H83" s="5">
        <v>2.2106775781029778E-2</v>
      </c>
      <c r="I83" s="5">
        <v>2.235294117647053E-2</v>
      </c>
      <c r="J83" s="7">
        <v>261995</v>
      </c>
      <c r="K83" s="5">
        <f t="shared" si="18"/>
        <v>2.6028901864091632E-2</v>
      </c>
      <c r="L83" s="5">
        <f t="shared" si="19"/>
        <v>-1.7998404535022805E-3</v>
      </c>
      <c r="M83" s="7">
        <f t="shared" si="20"/>
        <v>223081.11764705883</v>
      </c>
      <c r="N83" s="5">
        <v>-1.0899290458035742E-2</v>
      </c>
      <c r="O83" s="5">
        <v>-1.0840108401084021E-2</v>
      </c>
      <c r="P83" s="7">
        <v>117924</v>
      </c>
      <c r="Q83" s="5">
        <f t="shared" si="21"/>
        <v>2.5912022361477039E-2</v>
      </c>
      <c r="R83" s="5">
        <f t="shared" si="22"/>
        <v>-3.1379988650172205E-3</v>
      </c>
      <c r="S83" s="7">
        <f t="shared" si="23"/>
        <v>104548.29411764706</v>
      </c>
      <c r="T83" s="5">
        <v>0</v>
      </c>
      <c r="U83" s="5">
        <v>0</v>
      </c>
      <c r="V83" s="7">
        <v>613</v>
      </c>
      <c r="W83" s="5">
        <f t="shared" si="24"/>
        <v>2.3820151593389981E-2</v>
      </c>
      <c r="X83" s="5">
        <f t="shared" si="25"/>
        <v>3.299380391237857E-3</v>
      </c>
      <c r="Y83" s="7">
        <f t="shared" si="26"/>
        <v>1590.2352941176471</v>
      </c>
      <c r="Z83" s="5">
        <v>5.1347056383208592E-2</v>
      </c>
      <c r="AA83" s="5">
        <v>5.2688172043010677E-2</v>
      </c>
      <c r="AB83" s="7">
        <v>2210</v>
      </c>
      <c r="AC83" s="5">
        <f t="shared" si="27"/>
        <v>4.2392021472459879E-2</v>
      </c>
      <c r="AD83" s="5">
        <f t="shared" si="28"/>
        <v>3.020415081365223E-3</v>
      </c>
      <c r="AE83" s="7">
        <f t="shared" si="29"/>
        <v>13228.117647058823</v>
      </c>
    </row>
    <row r="84" spans="1:31" x14ac:dyDescent="0.2">
      <c r="A84" s="13">
        <v>42152</v>
      </c>
      <c r="B84" s="5">
        <v>-3.4375027910556938E-2</v>
      </c>
      <c r="C84" s="5">
        <v>-3.3790918690601926E-2</v>
      </c>
      <c r="D84" s="7">
        <v>1410</v>
      </c>
      <c r="E84" s="5">
        <f t="shared" si="15"/>
        <v>2.5809623745255684E-2</v>
      </c>
      <c r="F84" s="5">
        <f t="shared" si="16"/>
        <v>1.3328919015733885E-3</v>
      </c>
      <c r="G84" s="7">
        <f t="shared" si="17"/>
        <v>1516.5882352941176</v>
      </c>
      <c r="H84" s="5">
        <v>-3.513241879818578E-2</v>
      </c>
      <c r="I84" s="5">
        <v>-3.4522439585730605E-2</v>
      </c>
      <c r="J84" s="7">
        <v>80984</v>
      </c>
      <c r="K84" s="5">
        <f t="shared" si="18"/>
        <v>2.7251824361012793E-2</v>
      </c>
      <c r="L84" s="5">
        <f t="shared" si="19"/>
        <v>-3.800765400449956E-3</v>
      </c>
      <c r="M84" s="7">
        <f t="shared" si="20"/>
        <v>218073.9411764706</v>
      </c>
      <c r="N84" s="5">
        <v>1.3689256073417405E-3</v>
      </c>
      <c r="O84" s="5">
        <v>1.3698630136986009E-3</v>
      </c>
      <c r="P84" s="7">
        <v>51634</v>
      </c>
      <c r="Q84" s="5">
        <f t="shared" si="21"/>
        <v>2.4639950962427905E-2</v>
      </c>
      <c r="R84" s="5">
        <f t="shared" si="22"/>
        <v>-1.0369161813713718E-3</v>
      </c>
      <c r="S84" s="7">
        <f t="shared" si="23"/>
        <v>104201.17647058824</v>
      </c>
      <c r="T84" s="5">
        <v>0</v>
      </c>
      <c r="U84" s="5">
        <v>0</v>
      </c>
      <c r="V84" s="7">
        <v>683</v>
      </c>
      <c r="W84" s="5">
        <f t="shared" si="24"/>
        <v>2.3820151593389981E-2</v>
      </c>
      <c r="X84" s="5">
        <f t="shared" si="25"/>
        <v>3.299380391237857E-3</v>
      </c>
      <c r="Y84" s="7">
        <f t="shared" si="26"/>
        <v>1619.4705882352941</v>
      </c>
      <c r="Z84" s="5">
        <v>1.9221633780953658E-2</v>
      </c>
      <c r="AA84" s="5">
        <v>1.9407558733401449E-2</v>
      </c>
      <c r="AB84" s="7">
        <v>9268</v>
      </c>
      <c r="AC84" s="5">
        <f t="shared" si="27"/>
        <v>4.1005148428556161E-2</v>
      </c>
      <c r="AD84" s="5">
        <f t="shared" si="28"/>
        <v>6.5392173785273544E-3</v>
      </c>
      <c r="AE84" s="7">
        <f t="shared" si="29"/>
        <v>13586.117647058823</v>
      </c>
    </row>
    <row r="85" spans="1:31" x14ac:dyDescent="0.2">
      <c r="A85" s="13">
        <v>42153</v>
      </c>
      <c r="B85" s="5">
        <v>-2.1881846805527827E-3</v>
      </c>
      <c r="C85" s="5">
        <v>-2.1857923497267291E-3</v>
      </c>
      <c r="D85" s="7">
        <v>1570</v>
      </c>
      <c r="E85" s="5">
        <f t="shared" si="15"/>
        <v>2.5258172355559994E-2</v>
      </c>
      <c r="F85" s="5">
        <f t="shared" si="16"/>
        <v>2.3664051895756297E-3</v>
      </c>
      <c r="G85" s="7">
        <f t="shared" si="17"/>
        <v>1578.6470588235295</v>
      </c>
      <c r="H85" s="5">
        <v>2.4721682780347112E-2</v>
      </c>
      <c r="I85" s="5">
        <v>2.5029797377830638E-2</v>
      </c>
      <c r="J85" s="7">
        <v>301602</v>
      </c>
      <c r="K85" s="5">
        <f t="shared" si="18"/>
        <v>2.802576750261665E-2</v>
      </c>
      <c r="L85" s="5">
        <f t="shared" si="19"/>
        <v>-2.7395804918108695E-3</v>
      </c>
      <c r="M85" s="7">
        <f t="shared" si="20"/>
        <v>227853.29411764705</v>
      </c>
      <c r="N85" s="5">
        <v>-1.933761915015806E-2</v>
      </c>
      <c r="O85" s="5">
        <v>-1.9151846785225676E-2</v>
      </c>
      <c r="P85" s="7">
        <v>48709</v>
      </c>
      <c r="Q85" s="5">
        <f t="shared" si="21"/>
        <v>2.4822178384322494E-2</v>
      </c>
      <c r="R85" s="5">
        <f t="shared" si="22"/>
        <v>-2.8035578441305492E-3</v>
      </c>
      <c r="S85" s="7">
        <f t="shared" si="23"/>
        <v>99983.941176470587</v>
      </c>
      <c r="T85" s="5">
        <v>4.4451762570833796E-2</v>
      </c>
      <c r="U85" s="5">
        <v>4.5454545454545456E-2</v>
      </c>
      <c r="V85" s="7">
        <v>3559</v>
      </c>
      <c r="W85" s="5">
        <f t="shared" si="24"/>
        <v>2.5019825925022058E-2</v>
      </c>
      <c r="X85" s="5">
        <f t="shared" si="25"/>
        <v>7.0564302987634773E-3</v>
      </c>
      <c r="Y85" s="7">
        <f t="shared" si="26"/>
        <v>1826.8823529411766</v>
      </c>
      <c r="Z85" s="5">
        <v>-2.8457204814035499E-2</v>
      </c>
      <c r="AA85" s="5">
        <v>-2.8056112224448922E-2</v>
      </c>
      <c r="AB85" s="7">
        <v>7932</v>
      </c>
      <c r="AC85" s="5">
        <f t="shared" si="27"/>
        <v>4.1547388292521192E-2</v>
      </c>
      <c r="AD85" s="5">
        <f t="shared" si="28"/>
        <v>5.7947749301324441E-3</v>
      </c>
      <c r="AE85" s="7">
        <f t="shared" si="29"/>
        <v>13436</v>
      </c>
    </row>
    <row r="87" spans="1:31" x14ac:dyDescent="0.2">
      <c r="A87" s="199" t="s">
        <v>39</v>
      </c>
      <c r="B87" s="209" t="s">
        <v>58</v>
      </c>
      <c r="C87" s="210"/>
      <c r="D87" s="210"/>
      <c r="E87" s="210"/>
      <c r="F87" s="210"/>
      <c r="G87" s="211"/>
      <c r="H87" s="209" t="s">
        <v>54</v>
      </c>
      <c r="I87" s="210"/>
      <c r="J87" s="210"/>
      <c r="K87" s="210"/>
      <c r="L87" s="210"/>
      <c r="M87" s="211"/>
      <c r="N87" s="209" t="s">
        <v>55</v>
      </c>
      <c r="O87" s="210"/>
      <c r="P87" s="210"/>
      <c r="Q87" s="210"/>
      <c r="R87" s="210"/>
      <c r="S87" s="211"/>
      <c r="T87" s="209" t="s">
        <v>53</v>
      </c>
      <c r="U87" s="210"/>
      <c r="V87" s="210"/>
      <c r="W87" s="210"/>
      <c r="X87" s="210"/>
      <c r="Y87" s="211"/>
      <c r="Z87" s="209" t="s">
        <v>52</v>
      </c>
      <c r="AA87" s="210"/>
      <c r="AB87" s="210"/>
      <c r="AC87" s="210"/>
      <c r="AD87" s="210"/>
      <c r="AE87" s="211"/>
    </row>
    <row r="88" spans="1:31" ht="48" x14ac:dyDescent="0.2">
      <c r="A88" s="200"/>
      <c r="B88" s="142" t="s">
        <v>41</v>
      </c>
      <c r="C88" s="142" t="s">
        <v>96</v>
      </c>
      <c r="D88" s="142" t="s">
        <v>98</v>
      </c>
      <c r="E88" s="142" t="s">
        <v>95</v>
      </c>
      <c r="F88" s="142" t="s">
        <v>94</v>
      </c>
      <c r="G88" s="142" t="s">
        <v>93</v>
      </c>
      <c r="H88" s="142" t="s">
        <v>41</v>
      </c>
      <c r="I88" s="142" t="s">
        <v>96</v>
      </c>
      <c r="J88" s="142" t="s">
        <v>98</v>
      </c>
      <c r="K88" s="142" t="s">
        <v>95</v>
      </c>
      <c r="L88" s="142" t="s">
        <v>94</v>
      </c>
      <c r="M88" s="142" t="s">
        <v>93</v>
      </c>
      <c r="N88" s="142" t="s">
        <v>41</v>
      </c>
      <c r="O88" s="142" t="s">
        <v>96</v>
      </c>
      <c r="P88" s="142" t="s">
        <v>98</v>
      </c>
      <c r="Q88" s="142" t="s">
        <v>95</v>
      </c>
      <c r="R88" s="142" t="s">
        <v>94</v>
      </c>
      <c r="S88" s="142" t="s">
        <v>93</v>
      </c>
      <c r="T88" s="142" t="s">
        <v>41</v>
      </c>
      <c r="U88" s="142" t="s">
        <v>96</v>
      </c>
      <c r="V88" s="142" t="s">
        <v>98</v>
      </c>
      <c r="W88" s="142" t="s">
        <v>95</v>
      </c>
      <c r="X88" s="142" t="s">
        <v>94</v>
      </c>
      <c r="Y88" s="142" t="s">
        <v>93</v>
      </c>
      <c r="Z88" s="142" t="s">
        <v>41</v>
      </c>
      <c r="AA88" s="142" t="s">
        <v>96</v>
      </c>
      <c r="AB88" s="142" t="s">
        <v>98</v>
      </c>
      <c r="AC88" s="142" t="s">
        <v>95</v>
      </c>
      <c r="AD88" s="142" t="s">
        <v>94</v>
      </c>
      <c r="AE88" s="142" t="s">
        <v>93</v>
      </c>
    </row>
    <row r="89" spans="1:31" x14ac:dyDescent="0.2">
      <c r="A89" s="29">
        <v>42093</v>
      </c>
      <c r="B89" s="5">
        <v>1.4815085785140682E-2</v>
      </c>
      <c r="C89" s="5">
        <v>1.492537313432837E-2</v>
      </c>
      <c r="D89" s="7">
        <v>6331</v>
      </c>
      <c r="E89" s="30"/>
      <c r="F89" s="30"/>
      <c r="G89" s="30"/>
      <c r="H89" s="5">
        <v>1.0512580389086987E-2</v>
      </c>
      <c r="I89" s="5">
        <v>1.0568031704095121E-2</v>
      </c>
      <c r="J89" s="7">
        <v>12483</v>
      </c>
      <c r="K89" s="30"/>
      <c r="L89" s="30"/>
      <c r="M89" s="30"/>
      <c r="N89" s="5">
        <v>2.3953241022492796E-2</v>
      </c>
      <c r="O89" s="5">
        <v>2.4242424242424267E-2</v>
      </c>
      <c r="P89" s="7">
        <v>10527</v>
      </c>
      <c r="Q89" s="30"/>
      <c r="R89" s="30"/>
      <c r="S89" s="30"/>
      <c r="T89" s="5">
        <v>7.2662600375913725E-2</v>
      </c>
      <c r="U89" s="5">
        <v>7.5367647058823387E-2</v>
      </c>
      <c r="V89" s="7">
        <v>100004</v>
      </c>
      <c r="W89" s="30"/>
      <c r="X89" s="30"/>
      <c r="Y89" s="30"/>
      <c r="Z89" s="5">
        <v>-5.5248759319699156E-3</v>
      </c>
      <c r="AA89" s="5">
        <v>-5.5096418732782423E-3</v>
      </c>
      <c r="AB89" s="7">
        <v>17753</v>
      </c>
      <c r="AC89" s="30"/>
      <c r="AD89" s="30"/>
      <c r="AE89" s="30"/>
    </row>
    <row r="90" spans="1:31" x14ac:dyDescent="0.2">
      <c r="A90" s="29">
        <v>42094</v>
      </c>
      <c r="B90" s="5">
        <v>-3.7457562534900443E-2</v>
      </c>
      <c r="C90" s="5">
        <v>-3.676470588235297E-2</v>
      </c>
      <c r="D90" s="7">
        <v>17429</v>
      </c>
      <c r="E90" s="30"/>
      <c r="F90" s="30"/>
      <c r="G90" s="30"/>
      <c r="H90" s="5">
        <v>-6.5574005461591636E-3</v>
      </c>
      <c r="I90" s="5">
        <v>-6.5359477124183937E-3</v>
      </c>
      <c r="J90" s="7">
        <v>93254</v>
      </c>
      <c r="K90" s="30"/>
      <c r="L90" s="30"/>
      <c r="M90" s="30"/>
      <c r="N90" s="5">
        <v>-6.7303681896106554E-2</v>
      </c>
      <c r="O90" s="5">
        <v>-6.5088757396449634E-2</v>
      </c>
      <c r="P90" s="7">
        <v>86250</v>
      </c>
      <c r="Q90" s="30"/>
      <c r="R90" s="30"/>
      <c r="S90" s="30"/>
      <c r="T90" s="5">
        <v>-4.3675063502661531E-2</v>
      </c>
      <c r="U90" s="5">
        <v>-4.2735042735042736E-2</v>
      </c>
      <c r="V90" s="7">
        <v>34414</v>
      </c>
      <c r="W90" s="30"/>
      <c r="X90" s="30"/>
      <c r="Y90" s="30"/>
      <c r="Z90" s="5">
        <v>1.1019395249610698E-2</v>
      </c>
      <c r="AA90" s="5">
        <v>1.108033240997231E-2</v>
      </c>
      <c r="AB90" s="7">
        <v>22629</v>
      </c>
      <c r="AC90" s="30"/>
      <c r="AD90" s="30"/>
      <c r="AE90" s="30"/>
    </row>
    <row r="91" spans="1:31" x14ac:dyDescent="0.2">
      <c r="A91" s="29">
        <v>42095</v>
      </c>
      <c r="B91" s="5">
        <v>-4.6883585898850499E-2</v>
      </c>
      <c r="C91" s="5">
        <v>-4.5801526717557293E-2</v>
      </c>
      <c r="D91" s="7">
        <v>18591</v>
      </c>
      <c r="E91" s="30"/>
      <c r="F91" s="30"/>
      <c r="G91" s="37"/>
      <c r="H91" s="5">
        <v>-4.5768418455580703E-2</v>
      </c>
      <c r="I91" s="5">
        <v>-4.4736842105263144E-2</v>
      </c>
      <c r="J91" s="7">
        <v>39737</v>
      </c>
      <c r="K91" s="30"/>
      <c r="L91" s="30"/>
      <c r="M91" s="30"/>
      <c r="N91" s="5">
        <v>1.2578782206860185E-2</v>
      </c>
      <c r="O91" s="5">
        <v>1.2658227848101276E-2</v>
      </c>
      <c r="P91" s="7">
        <v>30320</v>
      </c>
      <c r="Q91" s="30"/>
      <c r="R91" s="30"/>
      <c r="S91" s="30"/>
      <c r="T91" s="5">
        <v>-3.6367644170874715E-2</v>
      </c>
      <c r="U91" s="5">
        <v>-3.5714285714285587E-2</v>
      </c>
      <c r="V91" s="7">
        <v>38894</v>
      </c>
      <c r="W91" s="30"/>
      <c r="X91" s="30"/>
      <c r="Y91" s="30"/>
      <c r="Z91" s="5">
        <v>-0.10080469912196564</v>
      </c>
      <c r="AA91" s="5">
        <v>-9.5890410958904132E-2</v>
      </c>
      <c r="AB91" s="7">
        <v>40287</v>
      </c>
      <c r="AC91" s="30"/>
      <c r="AD91" s="30"/>
      <c r="AE91" s="30"/>
    </row>
    <row r="92" spans="1:31" x14ac:dyDescent="0.2">
      <c r="A92" s="29">
        <v>42096</v>
      </c>
      <c r="B92" s="5">
        <v>5.4488185284069776E-2</v>
      </c>
      <c r="C92" s="5">
        <v>5.600000000000005E-2</v>
      </c>
      <c r="D92" s="7">
        <v>13570</v>
      </c>
      <c r="E92" s="30"/>
      <c r="F92" s="30"/>
      <c r="G92" s="37"/>
      <c r="H92" s="5">
        <v>2.9852963149681343E-2</v>
      </c>
      <c r="I92" s="5">
        <v>3.0303030303030391E-2</v>
      </c>
      <c r="J92" s="7">
        <v>98733</v>
      </c>
      <c r="K92" s="30"/>
      <c r="L92" s="30"/>
      <c r="M92" s="30"/>
      <c r="N92" s="5">
        <v>6.2305497506361628E-3</v>
      </c>
      <c r="O92" s="5">
        <v>6.2500000000000056E-3</v>
      </c>
      <c r="P92" s="7">
        <v>8902</v>
      </c>
      <c r="Q92" s="30"/>
      <c r="R92" s="30"/>
      <c r="S92" s="30"/>
      <c r="T92" s="5">
        <v>3.6968618813259814E-3</v>
      </c>
      <c r="U92" s="5">
        <v>3.7037037037036245E-3</v>
      </c>
      <c r="V92" s="7">
        <v>29090</v>
      </c>
      <c r="W92" s="30"/>
      <c r="X92" s="30"/>
      <c r="Y92" s="30"/>
      <c r="Z92" s="5">
        <v>-2.4541108916117545E-2</v>
      </c>
      <c r="AA92" s="5">
        <v>-2.4242424242424131E-2</v>
      </c>
      <c r="AB92" s="7">
        <v>36548</v>
      </c>
      <c r="AC92" s="30"/>
      <c r="AD92" s="30"/>
      <c r="AE92" s="30"/>
    </row>
    <row r="93" spans="1:31" x14ac:dyDescent="0.2">
      <c r="A93" s="13">
        <v>42101</v>
      </c>
      <c r="B93" s="5">
        <v>-1.5267472130788421E-2</v>
      </c>
      <c r="C93" s="5">
        <v>-1.5151515151515164E-2</v>
      </c>
      <c r="D93" s="7">
        <v>5298</v>
      </c>
      <c r="E93" s="31"/>
      <c r="F93" s="31"/>
      <c r="G93" s="31"/>
      <c r="H93" s="5">
        <v>-2.4358443832040527E-2</v>
      </c>
      <c r="I93" s="5">
        <v>-2.4064171122994731E-2</v>
      </c>
      <c r="J93" s="7">
        <v>43775</v>
      </c>
      <c r="K93" s="31"/>
      <c r="L93" s="31"/>
      <c r="M93" s="31"/>
      <c r="N93" s="5">
        <v>0</v>
      </c>
      <c r="O93" s="5">
        <v>0</v>
      </c>
      <c r="P93" s="7">
        <v>4868</v>
      </c>
      <c r="Q93" s="31"/>
      <c r="R93" s="31"/>
      <c r="S93" s="31"/>
      <c r="T93" s="5">
        <v>4.1559729706794717E-2</v>
      </c>
      <c r="U93" s="5">
        <v>4.243542435424362E-2</v>
      </c>
      <c r="V93" s="7">
        <v>16381</v>
      </c>
      <c r="W93" s="31"/>
      <c r="X93" s="31"/>
      <c r="Y93" s="31"/>
      <c r="Z93" s="5">
        <v>1.8462062839735352E-2</v>
      </c>
      <c r="AA93" s="5">
        <v>1.8633540372670686E-2</v>
      </c>
      <c r="AB93" s="7">
        <v>48683</v>
      </c>
      <c r="AC93" s="31"/>
      <c r="AD93" s="31"/>
      <c r="AE93" s="31"/>
    </row>
    <row r="94" spans="1:31" x14ac:dyDescent="0.2">
      <c r="A94" s="13">
        <v>42102</v>
      </c>
      <c r="B94" s="5">
        <v>0</v>
      </c>
      <c r="C94" s="5">
        <v>0</v>
      </c>
      <c r="D94" s="7">
        <v>9692</v>
      </c>
      <c r="E94" s="31"/>
      <c r="F94" s="31"/>
      <c r="G94" s="31"/>
      <c r="H94" s="5">
        <v>1.3605652055778678E-2</v>
      </c>
      <c r="I94" s="5">
        <v>1.3698630136986375E-2</v>
      </c>
      <c r="J94" s="7">
        <v>109992</v>
      </c>
      <c r="K94" s="31"/>
      <c r="L94" s="31"/>
      <c r="M94" s="31"/>
      <c r="N94" s="5">
        <v>6.6090111828990064E-2</v>
      </c>
      <c r="O94" s="5">
        <v>6.8322981366459548E-2</v>
      </c>
      <c r="P94" s="7">
        <v>66367</v>
      </c>
      <c r="Q94" s="31"/>
      <c r="R94" s="31"/>
      <c r="S94" s="31"/>
      <c r="T94" s="5">
        <v>-3.5461030067505889E-3</v>
      </c>
      <c r="U94" s="5">
        <v>-3.539823008849639E-3</v>
      </c>
      <c r="V94" s="7">
        <v>5139</v>
      </c>
      <c r="W94" s="31"/>
      <c r="X94" s="31"/>
      <c r="Y94" s="31"/>
      <c r="Z94" s="5">
        <v>-9.1884260544061423E-3</v>
      </c>
      <c r="AA94" s="5">
        <v>-9.1463414634145746E-3</v>
      </c>
      <c r="AB94" s="7">
        <v>29950</v>
      </c>
      <c r="AC94" s="31"/>
      <c r="AD94" s="31"/>
      <c r="AE94" s="31"/>
    </row>
    <row r="95" spans="1:31" x14ac:dyDescent="0.2">
      <c r="A95" s="13">
        <v>42103</v>
      </c>
      <c r="B95" s="5">
        <v>0</v>
      </c>
      <c r="C95" s="5">
        <v>0</v>
      </c>
      <c r="D95" s="7">
        <v>10077</v>
      </c>
      <c r="E95" s="31"/>
      <c r="F95" s="31"/>
      <c r="G95" s="31"/>
      <c r="H95" s="5">
        <v>-2.1858793812499073E-2</v>
      </c>
      <c r="I95" s="5">
        <v>-2.162162162162164E-2</v>
      </c>
      <c r="J95" s="7">
        <v>132191</v>
      </c>
      <c r="K95" s="31"/>
      <c r="L95" s="31"/>
      <c r="M95" s="31"/>
      <c r="N95" s="5">
        <v>0</v>
      </c>
      <c r="O95" s="5">
        <v>0</v>
      </c>
      <c r="P95" s="7">
        <v>384554</v>
      </c>
      <c r="Q95" s="31"/>
      <c r="R95" s="31"/>
      <c r="S95" s="31"/>
      <c r="T95" s="5">
        <v>1.2356732688905428E-2</v>
      </c>
      <c r="U95" s="5">
        <v>1.2433392539964526E-2</v>
      </c>
      <c r="V95" s="7">
        <v>12955</v>
      </c>
      <c r="W95" s="31"/>
      <c r="X95" s="31"/>
      <c r="Y95" s="31"/>
      <c r="Z95" s="5">
        <v>3.0721990369700588E-3</v>
      </c>
      <c r="AA95" s="5">
        <v>3.0769230769230114E-3</v>
      </c>
      <c r="AB95" s="7">
        <v>17934</v>
      </c>
      <c r="AC95" s="31"/>
      <c r="AD95" s="31"/>
      <c r="AE95" s="31"/>
    </row>
    <row r="96" spans="1:31" x14ac:dyDescent="0.2">
      <c r="A96" s="13">
        <v>42108</v>
      </c>
      <c r="B96" s="5">
        <v>-2.3347363996991177E-2</v>
      </c>
      <c r="C96" s="5">
        <v>-2.3076923076923096E-2</v>
      </c>
      <c r="D96" s="7">
        <v>4100</v>
      </c>
      <c r="E96" s="31"/>
      <c r="F96" s="31"/>
      <c r="G96" s="31"/>
      <c r="H96" s="5">
        <v>-4.0879546820924213E-2</v>
      </c>
      <c r="I96" s="5">
        <v>-4.0055248618784532E-2</v>
      </c>
      <c r="J96" s="7">
        <v>142231</v>
      </c>
      <c r="K96" s="31"/>
      <c r="L96" s="31"/>
      <c r="M96" s="31"/>
      <c r="N96" s="5">
        <v>-1.7595761890379601E-2</v>
      </c>
      <c r="O96" s="5">
        <v>-1.7441860465116296E-2</v>
      </c>
      <c r="P96" s="7">
        <v>529546</v>
      </c>
      <c r="Q96" s="31"/>
      <c r="R96" s="31"/>
      <c r="S96" s="31"/>
      <c r="T96" s="5">
        <v>-1.5915455305899457E-2</v>
      </c>
      <c r="U96" s="5">
        <v>-1.5789473684210503E-2</v>
      </c>
      <c r="V96" s="7">
        <v>2972</v>
      </c>
      <c r="W96" s="31"/>
      <c r="X96" s="31"/>
      <c r="Y96" s="31"/>
      <c r="Z96" s="5">
        <v>-1.8576385572935304E-2</v>
      </c>
      <c r="AA96" s="5">
        <v>-1.8404907975460003E-2</v>
      </c>
      <c r="AB96" s="7">
        <v>2994</v>
      </c>
      <c r="AC96" s="31"/>
      <c r="AD96" s="31"/>
      <c r="AE96" s="31"/>
    </row>
    <row r="97" spans="1:31" x14ac:dyDescent="0.2">
      <c r="A97" s="13">
        <v>42109</v>
      </c>
      <c r="B97" s="5">
        <v>-7.9051795071132611E-3</v>
      </c>
      <c r="C97" s="5">
        <v>-7.8740157480315029E-3</v>
      </c>
      <c r="D97" s="7">
        <v>13408</v>
      </c>
      <c r="E97" s="31"/>
      <c r="F97" s="31"/>
      <c r="G97" s="31"/>
      <c r="H97" s="5">
        <v>2.5569574849503823E-2</v>
      </c>
      <c r="I97" s="5">
        <v>2.5899280575539526E-2</v>
      </c>
      <c r="J97" s="7">
        <v>35362</v>
      </c>
      <c r="K97" s="31"/>
      <c r="L97" s="31"/>
      <c r="M97" s="31"/>
      <c r="N97" s="5">
        <v>-4.2302379690689271E-2</v>
      </c>
      <c r="O97" s="5">
        <v>-4.1420118343195172E-2</v>
      </c>
      <c r="P97" s="7">
        <v>19912</v>
      </c>
      <c r="Q97" s="31"/>
      <c r="R97" s="31"/>
      <c r="S97" s="31"/>
      <c r="T97" s="5">
        <v>7.1048256237445824E-3</v>
      </c>
      <c r="U97" s="5">
        <v>7.1301247771836064E-3</v>
      </c>
      <c r="V97" s="7">
        <v>39622</v>
      </c>
      <c r="W97" s="31"/>
      <c r="X97" s="31"/>
      <c r="Y97" s="31"/>
      <c r="Z97" s="5">
        <v>-1.8928009885518911E-2</v>
      </c>
      <c r="AA97" s="5">
        <v>-1.8750000000000017E-2</v>
      </c>
      <c r="AB97" s="7">
        <v>31590</v>
      </c>
      <c r="AC97" s="31"/>
      <c r="AD97" s="31"/>
      <c r="AE97" s="31"/>
    </row>
    <row r="98" spans="1:31" x14ac:dyDescent="0.2">
      <c r="A98" s="13">
        <v>42110</v>
      </c>
      <c r="B98" s="5">
        <v>-1.6000341346441189E-2</v>
      </c>
      <c r="C98" s="5">
        <v>-1.5873015873015886E-2</v>
      </c>
      <c r="D98" s="7">
        <v>5701</v>
      </c>
      <c r="E98" s="31"/>
      <c r="F98" s="31"/>
      <c r="G98" s="31"/>
      <c r="H98" s="5">
        <v>6.988148633928163E-3</v>
      </c>
      <c r="I98" s="5">
        <v>7.0126227208975912E-3</v>
      </c>
      <c r="J98" s="7">
        <v>15083</v>
      </c>
      <c r="K98" s="31"/>
      <c r="L98" s="31"/>
      <c r="M98" s="31"/>
      <c r="N98" s="5">
        <v>-1.2422519998557209E-2</v>
      </c>
      <c r="O98" s="5">
        <v>-1.2345679012345689E-2</v>
      </c>
      <c r="P98" s="7">
        <v>22787</v>
      </c>
      <c r="Q98" s="31"/>
      <c r="R98" s="31"/>
      <c r="S98" s="31"/>
      <c r="T98" s="5">
        <v>8.8106296821549059E-3</v>
      </c>
      <c r="U98" s="5">
        <v>8.8495575221238625E-3</v>
      </c>
      <c r="V98" s="7">
        <v>6876</v>
      </c>
      <c r="W98" s="31"/>
      <c r="X98" s="31"/>
      <c r="Y98" s="31"/>
      <c r="Z98" s="5">
        <v>1.5798116876591092E-2</v>
      </c>
      <c r="AA98" s="5">
        <v>1.5923566878980836E-2</v>
      </c>
      <c r="AB98" s="7">
        <v>10950</v>
      </c>
      <c r="AC98" s="31"/>
      <c r="AD98" s="31"/>
      <c r="AE98" s="31"/>
    </row>
    <row r="99" spans="1:31" x14ac:dyDescent="0.2">
      <c r="A99" s="13">
        <v>42111</v>
      </c>
      <c r="B99" s="5">
        <v>1.600034134644112E-2</v>
      </c>
      <c r="C99" s="5">
        <v>1.612903225806453E-2</v>
      </c>
      <c r="D99" s="7">
        <v>160</v>
      </c>
      <c r="E99" s="31"/>
      <c r="F99" s="31"/>
      <c r="G99" s="31"/>
      <c r="H99" s="5">
        <v>2.7816429618767705E-3</v>
      </c>
      <c r="I99" s="5">
        <v>2.7855153203343265E-3</v>
      </c>
      <c r="J99" s="7">
        <v>14069</v>
      </c>
      <c r="K99" s="31"/>
      <c r="L99" s="31"/>
      <c r="M99" s="31"/>
      <c r="N99" s="5">
        <v>-1.8928009885518911E-2</v>
      </c>
      <c r="O99" s="5">
        <v>-1.8750000000000017E-2</v>
      </c>
      <c r="P99" s="7">
        <v>24601</v>
      </c>
      <c r="Q99" s="31"/>
      <c r="R99" s="31"/>
      <c r="S99" s="31"/>
      <c r="T99" s="5">
        <v>5.0459613638973146E-2</v>
      </c>
      <c r="U99" s="5">
        <v>5.1754385964912268E-2</v>
      </c>
      <c r="V99" s="7">
        <v>31415</v>
      </c>
      <c r="W99" s="31"/>
      <c r="X99" s="31"/>
      <c r="Y99" s="31"/>
      <c r="Z99" s="5">
        <v>6.2500203451713258E-3</v>
      </c>
      <c r="AA99" s="5">
        <v>6.269592476489034E-3</v>
      </c>
      <c r="AB99" s="7">
        <v>25549</v>
      </c>
      <c r="AC99" s="31"/>
      <c r="AD99" s="31"/>
      <c r="AE99" s="31"/>
    </row>
    <row r="100" spans="1:31" x14ac:dyDescent="0.2">
      <c r="A100" s="13">
        <v>42114</v>
      </c>
      <c r="B100" s="5">
        <v>0</v>
      </c>
      <c r="C100" s="5">
        <v>0</v>
      </c>
      <c r="D100" s="7">
        <v>3085</v>
      </c>
      <c r="E100" s="31"/>
      <c r="F100" s="31"/>
      <c r="G100" s="31"/>
      <c r="H100" s="5">
        <v>3.1444832707658063E-2</v>
      </c>
      <c r="I100" s="5">
        <v>3.194444444444438E-2</v>
      </c>
      <c r="J100" s="7">
        <v>26164</v>
      </c>
      <c r="K100" s="31"/>
      <c r="L100" s="31"/>
      <c r="M100" s="31"/>
      <c r="N100" s="5">
        <v>1.8928009885518859E-2</v>
      </c>
      <c r="O100" s="5">
        <v>1.9108280254777087E-2</v>
      </c>
      <c r="P100" s="7">
        <v>12534</v>
      </c>
      <c r="Q100" s="31"/>
      <c r="R100" s="31"/>
      <c r="S100" s="31"/>
      <c r="T100" s="5">
        <v>1.5722293242328055E-2</v>
      </c>
      <c r="U100" s="5">
        <v>1.5846538782318557E-2</v>
      </c>
      <c r="V100" s="7">
        <v>40472</v>
      </c>
      <c r="W100" s="31"/>
      <c r="X100" s="31"/>
      <c r="Y100" s="31"/>
      <c r="Z100" s="5">
        <v>2.7651531330509949E-2</v>
      </c>
      <c r="AA100" s="5">
        <v>2.8037383177570048E-2</v>
      </c>
      <c r="AB100" s="7">
        <v>16700</v>
      </c>
      <c r="AC100" s="31"/>
      <c r="AD100" s="31"/>
      <c r="AE100" s="31"/>
    </row>
    <row r="101" spans="1:31" x14ac:dyDescent="0.2">
      <c r="A101" s="13">
        <v>42115</v>
      </c>
      <c r="B101" s="5">
        <v>-6.5597282485813355E-2</v>
      </c>
      <c r="C101" s="5">
        <v>-6.3492063492063544E-2</v>
      </c>
      <c r="D101" s="7">
        <v>12195</v>
      </c>
      <c r="E101" s="31"/>
      <c r="F101" s="31"/>
      <c r="G101" s="31"/>
      <c r="H101" s="5">
        <v>-5.9615709674354464E-2</v>
      </c>
      <c r="I101" s="5">
        <v>-5.7873485868102252E-2</v>
      </c>
      <c r="J101" s="7">
        <v>41490</v>
      </c>
      <c r="K101" s="31"/>
      <c r="L101" s="31"/>
      <c r="M101" s="31"/>
      <c r="N101" s="5">
        <v>-5.789397841890262E-2</v>
      </c>
      <c r="O101" s="5">
        <v>-5.625000000000005E-2</v>
      </c>
      <c r="P101" s="7">
        <v>30207</v>
      </c>
      <c r="Q101" s="31"/>
      <c r="R101" s="31"/>
      <c r="S101" s="31"/>
      <c r="T101" s="5">
        <v>-4.0206420478040593E-2</v>
      </c>
      <c r="U101" s="5">
        <v>-3.9408866995073927E-2</v>
      </c>
      <c r="V101" s="7">
        <v>7409</v>
      </c>
      <c r="W101" s="31"/>
      <c r="X101" s="31"/>
      <c r="Y101" s="31"/>
      <c r="Z101" s="5">
        <v>-0.10873320013646555</v>
      </c>
      <c r="AA101" s="5">
        <v>-0.10303030303030299</v>
      </c>
      <c r="AB101" s="7">
        <v>23154</v>
      </c>
      <c r="AC101" s="31"/>
      <c r="AD101" s="31"/>
      <c r="AE101" s="31"/>
    </row>
    <row r="102" spans="1:31" x14ac:dyDescent="0.2">
      <c r="A102" s="13">
        <v>42116</v>
      </c>
      <c r="B102" s="5">
        <v>5.7629112836636423E-2</v>
      </c>
      <c r="C102" s="5">
        <v>5.9322033898305142E-2</v>
      </c>
      <c r="D102" s="7">
        <v>538</v>
      </c>
      <c r="E102" s="31"/>
      <c r="F102" s="31"/>
      <c r="G102" s="31"/>
      <c r="H102" s="5">
        <v>0</v>
      </c>
      <c r="I102" s="5">
        <v>0</v>
      </c>
      <c r="J102" s="7">
        <v>107895</v>
      </c>
      <c r="K102" s="31"/>
      <c r="L102" s="31"/>
      <c r="M102" s="31"/>
      <c r="N102" s="5">
        <v>6.6006840313520927E-3</v>
      </c>
      <c r="O102" s="5">
        <v>6.6225165562913968E-3</v>
      </c>
      <c r="P102" s="7">
        <v>17779</v>
      </c>
      <c r="Q102" s="31"/>
      <c r="R102" s="31"/>
      <c r="S102" s="31"/>
      <c r="T102" s="5">
        <v>-1.9853910662431043E-2</v>
      </c>
      <c r="U102" s="5">
        <v>-1.9658119658119543E-2</v>
      </c>
      <c r="V102" s="7">
        <v>13780</v>
      </c>
      <c r="W102" s="31"/>
      <c r="X102" s="31"/>
      <c r="Y102" s="31"/>
      <c r="Z102" s="5">
        <v>-3.7870274055409853E-2</v>
      </c>
      <c r="AA102" s="5">
        <v>-3.7162162162162123E-2</v>
      </c>
      <c r="AB102" s="7">
        <v>52826</v>
      </c>
      <c r="AC102" s="31"/>
      <c r="AD102" s="31"/>
      <c r="AE102" s="31"/>
    </row>
    <row r="103" spans="1:31" x14ac:dyDescent="0.2">
      <c r="A103" s="13">
        <v>42117</v>
      </c>
      <c r="B103" s="5">
        <v>3.9220713153281329E-2</v>
      </c>
      <c r="C103" s="5">
        <v>4.0000000000000036E-2</v>
      </c>
      <c r="D103" s="7">
        <v>2967</v>
      </c>
      <c r="E103" s="31"/>
      <c r="F103" s="31"/>
      <c r="G103" s="31"/>
      <c r="H103" s="5">
        <v>0</v>
      </c>
      <c r="I103" s="5">
        <v>0</v>
      </c>
      <c r="J103" s="7">
        <v>63860</v>
      </c>
      <c r="K103" s="31"/>
      <c r="L103" s="31"/>
      <c r="M103" s="31"/>
      <c r="N103" s="5">
        <v>6.5574005461590396E-3</v>
      </c>
      <c r="O103" s="5">
        <v>6.5789473684210583E-3</v>
      </c>
      <c r="P103" s="7">
        <v>15509</v>
      </c>
      <c r="Q103" s="31"/>
      <c r="R103" s="31"/>
      <c r="S103" s="31"/>
      <c r="T103" s="5">
        <v>2.6121042279249611E-3</v>
      </c>
      <c r="U103" s="5">
        <v>2.6155187445509468E-3</v>
      </c>
      <c r="V103" s="7">
        <v>5767</v>
      </c>
      <c r="W103" s="31"/>
      <c r="X103" s="31"/>
      <c r="Y103" s="31"/>
      <c r="Z103" s="5">
        <v>2.0834086902842053E-2</v>
      </c>
      <c r="AA103" s="5">
        <v>2.1052631578947385E-2</v>
      </c>
      <c r="AB103" s="7">
        <v>84927</v>
      </c>
      <c r="AC103" s="31"/>
      <c r="AD103" s="31"/>
      <c r="AE103" s="31"/>
    </row>
    <row r="104" spans="1:31" x14ac:dyDescent="0.2">
      <c r="A104" s="13">
        <v>42118</v>
      </c>
      <c r="B104" s="5">
        <v>-7.7220460939102778E-3</v>
      </c>
      <c r="C104" s="5">
        <v>-7.6923076923076988E-3</v>
      </c>
      <c r="D104" s="7">
        <v>10730</v>
      </c>
      <c r="E104" s="31"/>
      <c r="F104" s="31"/>
      <c r="G104" s="31"/>
      <c r="H104" s="5">
        <v>5.6980211146377959E-3</v>
      </c>
      <c r="I104" s="5">
        <v>5.7142857142857195E-3</v>
      </c>
      <c r="J104" s="7">
        <v>79873</v>
      </c>
      <c r="K104" s="31"/>
      <c r="L104" s="31"/>
      <c r="M104" s="31"/>
      <c r="N104" s="5">
        <v>3.2157111634531443E-2</v>
      </c>
      <c r="O104" s="5">
        <v>3.2679738562091533E-2</v>
      </c>
      <c r="P104" s="7">
        <v>107756</v>
      </c>
      <c r="Q104" s="31"/>
      <c r="R104" s="31"/>
      <c r="S104" s="31"/>
      <c r="T104" s="5">
        <v>7.534943724178679E-2</v>
      </c>
      <c r="U104" s="5">
        <v>7.8260869565217425E-2</v>
      </c>
      <c r="V104" s="7">
        <v>42940</v>
      </c>
      <c r="W104" s="31"/>
      <c r="X104" s="31"/>
      <c r="Y104" s="31"/>
      <c r="Z104" s="5">
        <v>4.6988509435918945E-2</v>
      </c>
      <c r="AA104" s="5">
        <v>4.8109965635738716E-2</v>
      </c>
      <c r="AB104" s="7">
        <v>68047</v>
      </c>
      <c r="AC104" s="31"/>
      <c r="AD104" s="31"/>
      <c r="AE104" s="31"/>
    </row>
    <row r="105" spans="1:31" x14ac:dyDescent="0.2">
      <c r="A105" s="13">
        <v>42121</v>
      </c>
      <c r="B105" s="5">
        <v>7.7220460939103185E-3</v>
      </c>
      <c r="C105" s="5">
        <v>7.7519379844961309E-3</v>
      </c>
      <c r="D105" s="7">
        <v>16439</v>
      </c>
      <c r="E105" s="5">
        <f>STDEV(B89:B105)</f>
        <v>3.2948743928229114E-2</v>
      </c>
      <c r="F105" s="5">
        <f>AVERAGE(B89:B105)</f>
        <v>-1.7826676173722925E-3</v>
      </c>
      <c r="G105" s="7">
        <f>AVERAGE(D89:D105)</f>
        <v>8841.823529411764</v>
      </c>
      <c r="H105" s="5">
        <v>0</v>
      </c>
      <c r="I105" s="5">
        <v>0</v>
      </c>
      <c r="J105" s="7">
        <v>72666</v>
      </c>
      <c r="K105" s="5">
        <f>STDEV(H89:H105)</f>
        <v>2.6270932291342048E-2</v>
      </c>
      <c r="L105" s="5">
        <f>AVERAGE(H89:H105)</f>
        <v>-4.2696998399650897E-3</v>
      </c>
      <c r="M105" s="7">
        <f>AVERAGE(J89:J105)</f>
        <v>66403.411764705888</v>
      </c>
      <c r="N105" s="5">
        <v>-1.2739025777429714E-2</v>
      </c>
      <c r="O105" s="5">
        <v>-1.2658227848101276E-2</v>
      </c>
      <c r="P105" s="7">
        <v>267182</v>
      </c>
      <c r="Q105" s="5">
        <f>STDEV(N89:N105)</f>
        <v>3.2680303144797349E-2</v>
      </c>
      <c r="R105" s="5">
        <f>AVERAGE(N89:N105)</f>
        <v>-3.299380391237837E-3</v>
      </c>
      <c r="S105" s="7">
        <f>AVERAGE(P89:P105)</f>
        <v>96447.117647058825</v>
      </c>
      <c r="T105" s="5">
        <v>5.3387873418061539E-2</v>
      </c>
      <c r="U105" s="5">
        <v>5.4838709677419328E-2</v>
      </c>
      <c r="V105" s="7">
        <v>38380</v>
      </c>
      <c r="W105" s="5">
        <f>STDEV(T89:T105)</f>
        <v>3.7199873013465293E-2</v>
      </c>
      <c r="X105" s="5">
        <f>AVERAGE(T89:T105)</f>
        <v>1.0832829682426817E-2</v>
      </c>
      <c r="Y105" s="7">
        <f>AVERAGE(V89:V105)</f>
        <v>27441.764705882353</v>
      </c>
      <c r="Z105" s="5">
        <v>4.8009219186360662E-2</v>
      </c>
      <c r="AA105" s="5">
        <v>4.9180327868852576E-2</v>
      </c>
      <c r="AB105" s="7">
        <v>30424</v>
      </c>
      <c r="AC105" s="5">
        <f>STDEV(Z89:Z105)</f>
        <v>4.3571747632135831E-2</v>
      </c>
      <c r="AD105" s="5">
        <f>AVERAGE(Z89:Z105)</f>
        <v>-7.4165787335928653E-3</v>
      </c>
      <c r="AE105" s="7">
        <f>AVERAGE(AB89:AB105)</f>
        <v>32996.76470588235</v>
      </c>
    </row>
    <row r="106" spans="1:31" x14ac:dyDescent="0.2">
      <c r="A106" s="13">
        <v>42122</v>
      </c>
      <c r="B106" s="5">
        <v>0</v>
      </c>
      <c r="C106" s="5">
        <v>0</v>
      </c>
      <c r="D106" s="7">
        <v>10064</v>
      </c>
      <c r="E106" s="5">
        <f t="shared" ref="E106:E128" si="30">STDEV(B90:B106)</f>
        <v>3.2677110798986692E-2</v>
      </c>
      <c r="F106" s="5">
        <f t="shared" ref="F106:F128" si="31">AVERAGE(B90:B106)</f>
        <v>-2.6541432517923312E-3</v>
      </c>
      <c r="G106" s="7">
        <f t="shared" ref="G106:G128" si="32">AVERAGE(D90:D106)</f>
        <v>9061.4117647058829</v>
      </c>
      <c r="H106" s="5">
        <v>7.0771703740850787E-3</v>
      </c>
      <c r="I106" s="5">
        <v>7.1022727272727019E-3</v>
      </c>
      <c r="J106" s="7">
        <v>296604</v>
      </c>
      <c r="K106" s="5">
        <f t="shared" ref="K106:K128" si="33">STDEV(H90:H106)</f>
        <v>2.61631080345275E-2</v>
      </c>
      <c r="L106" s="5">
        <f t="shared" ref="L106:L128" si="34">AVERAGE(H90:H106)</f>
        <v>-4.4717827820240251E-3</v>
      </c>
      <c r="M106" s="7">
        <f t="shared" ref="M106:M128" si="35">AVERAGE(J90:J106)</f>
        <v>83116.411764705888</v>
      </c>
      <c r="N106" s="5">
        <v>6.3897980987709883E-3</v>
      </c>
      <c r="O106" s="5">
        <v>6.4102564102564161E-3</v>
      </c>
      <c r="P106" s="7">
        <v>267607</v>
      </c>
      <c r="Q106" s="5">
        <f t="shared" ref="Q106:Q128" si="36">STDEV(N90:N106)</f>
        <v>3.2036175512646321E-2</v>
      </c>
      <c r="R106" s="5">
        <f t="shared" ref="R106:R128" si="37">AVERAGE(N90:N106)</f>
        <v>-4.3325240926332378E-3</v>
      </c>
      <c r="S106" s="7">
        <f t="shared" ref="S106:S128" si="38">AVERAGE(P90:P106)</f>
        <v>111569.4705882353</v>
      </c>
      <c r="T106" s="5">
        <v>1.5278841780531714E-3</v>
      </c>
      <c r="U106" s="5">
        <v>1.5290519877675516E-3</v>
      </c>
      <c r="V106" s="7">
        <v>13119</v>
      </c>
      <c r="W106" s="5">
        <f t="shared" ref="W106:W128" si="39">STDEV(T90:T106)</f>
        <v>3.3640836927126425E-2</v>
      </c>
      <c r="X106" s="5">
        <f t="shared" ref="X106:X128" si="40">AVERAGE(T90:T106)</f>
        <v>6.6484346119644331E-3</v>
      </c>
      <c r="Y106" s="7">
        <f t="shared" ref="Y106:Y128" si="41">AVERAGE(V90:V106)</f>
        <v>22330.882352941175</v>
      </c>
      <c r="Z106" s="5">
        <v>0</v>
      </c>
      <c r="AA106" s="5">
        <v>0</v>
      </c>
      <c r="AB106" s="7">
        <v>63466</v>
      </c>
      <c r="AC106" s="5">
        <f t="shared" ref="AC106:AC128" si="42">STDEV(Z90:Z106)</f>
        <v>4.3607329246184191E-2</v>
      </c>
      <c r="AD106" s="5">
        <f t="shared" ref="AD106:AD128" si="43">AVERAGE(Z90:Z106)</f>
        <v>-7.0915860317122808E-3</v>
      </c>
      <c r="AE106" s="7">
        <f t="shared" ref="AE106:AE128" si="44">AVERAGE(AB90:AB106)</f>
        <v>35685.76470588235</v>
      </c>
    </row>
    <row r="107" spans="1:31" x14ac:dyDescent="0.2">
      <c r="A107" s="13">
        <v>42123</v>
      </c>
      <c r="B107" s="5">
        <v>-1.5504186535965312E-2</v>
      </c>
      <c r="C107" s="5">
        <v>-1.5384615384615398E-2</v>
      </c>
      <c r="D107" s="7">
        <v>2542</v>
      </c>
      <c r="E107" s="5">
        <f t="shared" si="30"/>
        <v>3.1632847543234942E-2</v>
      </c>
      <c r="F107" s="5">
        <f t="shared" si="31"/>
        <v>-1.3627681930314427E-3</v>
      </c>
      <c r="G107" s="7">
        <f t="shared" si="32"/>
        <v>8185.7058823529414</v>
      </c>
      <c r="H107" s="5">
        <v>1.4005831188919168E-2</v>
      </c>
      <c r="I107" s="5">
        <v>1.4104372355430259E-2</v>
      </c>
      <c r="J107" s="7">
        <v>168922</v>
      </c>
      <c r="K107" s="5">
        <f t="shared" si="33"/>
        <v>2.6533387747243658E-2</v>
      </c>
      <c r="L107" s="5">
        <f t="shared" si="34"/>
        <v>-3.2621809152547114E-3</v>
      </c>
      <c r="M107" s="7">
        <f t="shared" si="35"/>
        <v>87567.470588235301</v>
      </c>
      <c r="N107" s="5">
        <v>-6.38979809877101E-3</v>
      </c>
      <c r="O107" s="5">
        <v>-6.3694267515923622E-3</v>
      </c>
      <c r="P107" s="7">
        <v>609279</v>
      </c>
      <c r="Q107" s="5">
        <f t="shared" si="36"/>
        <v>2.7660515118665508E-2</v>
      </c>
      <c r="R107" s="5">
        <f t="shared" si="37"/>
        <v>-7.4935445749585341E-4</v>
      </c>
      <c r="S107" s="7">
        <f t="shared" si="38"/>
        <v>142335.88235294117</v>
      </c>
      <c r="T107" s="5">
        <v>1.1385322225125429E-2</v>
      </c>
      <c r="U107" s="5">
        <v>1.1450381679389341E-2</v>
      </c>
      <c r="V107" s="7">
        <v>5856</v>
      </c>
      <c r="W107" s="5">
        <f t="shared" si="39"/>
        <v>3.104326221797225E-2</v>
      </c>
      <c r="X107" s="5">
        <f t="shared" si="40"/>
        <v>9.8872808312460165E-3</v>
      </c>
      <c r="Y107" s="7">
        <f t="shared" si="41"/>
        <v>20651</v>
      </c>
      <c r="Z107" s="5">
        <v>3.0771658666753472E-2</v>
      </c>
      <c r="AA107" s="5">
        <v>3.1249999999999889E-2</v>
      </c>
      <c r="AB107" s="7">
        <v>93319</v>
      </c>
      <c r="AC107" s="5">
        <f t="shared" si="42"/>
        <v>4.4376411363137511E-2</v>
      </c>
      <c r="AD107" s="5">
        <f t="shared" si="43"/>
        <v>-5.9296881836450599E-3</v>
      </c>
      <c r="AE107" s="7">
        <f t="shared" si="44"/>
        <v>39844</v>
      </c>
    </row>
    <row r="108" spans="1:31" x14ac:dyDescent="0.2">
      <c r="A108" s="13">
        <v>42124</v>
      </c>
      <c r="B108" s="5">
        <v>-7.8431774610258926E-3</v>
      </c>
      <c r="C108" s="5">
        <v>-7.8125000000000069E-3</v>
      </c>
      <c r="D108" s="7">
        <v>12488</v>
      </c>
      <c r="E108" s="5">
        <f t="shared" si="30"/>
        <v>2.9464371992995196E-2</v>
      </c>
      <c r="F108" s="5">
        <f t="shared" si="31"/>
        <v>9.3372642095824044E-4</v>
      </c>
      <c r="G108" s="7">
        <f t="shared" si="32"/>
        <v>7826.7058823529414</v>
      </c>
      <c r="H108" s="5">
        <v>-1.2596387685685726E-2</v>
      </c>
      <c r="I108" s="5">
        <v>-1.2517385257301911E-2</v>
      </c>
      <c r="J108" s="7">
        <v>138828</v>
      </c>
      <c r="K108" s="5">
        <f t="shared" si="33"/>
        <v>2.4341257906041629E-2</v>
      </c>
      <c r="L108" s="5">
        <f t="shared" si="34"/>
        <v>-1.3108849876138301E-3</v>
      </c>
      <c r="M108" s="7">
        <f t="shared" si="35"/>
        <v>93396.352941176476</v>
      </c>
      <c r="N108" s="5">
        <v>2.5317807984290001E-2</v>
      </c>
      <c r="O108" s="5">
        <v>2.5641025641025664E-2</v>
      </c>
      <c r="P108" s="7">
        <v>400104</v>
      </c>
      <c r="Q108" s="5">
        <f t="shared" si="36"/>
        <v>2.8211231397210181E-2</v>
      </c>
      <c r="R108" s="5">
        <f t="shared" si="37"/>
        <v>1.8571745448692875E-17</v>
      </c>
      <c r="S108" s="7">
        <f t="shared" si="38"/>
        <v>164087.88235294117</v>
      </c>
      <c r="T108" s="5">
        <v>5.5059777183027389E-2</v>
      </c>
      <c r="U108" s="5">
        <v>5.6603773584905662E-2</v>
      </c>
      <c r="V108" s="7">
        <v>12220</v>
      </c>
      <c r="W108" s="5">
        <f t="shared" si="39"/>
        <v>3.0442854343875812E-2</v>
      </c>
      <c r="X108" s="5">
        <f t="shared" si="40"/>
        <v>1.5265364440299082E-2</v>
      </c>
      <c r="Y108" s="7">
        <f t="shared" si="41"/>
        <v>19081.941176470587</v>
      </c>
      <c r="Z108" s="5">
        <v>4.1549002912872481E-2</v>
      </c>
      <c r="AA108" s="5">
        <v>4.2424242424242462E-2</v>
      </c>
      <c r="AB108" s="7">
        <v>29325</v>
      </c>
      <c r="AC108" s="5">
        <f t="shared" si="42"/>
        <v>3.8380641820171202E-2</v>
      </c>
      <c r="AD108" s="5">
        <f t="shared" si="43"/>
        <v>2.444058994874829E-3</v>
      </c>
      <c r="AE108" s="7">
        <f t="shared" si="44"/>
        <v>39199.176470588238</v>
      </c>
    </row>
    <row r="109" spans="1:31" x14ac:dyDescent="0.2">
      <c r="A109" s="13">
        <v>42128</v>
      </c>
      <c r="B109" s="5">
        <v>7.8431774610258787E-3</v>
      </c>
      <c r="C109" s="5">
        <v>7.8740157480315029E-3</v>
      </c>
      <c r="D109" s="7">
        <v>8774</v>
      </c>
      <c r="E109" s="5">
        <f t="shared" si="30"/>
        <v>2.615107816749682E-2</v>
      </c>
      <c r="F109" s="5">
        <f t="shared" si="31"/>
        <v>-1.8100975686325775E-3</v>
      </c>
      <c r="G109" s="7">
        <f t="shared" si="32"/>
        <v>7544.588235294118</v>
      </c>
      <c r="H109" s="5">
        <v>9.8108705642592393E-3</v>
      </c>
      <c r="I109" s="5">
        <v>9.8591549295775054E-3</v>
      </c>
      <c r="J109" s="7">
        <v>57419</v>
      </c>
      <c r="K109" s="5">
        <f t="shared" si="33"/>
        <v>2.31959436669988E-2</v>
      </c>
      <c r="L109" s="5">
        <f t="shared" si="34"/>
        <v>-2.4898316102857187E-3</v>
      </c>
      <c r="M109" s="7">
        <f t="shared" si="35"/>
        <v>90966.117647058825</v>
      </c>
      <c r="N109" s="5">
        <v>6.2305497506361628E-3</v>
      </c>
      <c r="O109" s="5">
        <v>6.2500000000000056E-3</v>
      </c>
      <c r="P109" s="7">
        <v>302225</v>
      </c>
      <c r="Q109" s="5">
        <f t="shared" si="36"/>
        <v>2.8211231397210178E-2</v>
      </c>
      <c r="R109" s="5">
        <f t="shared" si="37"/>
        <v>1.8571745448692875E-17</v>
      </c>
      <c r="S109" s="7">
        <f t="shared" si="38"/>
        <v>181342.17647058822</v>
      </c>
      <c r="T109" s="5">
        <v>1.4184634991956381E-2</v>
      </c>
      <c r="U109" s="5">
        <v>1.4285714285714235E-2</v>
      </c>
      <c r="V109" s="7">
        <v>5691</v>
      </c>
      <c r="W109" s="5">
        <f t="shared" si="39"/>
        <v>3.0299696383808347E-2</v>
      </c>
      <c r="X109" s="5">
        <f t="shared" si="40"/>
        <v>1.5882292270336166E-2</v>
      </c>
      <c r="Y109" s="7">
        <f t="shared" si="41"/>
        <v>17705.529411764706</v>
      </c>
      <c r="Z109" s="5">
        <v>5.9255696209093045E-2</v>
      </c>
      <c r="AA109" s="5">
        <v>6.1046511627906967E-2</v>
      </c>
      <c r="AB109" s="7">
        <v>142279</v>
      </c>
      <c r="AC109" s="5">
        <f t="shared" si="42"/>
        <v>4.0043326762592306E-2</v>
      </c>
      <c r="AD109" s="5">
        <f t="shared" si="43"/>
        <v>7.3732828257695691E-3</v>
      </c>
      <c r="AE109" s="7">
        <f t="shared" si="44"/>
        <v>45418.647058823532</v>
      </c>
    </row>
    <row r="110" spans="1:31" x14ac:dyDescent="0.2">
      <c r="A110" s="13">
        <v>42129</v>
      </c>
      <c r="B110" s="5">
        <v>-3.1748698314580298E-2</v>
      </c>
      <c r="C110" s="5">
        <v>-3.1250000000000028E-2</v>
      </c>
      <c r="D110" s="7">
        <v>9064</v>
      </c>
      <c r="E110" s="5">
        <f t="shared" si="30"/>
        <v>2.6973717335531899E-2</v>
      </c>
      <c r="F110" s="5">
        <f t="shared" si="31"/>
        <v>-2.7795814617968062E-3</v>
      </c>
      <c r="G110" s="7">
        <f t="shared" si="32"/>
        <v>7766.1176470588234</v>
      </c>
      <c r="H110" s="5">
        <v>-9.8108705642593348E-3</v>
      </c>
      <c r="I110" s="5">
        <v>-9.762900976290137E-3</v>
      </c>
      <c r="J110" s="7">
        <v>73978</v>
      </c>
      <c r="K110" s="5">
        <f t="shared" si="33"/>
        <v>2.2599421062709603E-2</v>
      </c>
      <c r="L110" s="5">
        <f t="shared" si="34"/>
        <v>-1.6340920062985899E-3</v>
      </c>
      <c r="M110" s="7">
        <f t="shared" si="35"/>
        <v>92742.76470588235</v>
      </c>
      <c r="N110" s="5">
        <v>-5.7523844138186599E-2</v>
      </c>
      <c r="O110" s="5">
        <v>-5.5900621118012465E-2</v>
      </c>
      <c r="P110" s="7">
        <v>187902</v>
      </c>
      <c r="Q110" s="5">
        <f t="shared" si="36"/>
        <v>3.1472530929210901E-2</v>
      </c>
      <c r="R110" s="5">
        <f t="shared" si="37"/>
        <v>-3.3837555375403699E-3</v>
      </c>
      <c r="S110" s="7">
        <f t="shared" si="38"/>
        <v>192108.88235294117</v>
      </c>
      <c r="T110" s="5">
        <v>-4.3172171865208664E-2</v>
      </c>
      <c r="U110" s="5">
        <v>-4.2253521126760542E-2</v>
      </c>
      <c r="V110" s="7">
        <v>5121</v>
      </c>
      <c r="W110" s="5">
        <f t="shared" si="39"/>
        <v>3.2686887004274599E-2</v>
      </c>
      <c r="X110" s="5">
        <f t="shared" si="40"/>
        <v>1.0898062766100673E-2</v>
      </c>
      <c r="Y110" s="7">
        <f t="shared" si="41"/>
        <v>17043.176470588234</v>
      </c>
      <c r="Z110" s="5">
        <v>-1.9364367181791117E-2</v>
      </c>
      <c r="AA110" s="5">
        <v>-1.9178082191780778E-2</v>
      </c>
      <c r="AB110" s="7">
        <v>48124</v>
      </c>
      <c r="AC110" s="5">
        <f t="shared" si="42"/>
        <v>4.0437654318457049E-2</v>
      </c>
      <c r="AD110" s="5">
        <f t="shared" si="43"/>
        <v>5.1481987068562485E-3</v>
      </c>
      <c r="AE110" s="7">
        <f t="shared" si="44"/>
        <v>45385.76470588235</v>
      </c>
    </row>
    <row r="111" spans="1:31" x14ac:dyDescent="0.2">
      <c r="A111" s="13">
        <v>42130</v>
      </c>
      <c r="B111" s="5">
        <v>8.0321716972642527E-3</v>
      </c>
      <c r="C111" s="5">
        <v>8.0645161290322648E-3</v>
      </c>
      <c r="D111" s="7">
        <v>8955</v>
      </c>
      <c r="E111" s="5">
        <f t="shared" si="30"/>
        <v>2.7095520521866517E-2</v>
      </c>
      <c r="F111" s="5">
        <f t="shared" si="31"/>
        <v>-2.3071007737224384E-3</v>
      </c>
      <c r="G111" s="7">
        <f t="shared" si="32"/>
        <v>7722.7647058823532</v>
      </c>
      <c r="H111" s="5">
        <v>1.9526422350355236E-2</v>
      </c>
      <c r="I111" s="5">
        <v>1.9718309859155011E-2</v>
      </c>
      <c r="J111" s="7">
        <v>27927</v>
      </c>
      <c r="K111" s="5">
        <f t="shared" si="33"/>
        <v>2.2892680048996028E-2</v>
      </c>
      <c r="L111" s="5">
        <f t="shared" si="34"/>
        <v>-1.2858114007352629E-3</v>
      </c>
      <c r="M111" s="7">
        <f t="shared" si="35"/>
        <v>87915.411764705888</v>
      </c>
      <c r="N111" s="5">
        <v>5.752384413818673E-2</v>
      </c>
      <c r="O111" s="5">
        <v>5.9210526315789526E-2</v>
      </c>
      <c r="P111" s="7">
        <v>517273</v>
      </c>
      <c r="Q111" s="5">
        <f t="shared" si="36"/>
        <v>3.0338840797348481E-2</v>
      </c>
      <c r="R111" s="5">
        <f t="shared" si="37"/>
        <v>-3.8876536369993869E-3</v>
      </c>
      <c r="S111" s="7">
        <f t="shared" si="38"/>
        <v>218632.76470588235</v>
      </c>
      <c r="T111" s="5">
        <v>2.6842380526864246E-2</v>
      </c>
      <c r="U111" s="5">
        <v>2.720588235294125E-2</v>
      </c>
      <c r="V111" s="7">
        <v>11243</v>
      </c>
      <c r="W111" s="5">
        <f t="shared" si="39"/>
        <v>3.2678536040521372E-2</v>
      </c>
      <c r="X111" s="5">
        <f t="shared" si="40"/>
        <v>1.2685620621019191E-2</v>
      </c>
      <c r="Y111" s="7">
        <f t="shared" si="41"/>
        <v>17402.235294117647</v>
      </c>
      <c r="Z111" s="5">
        <v>-5.6022555486698981E-3</v>
      </c>
      <c r="AA111" s="5">
        <v>-5.5865921787709542E-3</v>
      </c>
      <c r="AB111" s="7">
        <v>31968</v>
      </c>
      <c r="AC111" s="5">
        <f t="shared" si="42"/>
        <v>4.0367483153698008E-2</v>
      </c>
      <c r="AD111" s="5">
        <f t="shared" si="43"/>
        <v>5.3591499130760259E-3</v>
      </c>
      <c r="AE111" s="7">
        <f t="shared" si="44"/>
        <v>45504.470588235294</v>
      </c>
    </row>
    <row r="112" spans="1:31" x14ac:dyDescent="0.2">
      <c r="A112" s="13">
        <v>42131</v>
      </c>
      <c r="B112" s="5">
        <v>7.9681696491768813E-3</v>
      </c>
      <c r="C112" s="5">
        <v>8.0000000000000071E-3</v>
      </c>
      <c r="D112" s="7">
        <v>47430</v>
      </c>
      <c r="E112" s="5">
        <f t="shared" si="30"/>
        <v>2.7206616128244446E-2</v>
      </c>
      <c r="F112" s="5">
        <f t="shared" si="31"/>
        <v>-1.8383849120061514E-3</v>
      </c>
      <c r="G112" s="7">
        <f t="shared" si="32"/>
        <v>9920</v>
      </c>
      <c r="H112" s="5">
        <v>0</v>
      </c>
      <c r="I112" s="5">
        <v>0</v>
      </c>
      <c r="J112" s="7">
        <v>101819</v>
      </c>
      <c r="K112" s="5">
        <f t="shared" si="33"/>
        <v>2.227035054810024E-2</v>
      </c>
      <c r="L112" s="5">
        <f t="shared" si="34"/>
        <v>-2.3877958434033699E-17</v>
      </c>
      <c r="M112" s="7">
        <f t="shared" si="35"/>
        <v>86128.823529411762</v>
      </c>
      <c r="N112" s="5">
        <v>3.6589447432291963E-2</v>
      </c>
      <c r="O112" s="5">
        <v>3.7267080745341505E-2</v>
      </c>
      <c r="P112" s="7">
        <v>891284</v>
      </c>
      <c r="Q112" s="5">
        <f t="shared" si="36"/>
        <v>3.1890098208052678E-2</v>
      </c>
      <c r="R112" s="5">
        <f t="shared" si="37"/>
        <v>-1.735333199805742E-3</v>
      </c>
      <c r="S112" s="7">
        <f t="shared" si="38"/>
        <v>248440.41176470587</v>
      </c>
      <c r="T112" s="5">
        <v>9.0940655129519321E-2</v>
      </c>
      <c r="U112" s="5">
        <v>9.5204008589835368E-2</v>
      </c>
      <c r="V112" s="7">
        <v>18723</v>
      </c>
      <c r="W112" s="5">
        <f t="shared" si="39"/>
        <v>3.7787786540303459E-2</v>
      </c>
      <c r="X112" s="5">
        <f t="shared" si="40"/>
        <v>1.7308204293996481E-2</v>
      </c>
      <c r="Y112" s="7">
        <f t="shared" si="41"/>
        <v>17741.529411764706</v>
      </c>
      <c r="Z112" s="5">
        <v>3.8572274786239653E-2</v>
      </c>
      <c r="AA112" s="5">
        <v>3.9325842696629247E-2</v>
      </c>
      <c r="AB112" s="7">
        <v>46994</v>
      </c>
      <c r="AC112" s="5">
        <f t="shared" si="42"/>
        <v>4.1152375378623353E-2</v>
      </c>
      <c r="AD112" s="5">
        <f t="shared" si="43"/>
        <v>7.4473896630330621E-3</v>
      </c>
      <c r="AE112" s="7">
        <f t="shared" si="44"/>
        <v>47213.882352941175</v>
      </c>
    </row>
    <row r="113" spans="1:31" x14ac:dyDescent="0.2">
      <c r="A113" s="13">
        <v>42132</v>
      </c>
      <c r="B113" s="5">
        <v>7.9051795071132473E-3</v>
      </c>
      <c r="C113" s="5">
        <v>7.936507936507943E-3</v>
      </c>
      <c r="D113" s="7">
        <v>17529</v>
      </c>
      <c r="E113" s="5">
        <f t="shared" si="30"/>
        <v>2.6713814357306149E-2</v>
      </c>
      <c r="F113" s="5">
        <f t="shared" si="31"/>
        <v>-7.3470641335488301E-18</v>
      </c>
      <c r="G113" s="7">
        <f t="shared" si="32"/>
        <v>10709.941176470587</v>
      </c>
      <c r="H113" s="5">
        <v>4.8527040894660381E-2</v>
      </c>
      <c r="I113" s="5">
        <v>4.972375690607727E-2</v>
      </c>
      <c r="J113" s="7">
        <v>139595</v>
      </c>
      <c r="K113" s="5">
        <f t="shared" si="33"/>
        <v>2.2567986802274995E-2</v>
      </c>
      <c r="L113" s="5">
        <f t="shared" si="34"/>
        <v>5.2592110420931881E-3</v>
      </c>
      <c r="M113" s="7">
        <f t="shared" si="35"/>
        <v>85973.76470588235</v>
      </c>
      <c r="N113" s="5">
        <v>0.13427961562987478</v>
      </c>
      <c r="O113" s="5">
        <v>0.1437125748502994</v>
      </c>
      <c r="P113" s="7">
        <v>726734</v>
      </c>
      <c r="Q113" s="5">
        <f t="shared" si="36"/>
        <v>4.5527008283863274E-2</v>
      </c>
      <c r="R113" s="5">
        <f t="shared" si="37"/>
        <v>7.198512536679808E-3</v>
      </c>
      <c r="S113" s="7">
        <f t="shared" si="38"/>
        <v>260039.70588235295</v>
      </c>
      <c r="T113" s="5">
        <v>-2.1136850309316398E-2</v>
      </c>
      <c r="U113" s="5">
        <v>-2.0915032679738578E-2</v>
      </c>
      <c r="V113" s="7">
        <v>4675</v>
      </c>
      <c r="W113" s="5">
        <f t="shared" si="39"/>
        <v>3.809468134482577E-2</v>
      </c>
      <c r="X113" s="5">
        <f t="shared" si="40"/>
        <v>1.7001063411442544E-2</v>
      </c>
      <c r="Y113" s="7">
        <f t="shared" si="41"/>
        <v>17841.705882352941</v>
      </c>
      <c r="Z113" s="5">
        <v>3.1917602968304946E-2</v>
      </c>
      <c r="AA113" s="5">
        <v>3.2432432432432337E-2</v>
      </c>
      <c r="AB113" s="7">
        <v>24416</v>
      </c>
      <c r="AC113" s="5">
        <f t="shared" si="42"/>
        <v>4.097854885306805E-2</v>
      </c>
      <c r="AD113" s="5">
        <f t="shared" si="43"/>
        <v>1.0417624283106016E-2</v>
      </c>
      <c r="AE113" s="7">
        <f t="shared" si="44"/>
        <v>48474</v>
      </c>
    </row>
    <row r="114" spans="1:31" x14ac:dyDescent="0.2">
      <c r="A114" s="13">
        <v>42135</v>
      </c>
      <c r="B114" s="5">
        <v>-2.390552085355448E-2</v>
      </c>
      <c r="C114" s="5">
        <v>-2.3622047244094509E-2</v>
      </c>
      <c r="D114" s="7">
        <v>13096</v>
      </c>
      <c r="E114" s="5">
        <f t="shared" si="30"/>
        <v>2.7285491380992156E-2</v>
      </c>
      <c r="F114" s="5">
        <f t="shared" si="31"/>
        <v>-9.4119654979066757E-4</v>
      </c>
      <c r="G114" s="7">
        <f t="shared" si="32"/>
        <v>10691.588235294117</v>
      </c>
      <c r="H114" s="5">
        <v>4.5023681373955113E-2</v>
      </c>
      <c r="I114" s="5">
        <v>4.6052631578947442E-2</v>
      </c>
      <c r="J114" s="7">
        <v>68434</v>
      </c>
      <c r="K114" s="5">
        <f t="shared" si="33"/>
        <v>2.4103246915334393E-2</v>
      </c>
      <c r="L114" s="5">
        <f t="shared" si="34"/>
        <v>6.4035702494138523E-3</v>
      </c>
      <c r="M114" s="7">
        <f t="shared" si="35"/>
        <v>87919.176470588238</v>
      </c>
      <c r="N114" s="5">
        <v>-5.2493558861436782E-3</v>
      </c>
      <c r="O114" s="5">
        <v>-5.2356020942408424E-3</v>
      </c>
      <c r="P114" s="7">
        <v>408522</v>
      </c>
      <c r="Q114" s="5">
        <f t="shared" si="36"/>
        <v>4.38656944852545E-2</v>
      </c>
      <c r="R114" s="5">
        <f t="shared" si="37"/>
        <v>9.378102172241316E-3</v>
      </c>
      <c r="S114" s="7">
        <f t="shared" si="38"/>
        <v>282899.1176470588</v>
      </c>
      <c r="T114" s="5">
        <v>-3.1188968692423425E-2</v>
      </c>
      <c r="U114" s="5">
        <v>-3.0707610146862539E-2</v>
      </c>
      <c r="V114" s="7">
        <v>5198</v>
      </c>
      <c r="W114" s="5">
        <f t="shared" si="39"/>
        <v>3.9809986131622142E-2</v>
      </c>
      <c r="X114" s="5">
        <f t="shared" si="40"/>
        <v>1.4748487275197364E-2</v>
      </c>
      <c r="Y114" s="7">
        <f t="shared" si="41"/>
        <v>15816.764705882353</v>
      </c>
      <c r="Z114" s="5">
        <v>-1.5831465216680628E-2</v>
      </c>
      <c r="AA114" s="5">
        <v>-1.5706806282722526E-2</v>
      </c>
      <c r="AB114" s="7">
        <v>18848</v>
      </c>
      <c r="AC114" s="5">
        <f t="shared" si="42"/>
        <v>4.0846624614083199E-2</v>
      </c>
      <c r="AD114" s="5">
        <f t="shared" si="43"/>
        <v>1.059977396950827E-2</v>
      </c>
      <c r="AE114" s="7">
        <f t="shared" si="44"/>
        <v>47724.470588235294</v>
      </c>
    </row>
    <row r="115" spans="1:31" x14ac:dyDescent="0.2">
      <c r="A115" s="13">
        <v>42136</v>
      </c>
      <c r="B115" s="5">
        <v>8.0321716972642527E-3</v>
      </c>
      <c r="C115" s="5">
        <v>8.0645161290322648E-3</v>
      </c>
      <c r="D115" s="7">
        <v>2830</v>
      </c>
      <c r="E115" s="5">
        <f t="shared" si="30"/>
        <v>2.7078286870511382E-2</v>
      </c>
      <c r="F115" s="5">
        <f t="shared" si="31"/>
        <v>4.7248068807435824E-4</v>
      </c>
      <c r="G115" s="7">
        <f t="shared" si="32"/>
        <v>10522.705882352941</v>
      </c>
      <c r="H115" s="5">
        <v>-3.7807228399060443E-3</v>
      </c>
      <c r="I115" s="5">
        <v>-3.7735849056604086E-3</v>
      </c>
      <c r="J115" s="7">
        <v>26441</v>
      </c>
      <c r="K115" s="5">
        <f t="shared" si="33"/>
        <v>2.4228109451750683E-2</v>
      </c>
      <c r="L115" s="5">
        <f t="shared" si="34"/>
        <v>5.7701072215412515E-3</v>
      </c>
      <c r="M115" s="7">
        <f t="shared" si="35"/>
        <v>88587.294117647063</v>
      </c>
      <c r="N115" s="5">
        <v>0</v>
      </c>
      <c r="O115" s="5">
        <v>0</v>
      </c>
      <c r="P115" s="7">
        <v>163055</v>
      </c>
      <c r="Q115" s="5">
        <f t="shared" si="36"/>
        <v>4.35823864420017E-2</v>
      </c>
      <c r="R115" s="5">
        <f t="shared" si="37"/>
        <v>1.0108838642744679E-2</v>
      </c>
      <c r="S115" s="7">
        <f t="shared" si="38"/>
        <v>291150.17647058825</v>
      </c>
      <c r="T115" s="5">
        <v>5.558846463655618E-2</v>
      </c>
      <c r="U115" s="5">
        <v>5.7162534435261717E-2</v>
      </c>
      <c r="V115" s="7">
        <v>5294</v>
      </c>
      <c r="W115" s="5">
        <f t="shared" si="39"/>
        <v>4.097353558476452E-2</v>
      </c>
      <c r="X115" s="5">
        <f t="shared" si="40"/>
        <v>1.7500124625456262E-2</v>
      </c>
      <c r="Y115" s="7">
        <f t="shared" si="41"/>
        <v>15723.705882352941</v>
      </c>
      <c r="Z115" s="5">
        <v>7.9470616925319398E-3</v>
      </c>
      <c r="AA115" s="5">
        <v>7.9787234042553862E-3</v>
      </c>
      <c r="AB115" s="7">
        <v>14651</v>
      </c>
      <c r="AC115" s="5">
        <f t="shared" si="42"/>
        <v>4.0828556308487883E-2</v>
      </c>
      <c r="AD115" s="5">
        <f t="shared" si="43"/>
        <v>1.0137947193975379E-2</v>
      </c>
      <c r="AE115" s="7">
        <f t="shared" si="44"/>
        <v>47942.176470588238</v>
      </c>
    </row>
    <row r="116" spans="1:31" x14ac:dyDescent="0.2">
      <c r="A116" s="13">
        <v>42137</v>
      </c>
      <c r="B116" s="5">
        <v>1.5873349156290163E-2</v>
      </c>
      <c r="C116" s="5">
        <v>1.6000000000000014E-2</v>
      </c>
      <c r="D116" s="7">
        <v>20656</v>
      </c>
      <c r="E116" s="5">
        <f t="shared" si="30"/>
        <v>2.707375258180069E-2</v>
      </c>
      <c r="F116" s="5">
        <f t="shared" si="31"/>
        <v>4.6501055924194921E-4</v>
      </c>
      <c r="G116" s="7">
        <f t="shared" si="32"/>
        <v>11728.35294117647</v>
      </c>
      <c r="H116" s="5">
        <v>-8.8776740320174533E-3</v>
      </c>
      <c r="I116" s="5">
        <v>-8.8383838383838745E-3</v>
      </c>
      <c r="J116" s="7">
        <v>148244</v>
      </c>
      <c r="K116" s="5">
        <f t="shared" si="33"/>
        <v>2.4481690514772874E-2</v>
      </c>
      <c r="L116" s="5">
        <f t="shared" si="34"/>
        <v>5.0842650454298258E-3</v>
      </c>
      <c r="M116" s="7">
        <f t="shared" si="35"/>
        <v>96479.941176470587</v>
      </c>
      <c r="N116" s="5">
        <v>5.1293294387550481E-2</v>
      </c>
      <c r="O116" s="5">
        <v>5.2631578947368474E-2</v>
      </c>
      <c r="P116" s="7">
        <v>429792</v>
      </c>
      <c r="Q116" s="5">
        <f t="shared" si="36"/>
        <v>4.3984195080029681E-2</v>
      </c>
      <c r="R116" s="5">
        <f t="shared" si="37"/>
        <v>1.4239503599984056E-2</v>
      </c>
      <c r="S116" s="7">
        <f t="shared" si="38"/>
        <v>314984.9411764706</v>
      </c>
      <c r="T116" s="5">
        <v>-1.9737482838321319E-2</v>
      </c>
      <c r="U116" s="5">
        <v>-1.9543973941368011E-2</v>
      </c>
      <c r="V116" s="7">
        <v>14351</v>
      </c>
      <c r="W116" s="5">
        <f t="shared" si="39"/>
        <v>4.098150547804541E-2</v>
      </c>
      <c r="X116" s="5">
        <f t="shared" si="40"/>
        <v>1.3370883656203647E-2</v>
      </c>
      <c r="Y116" s="7">
        <f t="shared" si="41"/>
        <v>14719.941176470587</v>
      </c>
      <c r="Z116" s="5">
        <v>1.5707129205357877E-2</v>
      </c>
      <c r="AA116" s="5">
        <v>1.5831134564643815E-2</v>
      </c>
      <c r="AB116" s="7">
        <v>41665</v>
      </c>
      <c r="AC116" s="5">
        <f t="shared" si="42"/>
        <v>4.0836698402197211E-2</v>
      </c>
      <c r="AD116" s="5">
        <f t="shared" si="43"/>
        <v>1.0694247715162822E-2</v>
      </c>
      <c r="AE116" s="7">
        <f t="shared" si="44"/>
        <v>48890.176470588238</v>
      </c>
    </row>
    <row r="117" spans="1:31" x14ac:dyDescent="0.2">
      <c r="A117" s="13">
        <v>42138</v>
      </c>
      <c r="B117" s="5">
        <v>-7.9051795071132611E-3</v>
      </c>
      <c r="C117" s="5">
        <v>-7.8740157480315029E-3</v>
      </c>
      <c r="D117" s="7">
        <v>8825</v>
      </c>
      <c r="E117" s="5">
        <f t="shared" si="30"/>
        <v>2.7150019701595231E-2</v>
      </c>
      <c r="F117" s="5">
        <f t="shared" si="31"/>
        <v>-7.3470641335488301E-18</v>
      </c>
      <c r="G117" s="7">
        <f t="shared" si="32"/>
        <v>12066</v>
      </c>
      <c r="H117" s="5">
        <v>5.0826030634658096E-3</v>
      </c>
      <c r="I117" s="5">
        <v>5.0955414012738903E-3</v>
      </c>
      <c r="J117" s="7">
        <v>50107</v>
      </c>
      <c r="K117" s="5">
        <f t="shared" si="33"/>
        <v>2.3523778902913194E-2</v>
      </c>
      <c r="L117" s="5">
        <f t="shared" si="34"/>
        <v>3.5335456545949879E-3</v>
      </c>
      <c r="M117" s="7">
        <f t="shared" si="35"/>
        <v>97888.352941176476</v>
      </c>
      <c r="N117" s="5">
        <v>3.4401426717332317E-2</v>
      </c>
      <c r="O117" s="5">
        <v>3.499999999999992E-2</v>
      </c>
      <c r="P117" s="7">
        <v>210095</v>
      </c>
      <c r="Q117" s="5">
        <f t="shared" si="36"/>
        <v>4.4246601425059637E-2</v>
      </c>
      <c r="R117" s="5">
        <f t="shared" si="37"/>
        <v>1.514970459009073E-2</v>
      </c>
      <c r="S117" s="7">
        <f t="shared" si="38"/>
        <v>326606.17647058825</v>
      </c>
      <c r="T117" s="5">
        <v>-1.2032230722821153E-2</v>
      </c>
      <c r="U117" s="5">
        <v>-1.1960132890365547E-2</v>
      </c>
      <c r="V117" s="7">
        <v>12243</v>
      </c>
      <c r="W117" s="5">
        <f t="shared" si="39"/>
        <v>4.1432337301563114E-2</v>
      </c>
      <c r="X117" s="5">
        <f t="shared" si="40"/>
        <v>1.1738264599430165E-2</v>
      </c>
      <c r="Y117" s="7">
        <f t="shared" si="41"/>
        <v>13059.411764705883</v>
      </c>
      <c r="Z117" s="5">
        <v>2.5642430613337652E-2</v>
      </c>
      <c r="AA117" s="5">
        <v>2.5974025974025997E-2</v>
      </c>
      <c r="AB117" s="7">
        <v>14057</v>
      </c>
      <c r="AC117" s="5">
        <f t="shared" si="42"/>
        <v>4.0787433915272404E-2</v>
      </c>
      <c r="AD117" s="5">
        <f t="shared" si="43"/>
        <v>1.0576065320035037E-2</v>
      </c>
      <c r="AE117" s="7">
        <f t="shared" si="44"/>
        <v>48734.705882352944</v>
      </c>
    </row>
    <row r="118" spans="1:31" x14ac:dyDescent="0.2">
      <c r="A118" s="13">
        <v>42139</v>
      </c>
      <c r="B118" s="5">
        <v>2.3530497410194036E-2</v>
      </c>
      <c r="C118" s="5">
        <v>2.3809523809523829E-2</v>
      </c>
      <c r="D118" s="7">
        <v>5906</v>
      </c>
      <c r="E118" s="5">
        <f t="shared" si="30"/>
        <v>2.1762033866346543E-2</v>
      </c>
      <c r="F118" s="5">
        <f t="shared" si="31"/>
        <v>5.2428105821180739E-3</v>
      </c>
      <c r="G118" s="7">
        <f t="shared" si="32"/>
        <v>11696.058823529413</v>
      </c>
      <c r="H118" s="5">
        <v>-1.4039796667482611E-2</v>
      </c>
      <c r="I118" s="5">
        <v>-1.3941698352344668E-2</v>
      </c>
      <c r="J118" s="7">
        <v>60840</v>
      </c>
      <c r="K118" s="5">
        <f t="shared" si="33"/>
        <v>1.7770584165141465E-2</v>
      </c>
      <c r="L118" s="5">
        <f t="shared" si="34"/>
        <v>6.2144817138227431E-3</v>
      </c>
      <c r="M118" s="7">
        <f t="shared" si="35"/>
        <v>99026.588235294112</v>
      </c>
      <c r="N118" s="5">
        <v>-8.569472110488284E-2</v>
      </c>
      <c r="O118" s="5">
        <v>-8.2125603864734276E-2</v>
      </c>
      <c r="P118" s="7">
        <v>172328</v>
      </c>
      <c r="Q118" s="5">
        <f t="shared" si="36"/>
        <v>4.7508514212847353E-2</v>
      </c>
      <c r="R118" s="5">
        <f t="shared" si="37"/>
        <v>1.3514366785033068E-2</v>
      </c>
      <c r="S118" s="7">
        <f t="shared" si="38"/>
        <v>334966.23529411765</v>
      </c>
      <c r="T118" s="5">
        <v>8.0375516424426759E-3</v>
      </c>
      <c r="U118" s="5">
        <v>8.0699394754540008E-3</v>
      </c>
      <c r="V118" s="7">
        <v>13068</v>
      </c>
      <c r="W118" s="5">
        <f t="shared" si="39"/>
        <v>3.9246617305605629E-2</v>
      </c>
      <c r="X118" s="5">
        <f t="shared" si="40"/>
        <v>1.4576145312399771E-2</v>
      </c>
      <c r="Y118" s="7">
        <f t="shared" si="41"/>
        <v>13392.294117647059</v>
      </c>
      <c r="Z118" s="5">
        <v>-1.7880425277848524E-2</v>
      </c>
      <c r="AA118" s="5">
        <v>-1.7721518987341842E-2</v>
      </c>
      <c r="AB118" s="7">
        <v>13174</v>
      </c>
      <c r="AC118" s="5">
        <f t="shared" si="42"/>
        <v>2.818173669753948E-2</v>
      </c>
      <c r="AD118" s="5">
        <f t="shared" si="43"/>
        <v>1.5920346194071334E-2</v>
      </c>
      <c r="AE118" s="7">
        <f t="shared" si="44"/>
        <v>48147.647058823532</v>
      </c>
    </row>
    <row r="119" spans="1:31" x14ac:dyDescent="0.2">
      <c r="A119" s="13">
        <v>42142</v>
      </c>
      <c r="B119" s="5">
        <v>7.7220460939103185E-3</v>
      </c>
      <c r="C119" s="5">
        <v>7.7519379844961309E-3</v>
      </c>
      <c r="D119" s="7">
        <v>2796</v>
      </c>
      <c r="E119" s="5">
        <f t="shared" si="30"/>
        <v>1.712579773228922E-2</v>
      </c>
      <c r="F119" s="5">
        <f t="shared" si="31"/>
        <v>2.3071007737224215E-3</v>
      </c>
      <c r="G119" s="7">
        <f t="shared" si="32"/>
        <v>11828.882352941177</v>
      </c>
      <c r="H119" s="5">
        <v>2.7885203489535642E-2</v>
      </c>
      <c r="I119" s="5">
        <v>2.8277634961439556E-2</v>
      </c>
      <c r="J119" s="7">
        <v>28474</v>
      </c>
      <c r="K119" s="5">
        <f t="shared" si="33"/>
        <v>1.8435629083714069E-2</v>
      </c>
      <c r="L119" s="5">
        <f t="shared" si="34"/>
        <v>7.8547878014424855E-3</v>
      </c>
      <c r="M119" s="7">
        <f t="shared" si="35"/>
        <v>94354.76470588235</v>
      </c>
      <c r="N119" s="5">
        <v>5.1293294387550481E-2</v>
      </c>
      <c r="O119" s="5">
        <v>5.2631578947368474E-2</v>
      </c>
      <c r="P119" s="7">
        <v>113715</v>
      </c>
      <c r="Q119" s="5">
        <f t="shared" si="36"/>
        <v>4.8331469611367722E-2</v>
      </c>
      <c r="R119" s="5">
        <f t="shared" si="37"/>
        <v>1.6143343864809447E-2</v>
      </c>
      <c r="S119" s="7">
        <f t="shared" si="38"/>
        <v>340609.5294117647</v>
      </c>
      <c r="T119" s="5">
        <v>3.151935247046854E-2</v>
      </c>
      <c r="U119" s="5">
        <v>3.2021347565043393E-2</v>
      </c>
      <c r="V119" s="7">
        <v>11442</v>
      </c>
      <c r="W119" s="5">
        <f t="shared" si="39"/>
        <v>3.8398524759167725E-2</v>
      </c>
      <c r="X119" s="5">
        <f t="shared" si="40"/>
        <v>1.7598101967276215E-2</v>
      </c>
      <c r="Y119" s="7">
        <f t="shared" si="41"/>
        <v>13254.764705882353</v>
      </c>
      <c r="Z119" s="5">
        <v>3.0459207484708654E-2</v>
      </c>
      <c r="AA119" s="5">
        <v>3.0927835051546421E-2</v>
      </c>
      <c r="AB119" s="7">
        <v>25330</v>
      </c>
      <c r="AC119" s="5">
        <f t="shared" si="42"/>
        <v>2.468637017078569E-2</v>
      </c>
      <c r="AD119" s="5">
        <f t="shared" si="43"/>
        <v>1.9939727461137133E-2</v>
      </c>
      <c r="AE119" s="7">
        <f t="shared" si="44"/>
        <v>46530.23529411765</v>
      </c>
    </row>
    <row r="120" spans="1:31" x14ac:dyDescent="0.2">
      <c r="A120" s="13">
        <v>42143</v>
      </c>
      <c r="B120" s="5">
        <v>7.6628727455690972E-3</v>
      </c>
      <c r="C120" s="5">
        <v>7.6923076923076988E-3</v>
      </c>
      <c r="D120" s="7">
        <v>46770</v>
      </c>
      <c r="E120" s="5">
        <f t="shared" si="30"/>
        <v>1.4361786292934404E-2</v>
      </c>
      <c r="F120" s="5">
        <f t="shared" si="31"/>
        <v>4.5075722032758363E-4</v>
      </c>
      <c r="G120" s="7">
        <f t="shared" si="32"/>
        <v>14405.529411764706</v>
      </c>
      <c r="H120" s="5">
        <v>3.0771658666753687E-2</v>
      </c>
      <c r="I120" s="5">
        <v>3.125E-2</v>
      </c>
      <c r="J120" s="7">
        <v>51526</v>
      </c>
      <c r="K120" s="5">
        <f t="shared" si="33"/>
        <v>1.9114366798485508E-2</v>
      </c>
      <c r="L120" s="5">
        <f t="shared" si="34"/>
        <v>9.6648853700750555E-3</v>
      </c>
      <c r="M120" s="7">
        <f t="shared" si="35"/>
        <v>93629.23529411765</v>
      </c>
      <c r="N120" s="5">
        <v>0.10436001532424286</v>
      </c>
      <c r="O120" s="5">
        <v>0.1100000000000001</v>
      </c>
      <c r="P120" s="7">
        <v>233742</v>
      </c>
      <c r="Q120" s="5">
        <f t="shared" si="36"/>
        <v>5.2739050023438636E-2</v>
      </c>
      <c r="R120" s="5">
        <f t="shared" si="37"/>
        <v>2.1896438851755549E-2</v>
      </c>
      <c r="S120" s="7">
        <f t="shared" si="38"/>
        <v>353446.76470588235</v>
      </c>
      <c r="T120" s="5">
        <v>-2.5889982099053842E-3</v>
      </c>
      <c r="U120" s="5">
        <v>-2.5856496444732337E-3</v>
      </c>
      <c r="V120" s="7">
        <v>13461</v>
      </c>
      <c r="W120" s="5">
        <f t="shared" si="39"/>
        <v>3.8545828958418973E-2</v>
      </c>
      <c r="X120" s="5">
        <f t="shared" si="40"/>
        <v>1.7292154765050898E-2</v>
      </c>
      <c r="Y120" s="7">
        <f t="shared" si="41"/>
        <v>13707.35294117647</v>
      </c>
      <c r="Z120" s="5">
        <v>4.8790164169432049E-2</v>
      </c>
      <c r="AA120" s="5">
        <v>5.0000000000000044E-2</v>
      </c>
      <c r="AB120" s="7">
        <v>85806</v>
      </c>
      <c r="AC120" s="5">
        <f t="shared" si="42"/>
        <v>2.5661552833108812E-2</v>
      </c>
      <c r="AD120" s="5">
        <f t="shared" si="43"/>
        <v>2.1584202594465956E-2</v>
      </c>
      <c r="AE120" s="7">
        <f t="shared" si="44"/>
        <v>46581.941176470587</v>
      </c>
    </row>
    <row r="121" spans="1:31" x14ac:dyDescent="0.2">
      <c r="A121" s="13">
        <v>42144</v>
      </c>
      <c r="B121" s="5">
        <v>1.5151805020602246E-2</v>
      </c>
      <c r="C121" s="5">
        <v>1.5267175572519097E-2</v>
      </c>
      <c r="D121" s="7">
        <v>16828</v>
      </c>
      <c r="E121" s="5">
        <f t="shared" si="30"/>
        <v>1.4617462462943581E-2</v>
      </c>
      <c r="F121" s="5">
        <f t="shared" si="31"/>
        <v>1.796277874122438E-3</v>
      </c>
      <c r="G121" s="7">
        <f t="shared" si="32"/>
        <v>14764.235294117647</v>
      </c>
      <c r="H121" s="5">
        <v>0</v>
      </c>
      <c r="I121" s="5">
        <v>0</v>
      </c>
      <c r="J121" s="7">
        <v>33970</v>
      </c>
      <c r="K121" s="5">
        <f t="shared" si="33"/>
        <v>1.9237834527995625E-2</v>
      </c>
      <c r="L121" s="5">
        <f t="shared" si="34"/>
        <v>9.3297076574493029E-3</v>
      </c>
      <c r="M121" s="7">
        <f t="shared" si="35"/>
        <v>90929.058823529413</v>
      </c>
      <c r="N121" s="5">
        <v>2.2272635609123223E-2</v>
      </c>
      <c r="O121" s="5">
        <v>2.2522522522522442E-2</v>
      </c>
      <c r="P121" s="7">
        <v>306115</v>
      </c>
      <c r="Q121" s="5">
        <f t="shared" si="36"/>
        <v>5.267330398824676E-2</v>
      </c>
      <c r="R121" s="5">
        <f t="shared" si="37"/>
        <v>2.1314999085555071E-2</v>
      </c>
      <c r="S121" s="7">
        <f t="shared" si="38"/>
        <v>365114.9411764706</v>
      </c>
      <c r="T121" s="5">
        <v>-1.5676349767388048E-2</v>
      </c>
      <c r="U121" s="5">
        <v>-1.5554115359688932E-2</v>
      </c>
      <c r="V121" s="7">
        <v>4444</v>
      </c>
      <c r="W121" s="5">
        <f t="shared" si="39"/>
        <v>3.622962821118221E-2</v>
      </c>
      <c r="X121" s="5">
        <f t="shared" si="40"/>
        <v>1.1937696705687678E-2</v>
      </c>
      <c r="Y121" s="7">
        <f t="shared" si="41"/>
        <v>11442.882352941177</v>
      </c>
      <c r="Z121" s="5">
        <v>-1.1976191046715649E-2</v>
      </c>
      <c r="AA121" s="5">
        <v>-1.1904761904761862E-2</v>
      </c>
      <c r="AB121" s="7">
        <v>51382</v>
      </c>
      <c r="AC121" s="5">
        <f t="shared" si="42"/>
        <v>2.599596862635499E-2</v>
      </c>
      <c r="AD121" s="5">
        <f t="shared" si="43"/>
        <v>1.8115690801369801E-2</v>
      </c>
      <c r="AE121" s="7">
        <f t="shared" si="44"/>
        <v>45601.647058823532</v>
      </c>
    </row>
    <row r="122" spans="1:31" x14ac:dyDescent="0.2">
      <c r="A122" s="13">
        <v>42145</v>
      </c>
      <c r="B122" s="5">
        <v>3.6904556935450764E-2</v>
      </c>
      <c r="C122" s="5">
        <v>3.7593984962405881E-2</v>
      </c>
      <c r="D122" s="7">
        <v>7074</v>
      </c>
      <c r="E122" s="5">
        <f t="shared" si="30"/>
        <v>1.6893239475518809E-2</v>
      </c>
      <c r="F122" s="5">
        <f t="shared" si="31"/>
        <v>3.5128961589189346E-3</v>
      </c>
      <c r="G122" s="7">
        <f t="shared" si="32"/>
        <v>14213.35294117647</v>
      </c>
      <c r="H122" s="5">
        <v>-1.4652276786870262E-2</v>
      </c>
      <c r="I122" s="5">
        <v>-1.454545454545445E-2</v>
      </c>
      <c r="J122" s="7">
        <v>18552</v>
      </c>
      <c r="K122" s="5">
        <f t="shared" si="33"/>
        <v>1.9995267866397055E-2</v>
      </c>
      <c r="L122" s="5">
        <f t="shared" si="34"/>
        <v>8.4678090229275242E-3</v>
      </c>
      <c r="M122" s="7">
        <f t="shared" si="35"/>
        <v>87745.882352941175</v>
      </c>
      <c r="N122" s="5">
        <v>1.3129291441792581E-2</v>
      </c>
      <c r="O122" s="5">
        <v>1.3215859030836918E-2</v>
      </c>
      <c r="P122" s="7">
        <v>82349</v>
      </c>
      <c r="Q122" s="5">
        <f t="shared" si="36"/>
        <v>5.1997354209948422E-2</v>
      </c>
      <c r="R122" s="5">
        <f t="shared" si="37"/>
        <v>2.2836664804332853E-2</v>
      </c>
      <c r="S122" s="7">
        <f t="shared" si="38"/>
        <v>354242.4117647059</v>
      </c>
      <c r="T122" s="5">
        <v>1.1780240942822954E-2</v>
      </c>
      <c r="U122" s="5">
        <v>1.1849901250822891E-2</v>
      </c>
      <c r="V122" s="7">
        <v>2560</v>
      </c>
      <c r="W122" s="5">
        <f t="shared" si="39"/>
        <v>3.4624276168644268E-2</v>
      </c>
      <c r="X122" s="5">
        <f t="shared" si="40"/>
        <v>9.4901889130265833E-3</v>
      </c>
      <c r="Y122" s="7">
        <f t="shared" si="41"/>
        <v>9335.823529411764</v>
      </c>
      <c r="Z122" s="5">
        <v>1.197619104671562E-2</v>
      </c>
      <c r="AA122" s="5">
        <v>1.2048192771084293E-2</v>
      </c>
      <c r="AB122" s="7">
        <v>33375</v>
      </c>
      <c r="AC122" s="5">
        <f t="shared" si="42"/>
        <v>2.4849976525291671E-2</v>
      </c>
      <c r="AD122" s="5">
        <f t="shared" si="43"/>
        <v>1.5996100910802447E-2</v>
      </c>
      <c r="AE122" s="7">
        <f t="shared" si="44"/>
        <v>45775.23529411765</v>
      </c>
    </row>
    <row r="123" spans="1:31" x14ac:dyDescent="0.2">
      <c r="A123" s="13">
        <v>42146</v>
      </c>
      <c r="B123" s="5">
        <v>-7.2727593290795849E-3</v>
      </c>
      <c r="C123" s="5">
        <v>-7.2463768115940486E-3</v>
      </c>
      <c r="D123" s="7">
        <v>10606</v>
      </c>
      <c r="E123" s="5">
        <f t="shared" si="30"/>
        <v>1.7078830481612725E-2</v>
      </c>
      <c r="F123" s="5">
        <f t="shared" si="31"/>
        <v>3.0850867866201353E-3</v>
      </c>
      <c r="G123" s="7">
        <f t="shared" si="32"/>
        <v>14245.235294117647</v>
      </c>
      <c r="H123" s="5">
        <v>1.3439420361661146E-2</v>
      </c>
      <c r="I123" s="5">
        <v>1.3530135301352943E-2</v>
      </c>
      <c r="J123" s="7">
        <v>5319</v>
      </c>
      <c r="K123" s="5">
        <f t="shared" si="33"/>
        <v>2.0027128108178194E-2</v>
      </c>
      <c r="L123" s="5">
        <f t="shared" si="34"/>
        <v>8.8420590221967073E-3</v>
      </c>
      <c r="M123" s="7">
        <f t="shared" si="35"/>
        <v>70611.470588235301</v>
      </c>
      <c r="N123" s="5">
        <v>4.2559614418795903E-2</v>
      </c>
      <c r="O123" s="5">
        <v>4.3478260869565258E-2</v>
      </c>
      <c r="P123" s="7">
        <v>617289</v>
      </c>
      <c r="Q123" s="5">
        <f t="shared" si="36"/>
        <v>5.2022312894272983E-2</v>
      </c>
      <c r="R123" s="5">
        <f t="shared" si="37"/>
        <v>2.496430105845196E-2</v>
      </c>
      <c r="S123" s="7">
        <f t="shared" si="38"/>
        <v>374811.9411764706</v>
      </c>
      <c r="T123" s="5">
        <v>6.4851070344703271E-3</v>
      </c>
      <c r="U123" s="5">
        <v>6.5061808718283294E-3</v>
      </c>
      <c r="V123" s="7">
        <v>4156</v>
      </c>
      <c r="W123" s="5">
        <f t="shared" si="39"/>
        <v>3.4573865392441942E-2</v>
      </c>
      <c r="X123" s="5">
        <f t="shared" si="40"/>
        <v>9.7817902575217108E-3</v>
      </c>
      <c r="Y123" s="7">
        <f t="shared" si="41"/>
        <v>8808.5882352941171</v>
      </c>
      <c r="Z123" s="5">
        <v>1.6529301951210506E-2</v>
      </c>
      <c r="AA123" s="5">
        <v>1.6666666666666521E-2</v>
      </c>
      <c r="AB123" s="7">
        <v>85970</v>
      </c>
      <c r="AC123" s="5">
        <f t="shared" si="42"/>
        <v>2.4505967073443238E-2</v>
      </c>
      <c r="AD123" s="5">
        <f t="shared" si="43"/>
        <v>1.6968412790285416E-2</v>
      </c>
      <c r="AE123" s="7">
        <f t="shared" si="44"/>
        <v>47099</v>
      </c>
    </row>
    <row r="124" spans="1:31" x14ac:dyDescent="0.2">
      <c r="A124" s="13">
        <v>42149</v>
      </c>
      <c r="B124" s="5">
        <v>-2.2141125877213518E-2</v>
      </c>
      <c r="C124" s="5">
        <v>-2.1897810218978121E-2</v>
      </c>
      <c r="D124" s="7">
        <v>13144</v>
      </c>
      <c r="E124" s="5">
        <f t="shared" si="30"/>
        <v>1.7598282617018002E-2</v>
      </c>
      <c r="F124" s="5">
        <f t="shared" si="31"/>
        <v>2.6946785900761236E-3</v>
      </c>
      <c r="G124" s="7">
        <f t="shared" si="32"/>
        <v>14868.882352941177</v>
      </c>
      <c r="H124" s="5">
        <v>-2.8309582841112523E-2</v>
      </c>
      <c r="I124" s="5">
        <v>-2.7912621359223351E-2</v>
      </c>
      <c r="J124" s="7">
        <v>6354</v>
      </c>
      <c r="K124" s="5">
        <f t="shared" si="33"/>
        <v>2.1888388245750841E-2</v>
      </c>
      <c r="L124" s="5">
        <f t="shared" si="34"/>
        <v>6.3529170204301363E-3</v>
      </c>
      <c r="M124" s="7">
        <f t="shared" si="35"/>
        <v>61048.647058823532</v>
      </c>
      <c r="N124" s="5">
        <v>-7.3467151881872514E-2</v>
      </c>
      <c r="O124" s="5">
        <v>-7.0833333333333304E-2</v>
      </c>
      <c r="P124" s="7">
        <v>128379</v>
      </c>
      <c r="Q124" s="5">
        <f t="shared" si="36"/>
        <v>5.6867246235514667E-2</v>
      </c>
      <c r="R124" s="5">
        <f t="shared" si="37"/>
        <v>2.1018574365328346E-2</v>
      </c>
      <c r="S124" s="7">
        <f t="shared" si="38"/>
        <v>346523.70588235295</v>
      </c>
      <c r="T124" s="5">
        <v>-1.5635497677904366E-2</v>
      </c>
      <c r="U124" s="5">
        <v>-1.5513897866839056E-2</v>
      </c>
      <c r="V124" s="7">
        <v>2707</v>
      </c>
      <c r="W124" s="5">
        <f t="shared" si="39"/>
        <v>3.5112456292040614E-2</v>
      </c>
      <c r="X124" s="5">
        <f t="shared" si="40"/>
        <v>8.1923302632258398E-3</v>
      </c>
      <c r="Y124" s="7">
        <f t="shared" si="41"/>
        <v>8623.3529411764703</v>
      </c>
      <c r="Z124" s="5">
        <v>-9.4118341823463698E-3</v>
      </c>
      <c r="AA124" s="5">
        <v>-9.3676814988288403E-3</v>
      </c>
      <c r="AB124" s="7">
        <v>8747</v>
      </c>
      <c r="AC124" s="5">
        <f t="shared" si="42"/>
        <v>2.502384296213845E-2</v>
      </c>
      <c r="AD124" s="5">
        <f t="shared" si="43"/>
        <v>1.4604677916808953E-2</v>
      </c>
      <c r="AE124" s="7">
        <f t="shared" si="44"/>
        <v>42124.176470588238</v>
      </c>
    </row>
    <row r="125" spans="1:31" x14ac:dyDescent="0.2">
      <c r="A125" s="13">
        <v>42150</v>
      </c>
      <c r="B125" s="5">
        <v>2.2141125877213501E-2</v>
      </c>
      <c r="C125" s="5">
        <v>2.2388059701492557E-2</v>
      </c>
      <c r="D125" s="7">
        <v>5267</v>
      </c>
      <c r="E125" s="5">
        <f t="shared" si="30"/>
        <v>1.7974678244775905E-2</v>
      </c>
      <c r="F125" s="5">
        <f t="shared" si="31"/>
        <v>4.458461139384323E-3</v>
      </c>
      <c r="G125" s="7">
        <f t="shared" si="32"/>
        <v>14444.117647058823</v>
      </c>
      <c r="H125" s="5">
        <v>-6.2617612239762224E-3</v>
      </c>
      <c r="I125" s="5">
        <v>-6.2421972534331864E-3</v>
      </c>
      <c r="J125" s="7">
        <v>39144</v>
      </c>
      <c r="K125" s="5">
        <f t="shared" si="33"/>
        <v>2.1597624518656978E-2</v>
      </c>
      <c r="L125" s="5">
        <f t="shared" si="34"/>
        <v>6.7255421064130478E-3</v>
      </c>
      <c r="M125" s="7">
        <f t="shared" si="35"/>
        <v>55184.882352941175</v>
      </c>
      <c r="N125" s="5">
        <v>0</v>
      </c>
      <c r="O125" s="5">
        <v>0</v>
      </c>
      <c r="P125" s="7">
        <v>170661</v>
      </c>
      <c r="Q125" s="5">
        <f t="shared" si="36"/>
        <v>5.7078745383392235E-2</v>
      </c>
      <c r="R125" s="5">
        <f t="shared" si="37"/>
        <v>1.9529291542723055E-2</v>
      </c>
      <c r="S125" s="7">
        <f t="shared" si="38"/>
        <v>333027.0588235294</v>
      </c>
      <c r="T125" s="5">
        <v>1.1100342512512976E-2</v>
      </c>
      <c r="U125" s="5">
        <v>1.1162179908076161E-2</v>
      </c>
      <c r="V125" s="7">
        <v>5071</v>
      </c>
      <c r="W125" s="5">
        <f t="shared" si="39"/>
        <v>3.300035973262827E-2</v>
      </c>
      <c r="X125" s="5">
        <f t="shared" si="40"/>
        <v>5.6064811649602858E-3</v>
      </c>
      <c r="Y125" s="7">
        <f t="shared" si="41"/>
        <v>8202.823529411764</v>
      </c>
      <c r="Z125" s="5">
        <v>1.4084739881738802E-2</v>
      </c>
      <c r="AA125" s="5">
        <v>1.4184397163120473E-2</v>
      </c>
      <c r="AB125" s="7">
        <v>42961</v>
      </c>
      <c r="AC125" s="5">
        <f t="shared" si="42"/>
        <v>2.404291397939478E-2</v>
      </c>
      <c r="AD125" s="5">
        <f t="shared" si="43"/>
        <v>1.298913303262462E-2</v>
      </c>
      <c r="AE125" s="7">
        <f t="shared" si="44"/>
        <v>42926.294117647056</v>
      </c>
    </row>
    <row r="126" spans="1:31" x14ac:dyDescent="0.2">
      <c r="A126" s="13">
        <v>42151</v>
      </c>
      <c r="B126" s="5">
        <v>2.8778964550043327E-2</v>
      </c>
      <c r="C126" s="5">
        <v>2.9197080291970663E-2</v>
      </c>
      <c r="D126" s="7">
        <v>4350</v>
      </c>
      <c r="E126" s="5">
        <f t="shared" si="30"/>
        <v>1.8913739606213377E-2</v>
      </c>
      <c r="F126" s="5">
        <f t="shared" si="31"/>
        <v>5.689978026973584E-3</v>
      </c>
      <c r="G126" s="7">
        <f t="shared" si="32"/>
        <v>14183.882352941177</v>
      </c>
      <c r="H126" s="5">
        <v>-3.7759642095350739E-3</v>
      </c>
      <c r="I126" s="5">
        <v>-3.7688442211055587E-3</v>
      </c>
      <c r="J126" s="7">
        <v>15112</v>
      </c>
      <c r="K126" s="5">
        <f t="shared" si="33"/>
        <v>2.1727318050900574E-2</v>
      </c>
      <c r="L126" s="5">
        <f t="shared" si="34"/>
        <v>5.9263165314839715E-3</v>
      </c>
      <c r="M126" s="7">
        <f t="shared" si="35"/>
        <v>52696.23529411765</v>
      </c>
      <c r="N126" s="5">
        <v>5.6660033565491263E-2</v>
      </c>
      <c r="O126" s="5">
        <v>5.8295964125560491E-2</v>
      </c>
      <c r="P126" s="7">
        <v>144826</v>
      </c>
      <c r="Q126" s="5">
        <f t="shared" si="36"/>
        <v>5.7651956934098525E-2</v>
      </c>
      <c r="R126" s="5">
        <f t="shared" si="37"/>
        <v>2.2495731767126294E-2</v>
      </c>
      <c r="S126" s="7">
        <f t="shared" si="38"/>
        <v>323768.29411764705</v>
      </c>
      <c r="T126" s="5">
        <v>2.5940351770465278E-3</v>
      </c>
      <c r="U126" s="5">
        <v>2.5974025974025419E-3</v>
      </c>
      <c r="V126" s="7">
        <v>7249</v>
      </c>
      <c r="W126" s="5">
        <f t="shared" si="39"/>
        <v>3.2931716775633696E-2</v>
      </c>
      <c r="X126" s="5">
        <f t="shared" si="40"/>
        <v>4.9246811758479406E-3</v>
      </c>
      <c r="Y126" s="7">
        <f t="shared" si="41"/>
        <v>8294.4705882352937</v>
      </c>
      <c r="Z126" s="5">
        <v>3.4367643504207818E-2</v>
      </c>
      <c r="AA126" s="5">
        <v>3.4965034965035051E-2</v>
      </c>
      <c r="AB126" s="7">
        <v>195236</v>
      </c>
      <c r="AC126" s="5">
        <f t="shared" si="42"/>
        <v>2.1692448365489159E-2</v>
      </c>
      <c r="AD126" s="5">
        <f t="shared" si="43"/>
        <v>1.1525129932337253E-2</v>
      </c>
      <c r="AE126" s="7">
        <f t="shared" si="44"/>
        <v>46041.411764705881</v>
      </c>
    </row>
    <row r="127" spans="1:31" x14ac:dyDescent="0.2">
      <c r="A127" s="13">
        <v>42152</v>
      </c>
      <c r="B127" s="5">
        <v>-2.1506205220963619E-2</v>
      </c>
      <c r="C127" s="5">
        <v>-2.1276595744680871E-2</v>
      </c>
      <c r="D127" s="7">
        <v>6672</v>
      </c>
      <c r="E127" s="5">
        <f t="shared" si="30"/>
        <v>1.7775473856880469E-2</v>
      </c>
      <c r="F127" s="5">
        <f t="shared" si="31"/>
        <v>6.292477620715743E-3</v>
      </c>
      <c r="G127" s="7">
        <f t="shared" si="32"/>
        <v>14043.176470588236</v>
      </c>
      <c r="H127" s="5">
        <v>2.5188930194839864E-3</v>
      </c>
      <c r="I127" s="5">
        <v>2.5220680958386462E-3</v>
      </c>
      <c r="J127" s="7">
        <v>32465</v>
      </c>
      <c r="K127" s="5">
        <f t="shared" si="33"/>
        <v>2.1372047367315305E-2</v>
      </c>
      <c r="L127" s="5">
        <f t="shared" si="34"/>
        <v>6.6515967422924021E-3</v>
      </c>
      <c r="M127" s="7">
        <f t="shared" si="35"/>
        <v>50254.294117647056</v>
      </c>
      <c r="N127" s="5">
        <v>-2.575249610241474E-2</v>
      </c>
      <c r="O127" s="5">
        <v>-2.5423728813559344E-2</v>
      </c>
      <c r="P127" s="7">
        <v>94063</v>
      </c>
      <c r="Q127" s="5">
        <f t="shared" si="36"/>
        <v>5.5365462844440078E-2</v>
      </c>
      <c r="R127" s="5">
        <f t="shared" si="37"/>
        <v>2.4364634592759928E-2</v>
      </c>
      <c r="S127" s="7">
        <f t="shared" si="38"/>
        <v>318248.35294117645</v>
      </c>
      <c r="T127" s="5">
        <v>-2.3592182016820069E-2</v>
      </c>
      <c r="U127" s="5">
        <v>-2.3316062176165768E-2</v>
      </c>
      <c r="V127" s="7">
        <v>4660</v>
      </c>
      <c r="W127" s="5">
        <f t="shared" si="39"/>
        <v>3.1453656584915279E-2</v>
      </c>
      <c r="X127" s="5">
        <f t="shared" si="40"/>
        <v>6.0764452845766832E-3</v>
      </c>
      <c r="Y127" s="7">
        <f t="shared" si="41"/>
        <v>8267.3529411764703</v>
      </c>
      <c r="Z127" s="5">
        <v>-9.0498355199179273E-3</v>
      </c>
      <c r="AA127" s="5">
        <v>-9.0090090090090159E-3</v>
      </c>
      <c r="AB127" s="7">
        <v>62746</v>
      </c>
      <c r="AC127" s="5">
        <f t="shared" si="42"/>
        <v>2.0904405963839856E-2</v>
      </c>
      <c r="AD127" s="5">
        <f t="shared" si="43"/>
        <v>1.213186708891803E-2</v>
      </c>
      <c r="AE127" s="7">
        <f t="shared" si="44"/>
        <v>46901.529411764706</v>
      </c>
    </row>
    <row r="128" spans="1:31" x14ac:dyDescent="0.2">
      <c r="A128" s="13">
        <v>42153</v>
      </c>
      <c r="B128" s="5">
        <v>-7.2727593290795849E-3</v>
      </c>
      <c r="C128" s="5">
        <v>-7.2463768115940486E-3</v>
      </c>
      <c r="D128" s="7">
        <v>12504</v>
      </c>
      <c r="E128" s="5">
        <f t="shared" si="30"/>
        <v>1.8067044885185041E-2</v>
      </c>
      <c r="F128" s="5">
        <f t="shared" si="31"/>
        <v>5.3921875603425767E-3</v>
      </c>
      <c r="G128" s="7">
        <f t="shared" si="32"/>
        <v>14251.941176470587</v>
      </c>
      <c r="H128" s="5">
        <v>-3.0653741091002402E-2</v>
      </c>
      <c r="I128" s="5">
        <v>-3.0188679245283043E-2</v>
      </c>
      <c r="J128" s="7">
        <v>60325</v>
      </c>
      <c r="K128" s="5">
        <f t="shared" si="33"/>
        <v>2.2893827111973492E-2</v>
      </c>
      <c r="L128" s="5">
        <f t="shared" si="34"/>
        <v>3.6998224222125416E-3</v>
      </c>
      <c r="M128" s="7">
        <f t="shared" si="35"/>
        <v>52160.058823529413</v>
      </c>
      <c r="N128" s="5">
        <v>-3.5401927050915723E-2</v>
      </c>
      <c r="O128" s="5">
        <v>-3.4782608695652015E-2</v>
      </c>
      <c r="P128" s="7">
        <v>277342</v>
      </c>
      <c r="Q128" s="5">
        <f t="shared" si="36"/>
        <v>5.6463432552194298E-2</v>
      </c>
      <c r="R128" s="5">
        <f t="shared" si="37"/>
        <v>1.8898412758106848E-2</v>
      </c>
      <c r="S128" s="7">
        <f t="shared" si="38"/>
        <v>304134.76470588235</v>
      </c>
      <c r="T128" s="5">
        <v>-6.7194565195687436E-2</v>
      </c>
      <c r="U128" s="5">
        <v>-6.4986737400530528E-2</v>
      </c>
      <c r="V128" s="7">
        <v>11353</v>
      </c>
      <c r="W128" s="5">
        <f t="shared" si="39"/>
        <v>3.5572605109918422E-2</v>
      </c>
      <c r="X128" s="5">
        <f t="shared" si="40"/>
        <v>5.4486024207364291E-4</v>
      </c>
      <c r="Y128" s="7">
        <f t="shared" si="41"/>
        <v>8273.823529411764</v>
      </c>
      <c r="Z128" s="5">
        <v>-9.1324835632725868E-3</v>
      </c>
      <c r="AA128" s="5">
        <v>-9.0909090909090974E-3</v>
      </c>
      <c r="AB128" s="7">
        <v>283048</v>
      </c>
      <c r="AC128" s="5">
        <f t="shared" si="42"/>
        <v>2.110812555826674E-2</v>
      </c>
      <c r="AD128" s="5">
        <f t="shared" si="43"/>
        <v>1.1924206617470814E-2</v>
      </c>
      <c r="AE128" s="7">
        <f t="shared" si="44"/>
        <v>61670.941176470587</v>
      </c>
    </row>
  </sheetData>
  <mergeCells count="18">
    <mergeCell ref="A1:A2"/>
    <mergeCell ref="H1:M1"/>
    <mergeCell ref="N1:S1"/>
    <mergeCell ref="T1:Y1"/>
    <mergeCell ref="Z1:AE1"/>
    <mergeCell ref="B1:G1"/>
    <mergeCell ref="Z44:AE44"/>
    <mergeCell ref="A87:A88"/>
    <mergeCell ref="B87:G87"/>
    <mergeCell ref="H87:M87"/>
    <mergeCell ref="N87:S87"/>
    <mergeCell ref="T87:Y87"/>
    <mergeCell ref="Z87:AE87"/>
    <mergeCell ref="A44:A45"/>
    <mergeCell ref="B44:G44"/>
    <mergeCell ref="H44:M44"/>
    <mergeCell ref="N44:S44"/>
    <mergeCell ref="T44:Y44"/>
  </mergeCells>
  <conditionalFormatting sqref="B3:C42 F19:F42 H3:I42 L19:L42 N3:O42 R19:R42 T3:U42 X19:X42 Z3:AA42 AD19:AD42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X62:X85 T46:U85 N46:O85 R62:R85 L62:L85 H46:I85 G48:G49 F62:F85 E60 B46:C85 AD62:AD85 Z46:AA85 X105:X128 T89:U128 N89:O128 R105:R128 L105:L128 H89:I128 G91:G92 F105:F128 E103 B89:C128 AD105:AD128 Z89:AA128">
    <cfRule type="cellIs" dxfId="1" priority="2" operator="greaterThan">
      <formula>0</formula>
    </cfRule>
  </conditionalFormatting>
  <conditionalFormatting sqref="X62:X85 T46:U85 N46:O85 R62:R85 L62:L85 H46:I85 G48:G49 F62:F85 E60 B46:C85 AD62:AD85 Z46:AA85 X105:X128 T89:U128 N89:O128 R105:R128 L105:L128 H89:I128 G91:G92 F105:F128 E103 B89:C128 AD105:AD128 Z89:AA128">
    <cfRule type="cellIs" dxfId="0" priority="1" operator="lessThan">
      <formula>0</formula>
    </cfRule>
  </conditionalFormatting>
  <pageMargins left="0.7" right="0.7" top="0.75" bottom="0.75" header="0.3" footer="0.3"/>
  <ignoredErrors>
    <ignoredError sqref="E19 Q62:R85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3"/>
  <sheetViews>
    <sheetView topLeftCell="A48" zoomScale="90" zoomScaleNormal="90" zoomScalePageLayoutView="90" workbookViewId="0">
      <selection activeCell="C73" sqref="C73"/>
    </sheetView>
  </sheetViews>
  <sheetFormatPr baseColWidth="10" defaultColWidth="8.83203125" defaultRowHeight="15" x14ac:dyDescent="0.2"/>
  <cols>
    <col min="1" max="12" width="14.6640625" style="43" customWidth="1"/>
    <col min="13" max="13" width="11.5" style="43" bestFit="1" customWidth="1"/>
    <col min="14" max="16384" width="8.83203125" style="43"/>
  </cols>
  <sheetData>
    <row r="1" spans="1:12" ht="15" customHeight="1" x14ac:dyDescent="0.2">
      <c r="A1" s="198" t="s">
        <v>6</v>
      </c>
      <c r="B1" s="198"/>
      <c r="C1" s="198"/>
      <c r="D1" s="198"/>
      <c r="E1" s="198"/>
      <c r="G1" s="3" t="s">
        <v>37</v>
      </c>
      <c r="H1" s="3" t="s">
        <v>38</v>
      </c>
      <c r="I1" s="3" t="s">
        <v>49</v>
      </c>
    </row>
    <row r="2" spans="1:12" ht="15" customHeight="1" x14ac:dyDescent="0.2">
      <c r="A2" s="3" t="s">
        <v>7</v>
      </c>
      <c r="B2" s="3" t="s">
        <v>8</v>
      </c>
      <c r="C2" s="3" t="s">
        <v>18</v>
      </c>
      <c r="D2" s="3" t="s">
        <v>9</v>
      </c>
      <c r="E2" s="3" t="s">
        <v>10</v>
      </c>
      <c r="G2" s="6">
        <f>C10</f>
        <v>100000</v>
      </c>
      <c r="H2" s="5">
        <f>(G4-G2)/G2</f>
        <v>8.4248613366282657E-2</v>
      </c>
      <c r="I2" s="5">
        <f>LN(G4/G2)</f>
        <v>8.0887224845071173E-2</v>
      </c>
    </row>
    <row r="3" spans="1:12" ht="15" customHeight="1" x14ac:dyDescent="0.2">
      <c r="A3" s="4" t="s">
        <v>11</v>
      </c>
      <c r="B3" s="5">
        <f t="shared" ref="B3:B9" si="0">C3/$C$10</f>
        <v>7.2029999999999997E-2</v>
      </c>
      <c r="C3" s="6">
        <f t="shared" ref="C3:C8" si="1">E3*D3</f>
        <v>7203</v>
      </c>
      <c r="D3" s="6">
        <v>7</v>
      </c>
      <c r="E3" s="7">
        <v>1029</v>
      </c>
      <c r="G3" s="3" t="s">
        <v>107</v>
      </c>
      <c r="H3" s="183" t="s">
        <v>50</v>
      </c>
      <c r="I3" s="183"/>
    </row>
    <row r="4" spans="1:12" ht="15" customHeight="1" x14ac:dyDescent="0.2">
      <c r="A4" s="4" t="s">
        <v>12</v>
      </c>
      <c r="B4" s="5">
        <f t="shared" si="0"/>
        <v>0.1458798</v>
      </c>
      <c r="C4" s="6">
        <f t="shared" si="1"/>
        <v>14587.98</v>
      </c>
      <c r="D4" s="6">
        <v>5.0599999999999996</v>
      </c>
      <c r="E4" s="7">
        <v>2883</v>
      </c>
      <c r="F4" s="47"/>
      <c r="G4" s="6">
        <f>K83</f>
        <v>108424.86133662827</v>
      </c>
      <c r="H4" s="5">
        <f>H2*360/24</f>
        <v>1.2637292004942398</v>
      </c>
      <c r="I4" s="5">
        <f>I2*360/24</f>
        <v>1.2133083726760676</v>
      </c>
    </row>
    <row r="5" spans="1:12" ht="15" customHeight="1" x14ac:dyDescent="0.2">
      <c r="A5" s="4" t="s">
        <v>13</v>
      </c>
      <c r="B5" s="5">
        <f t="shared" si="0"/>
        <v>4.0500000000000001E-2</v>
      </c>
      <c r="C5" s="6">
        <f t="shared" si="1"/>
        <v>4050</v>
      </c>
      <c r="D5" s="6">
        <v>18.75</v>
      </c>
      <c r="E5" s="7">
        <v>216</v>
      </c>
      <c r="G5" s="18" t="s">
        <v>67</v>
      </c>
      <c r="H5" s="18" t="s">
        <v>77</v>
      </c>
      <c r="I5" s="18" t="s">
        <v>82</v>
      </c>
      <c r="J5" s="49"/>
    </row>
    <row r="6" spans="1:12" ht="15" customHeight="1" x14ac:dyDescent="0.2">
      <c r="A6" s="4" t="s">
        <v>14</v>
      </c>
      <c r="B6" s="5">
        <f t="shared" si="0"/>
        <v>0.22916109999999998</v>
      </c>
      <c r="C6" s="6">
        <f t="shared" si="1"/>
        <v>22916.109999999997</v>
      </c>
      <c r="D6" s="6">
        <v>18.829999999999998</v>
      </c>
      <c r="E6" s="7">
        <v>1217</v>
      </c>
      <c r="G6" s="22">
        <f>G4-G2</f>
        <v>8424.8613366282661</v>
      </c>
      <c r="H6" s="23">
        <f>H2-'Διαχείριση Αποδόσεων'!S5</f>
        <v>-7.2495550834455053E-3</v>
      </c>
      <c r="I6" s="27">
        <f>H2-0.025*24/252</f>
        <v>8.1867660985330271E-2</v>
      </c>
      <c r="J6" s="49"/>
    </row>
    <row r="7" spans="1:12" x14ac:dyDescent="0.2">
      <c r="A7" s="4" t="s">
        <v>15</v>
      </c>
      <c r="B7" s="5">
        <f t="shared" si="0"/>
        <v>5.5103699999999999E-2</v>
      </c>
      <c r="C7" s="6">
        <f t="shared" si="1"/>
        <v>5510.37</v>
      </c>
      <c r="D7" s="6">
        <v>22.13</v>
      </c>
      <c r="E7" s="7">
        <v>249</v>
      </c>
    </row>
    <row r="8" spans="1:12" x14ac:dyDescent="0.2">
      <c r="A8" s="4" t="s">
        <v>16</v>
      </c>
      <c r="B8" s="5">
        <f t="shared" si="0"/>
        <v>0.238203</v>
      </c>
      <c r="C8" s="6">
        <f t="shared" si="1"/>
        <v>23820.3</v>
      </c>
      <c r="D8" s="6">
        <v>3.98</v>
      </c>
      <c r="E8" s="7">
        <v>5985</v>
      </c>
      <c r="G8" s="47"/>
      <c r="L8" s="48"/>
    </row>
    <row r="9" spans="1:12" x14ac:dyDescent="0.2">
      <c r="A9" s="4" t="s">
        <v>17</v>
      </c>
      <c r="B9" s="5">
        <f t="shared" si="0"/>
        <v>0.21912240000000005</v>
      </c>
      <c r="C9" s="6">
        <f>100000-SUM(C3:C8)</f>
        <v>21912.240000000005</v>
      </c>
      <c r="D9" s="8"/>
      <c r="E9" s="8"/>
      <c r="G9" s="47"/>
      <c r="L9" s="48"/>
    </row>
    <row r="10" spans="1:12" x14ac:dyDescent="0.2">
      <c r="A10" s="3" t="s">
        <v>19</v>
      </c>
      <c r="B10" s="5">
        <f>SUM(B3:B9)</f>
        <v>1</v>
      </c>
      <c r="C10" s="6">
        <f>SUM(C3:C9)</f>
        <v>100000</v>
      </c>
      <c r="D10" s="8"/>
      <c r="E10" s="8"/>
    </row>
    <row r="11" spans="1:12" ht="16" thickBot="1" x14ac:dyDescent="0.25"/>
    <row r="12" spans="1:12" ht="15" customHeight="1" x14ac:dyDescent="0.2">
      <c r="A12" s="177" t="s">
        <v>177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9"/>
    </row>
    <row r="13" spans="1:12" ht="16" thickBot="1" x14ac:dyDescent="0.25">
      <c r="A13" s="180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2"/>
    </row>
    <row r="14" spans="1:12" ht="15" customHeight="1" x14ac:dyDescent="0.2">
      <c r="A14" s="197" t="s">
        <v>105</v>
      </c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</row>
    <row r="15" spans="1:12" x14ac:dyDescent="0.2">
      <c r="A15" s="190" t="s">
        <v>0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</row>
    <row r="16" spans="1:12" x14ac:dyDescent="0.2">
      <c r="A16" s="194" t="s">
        <v>1</v>
      </c>
      <c r="B16" s="195"/>
      <c r="C16" s="196">
        <v>42121</v>
      </c>
      <c r="D16" s="196"/>
      <c r="E16" s="196">
        <v>42122</v>
      </c>
      <c r="F16" s="196"/>
      <c r="G16" s="196">
        <v>42123</v>
      </c>
      <c r="H16" s="196"/>
      <c r="I16" s="196">
        <v>42124</v>
      </c>
      <c r="J16" s="196"/>
      <c r="K16" s="196">
        <v>42125</v>
      </c>
      <c r="L16" s="196"/>
    </row>
    <row r="17" spans="1:12" x14ac:dyDescent="0.2">
      <c r="A17" s="184" t="s">
        <v>12</v>
      </c>
      <c r="B17" s="185"/>
      <c r="C17" s="1">
        <v>14559.15</v>
      </c>
      <c r="D17" s="2">
        <f t="shared" ref="D17:D22" si="2">C17/$C$27</f>
        <v>0.14287824218098313</v>
      </c>
      <c r="E17" s="175">
        <f>C17*(1+'Ανάλυση Μετοχών'!C20)</f>
        <v>15135.75</v>
      </c>
      <c r="F17" s="2">
        <f>E17/$E$27</f>
        <v>0.14794203689988947</v>
      </c>
      <c r="G17" s="1">
        <f>E17*(1+'Ανάλυση Μετοχών'!C21)-5.1*1667</f>
        <v>6201.5999999999985</v>
      </c>
      <c r="H17" s="1">
        <f>G17/$G$27</f>
        <v>6.0889005848134559E-2</v>
      </c>
      <c r="I17" s="1">
        <f>G17*(1+'Ανάλυση Μετοχών'!C22)</f>
        <v>6262.4</v>
      </c>
      <c r="J17" s="2">
        <f t="shared" ref="J17:J23" si="3">I17/$I$27</f>
        <v>6.1532176147911413E-2</v>
      </c>
      <c r="K17" s="12"/>
      <c r="L17" s="12"/>
    </row>
    <row r="18" spans="1:12" x14ac:dyDescent="0.2">
      <c r="A18" s="184" t="s">
        <v>13</v>
      </c>
      <c r="B18" s="185"/>
      <c r="C18" s="1">
        <v>4050</v>
      </c>
      <c r="D18" s="2">
        <f t="shared" si="2"/>
        <v>3.9745237931677446E-2</v>
      </c>
      <c r="E18" s="1">
        <f>C18*(1+'Ανάλυση Μετοχών'!C63)</f>
        <v>4050</v>
      </c>
      <c r="F18" s="2">
        <f t="shared" ref="F18:F22" si="4">E18/$E$27</f>
        <v>3.9586095796016206E-2</v>
      </c>
      <c r="G18" s="1">
        <f>E18*(1+'Ανάλυση Μετοχών'!C64)</f>
        <v>4104</v>
      </c>
      <c r="H18" s="2">
        <f t="shared" ref="H18:H23" si="5">G18/$G$27</f>
        <v>4.0294195046559643E-2</v>
      </c>
      <c r="I18" s="1">
        <f>G18*(1+'Ανάλυση Μετοχών'!C65)</f>
        <v>4129.92</v>
      </c>
      <c r="J18" s="2">
        <f t="shared" si="3"/>
        <v>4.0579165322684962E-2</v>
      </c>
      <c r="K18" s="12"/>
      <c r="L18" s="12"/>
    </row>
    <row r="19" spans="1:12" x14ac:dyDescent="0.2">
      <c r="A19" s="184" t="s">
        <v>20</v>
      </c>
      <c r="B19" s="185"/>
      <c r="C19" s="1">
        <v>10403.620000000001</v>
      </c>
      <c r="D19" s="2">
        <f t="shared" si="2"/>
        <v>0.10209737092611312</v>
      </c>
      <c r="E19" s="175">
        <f>C19*(1+'Ανάλυση Μετοχών'!I63)</f>
        <v>10118.120000000001</v>
      </c>
      <c r="F19" s="2">
        <f t="shared" si="4"/>
        <v>9.8897991998910501E-2</v>
      </c>
      <c r="G19" s="1">
        <f>E19*(1+'Ανάλυση Μετοχών'!I64)-8.75*686</f>
        <v>3990.0000000000018</v>
      </c>
      <c r="H19" s="2">
        <f t="shared" si="5"/>
        <v>3.9174911850821892E-2</v>
      </c>
      <c r="I19" s="1">
        <f>G19*(1+'Ανάλυση Μετοχών'!I65)</f>
        <v>4190.6400000000021</v>
      </c>
      <c r="J19" s="2">
        <f t="shared" si="3"/>
        <v>4.117577903878443E-2</v>
      </c>
      <c r="K19" s="12"/>
      <c r="L19" s="12"/>
    </row>
    <row r="20" spans="1:12" x14ac:dyDescent="0.2">
      <c r="A20" s="184" t="s">
        <v>14</v>
      </c>
      <c r="B20" s="185"/>
      <c r="C20" s="1">
        <v>23658.48</v>
      </c>
      <c r="D20" s="2">
        <f t="shared" si="2"/>
        <v>0.23217578190168697</v>
      </c>
      <c r="E20" s="175">
        <f>C20*(1+'Ανάλυση Μετοχών'!I20)</f>
        <v>23694.989999999998</v>
      </c>
      <c r="F20" s="2">
        <f t="shared" si="4"/>
        <v>0.23160299852485086</v>
      </c>
      <c r="G20" s="1">
        <f>E20*(1+'Ανάλυση Μετοχών'!I21)</f>
        <v>23828.86</v>
      </c>
      <c r="H20" s="2">
        <f t="shared" si="5"/>
        <v>0.23395826817182341</v>
      </c>
      <c r="I20" s="1">
        <f>G20*(1+'Ανάλυση Μετοχών'!I22)</f>
        <v>23342.060000000005</v>
      </c>
      <c r="J20" s="2">
        <f t="shared" si="3"/>
        <v>0.2293510072137068</v>
      </c>
      <c r="K20" s="12"/>
      <c r="L20" s="12"/>
    </row>
    <row r="21" spans="1:12" x14ac:dyDescent="0.2">
      <c r="A21" s="184" t="s">
        <v>15</v>
      </c>
      <c r="B21" s="185"/>
      <c r="C21" s="1">
        <v>5672.22</v>
      </c>
      <c r="D21" s="2">
        <f t="shared" si="2"/>
        <v>5.5665119382918384E-2</v>
      </c>
      <c r="E21" s="175">
        <f>C21*(1+'Ανάλυση Μετοχών'!U20)</f>
        <v>5632.38</v>
      </c>
      <c r="F21" s="2">
        <f t="shared" si="4"/>
        <v>5.5052823269028585E-2</v>
      </c>
      <c r="G21" s="1">
        <f>E21*(1+'Ανάλυση Μετοχών'!U21)</f>
        <v>5602.5</v>
      </c>
      <c r="H21" s="2">
        <f t="shared" si="5"/>
        <v>5.5006878106323195E-2</v>
      </c>
      <c r="I21" s="1">
        <f>G21*(1+'Ανάλυση Μετοχών'!U22)</f>
        <v>5602.5</v>
      </c>
      <c r="J21" s="2">
        <f t="shared" si="3"/>
        <v>5.5048227016586883E-2</v>
      </c>
      <c r="K21" s="12"/>
      <c r="L21" s="12"/>
    </row>
    <row r="22" spans="1:12" x14ac:dyDescent="0.2">
      <c r="A22" s="184" t="s">
        <v>16</v>
      </c>
      <c r="B22" s="185"/>
      <c r="C22" s="1">
        <v>23940</v>
      </c>
      <c r="D22" s="2">
        <f t="shared" si="2"/>
        <v>0.23493851755169334</v>
      </c>
      <c r="E22" s="1">
        <f>C22*(1+'Ανάλυση Μετοχών'!O20)</f>
        <v>24059.699999999997</v>
      </c>
      <c r="F22" s="2">
        <f t="shared" si="4"/>
        <v>0.23516779975886692</v>
      </c>
      <c r="G22" s="1">
        <f>E22*(1+'Ανάλυση Μετοχών'!O21)</f>
        <v>23999.85</v>
      </c>
      <c r="H22" s="2">
        <f t="shared" si="5"/>
        <v>0.23563709478269357</v>
      </c>
      <c r="I22" s="1">
        <f>G22*(1+'Ανάλυση Μετοχών'!O22)</f>
        <v>24119.550000000003</v>
      </c>
      <c r="J22" s="2">
        <f t="shared" si="3"/>
        <v>0.23699035500899926</v>
      </c>
      <c r="K22" s="12"/>
      <c r="L22" s="12"/>
    </row>
    <row r="23" spans="1:12" x14ac:dyDescent="0.2">
      <c r="A23" s="186" t="s">
        <v>42</v>
      </c>
      <c r="B23" s="187"/>
      <c r="C23" s="1"/>
      <c r="D23" s="2"/>
      <c r="E23" s="1"/>
      <c r="F23" s="2"/>
      <c r="G23" s="1">
        <f>'Περιεχόμενο Χαρτοφυλακίου'!G10*'Περιεχόμενο Χαρτοφυλακίου'!F10</f>
        <v>5002.4000000000005</v>
      </c>
      <c r="H23" s="2">
        <f t="shared" si="5"/>
        <v>4.9114932090865003E-2</v>
      </c>
      <c r="I23" s="1">
        <f>G23*(1+'Ανάλυση Μετοχών'!U65)</f>
        <v>5002.4000000000005</v>
      </c>
      <c r="J23" s="2">
        <f t="shared" si="3"/>
        <v>4.9151851999602723E-2</v>
      </c>
      <c r="K23" s="12"/>
      <c r="L23" s="12"/>
    </row>
    <row r="24" spans="1:12" x14ac:dyDescent="0.2">
      <c r="A24" s="186" t="s">
        <v>11</v>
      </c>
      <c r="B24" s="187"/>
      <c r="C24" s="1"/>
      <c r="D24" s="2"/>
      <c r="E24" s="1"/>
      <c r="F24" s="2"/>
      <c r="G24" s="1"/>
      <c r="H24" s="2"/>
      <c r="I24" s="1"/>
      <c r="J24" s="2"/>
      <c r="K24" s="12"/>
      <c r="L24" s="12"/>
    </row>
    <row r="25" spans="1:12" x14ac:dyDescent="0.2">
      <c r="A25" s="186"/>
      <c r="B25" s="187"/>
      <c r="C25" s="1"/>
      <c r="D25" s="2"/>
      <c r="E25" s="1"/>
      <c r="F25" s="2"/>
      <c r="G25" s="1"/>
      <c r="H25" s="2"/>
      <c r="I25" s="1"/>
      <c r="J25" s="2"/>
      <c r="K25" s="12"/>
      <c r="L25" s="12"/>
    </row>
    <row r="26" spans="1:12" x14ac:dyDescent="0.2">
      <c r="A26" s="186" t="s">
        <v>17</v>
      </c>
      <c r="B26" s="187"/>
      <c r="C26" s="1">
        <f>'Διαχείριση Μετρητών'!B3</f>
        <v>19615.530000000006</v>
      </c>
      <c r="D26" s="2">
        <f>C26/$C$27</f>
        <v>0.19249973012492769</v>
      </c>
      <c r="E26" s="1">
        <f>'Διαχείριση Μετρητών'!B4</f>
        <v>19617.709503333339</v>
      </c>
      <c r="F26" s="2">
        <f>E26/$E$27</f>
        <v>0.19175025375243732</v>
      </c>
      <c r="G26" s="1">
        <f>'Διαχείριση Μετρητών'!B5</f>
        <v>29121.689248833703</v>
      </c>
      <c r="H26" s="2">
        <f>G26/G27</f>
        <v>0.28592471410277881</v>
      </c>
      <c r="I26" s="1">
        <f>'Διαχείριση Μετρητών'!B6</f>
        <v>29124.924992083575</v>
      </c>
      <c r="J26" s="2">
        <f>I26/I27</f>
        <v>0.28617143825172364</v>
      </c>
      <c r="K26" s="12"/>
      <c r="L26" s="12"/>
    </row>
    <row r="27" spans="1:12" x14ac:dyDescent="0.2">
      <c r="A27" s="188" t="s">
        <v>19</v>
      </c>
      <c r="B27" s="189"/>
      <c r="C27" s="9">
        <f t="shared" ref="C27:J27" si="6">SUM(C17:C26)</f>
        <v>101899</v>
      </c>
      <c r="D27" s="10">
        <f t="shared" si="6"/>
        <v>1.0000000000000002</v>
      </c>
      <c r="E27" s="9">
        <f>SUM(E17:E26)</f>
        <v>102308.64950333335</v>
      </c>
      <c r="F27" s="10">
        <f t="shared" si="6"/>
        <v>1</v>
      </c>
      <c r="G27" s="9">
        <f t="shared" si="6"/>
        <v>101850.8992488337</v>
      </c>
      <c r="H27" s="10">
        <f t="shared" si="6"/>
        <v>1.0000000000000002</v>
      </c>
      <c r="I27" s="9">
        <f t="shared" si="6"/>
        <v>101774.39499208357</v>
      </c>
      <c r="J27" s="10">
        <f t="shared" si="6"/>
        <v>1</v>
      </c>
      <c r="K27" s="12"/>
      <c r="L27" s="12"/>
    </row>
    <row r="28" spans="1:12" x14ac:dyDescent="0.2">
      <c r="A28" s="58"/>
      <c r="B28" s="59"/>
      <c r="C28" s="60"/>
      <c r="D28" s="61"/>
      <c r="E28" s="60"/>
      <c r="F28" s="61"/>
      <c r="G28" s="60"/>
      <c r="H28" s="61"/>
      <c r="I28" s="60"/>
      <c r="J28" s="61"/>
      <c r="K28" s="62"/>
      <c r="L28" s="62"/>
    </row>
    <row r="29" spans="1:12" x14ac:dyDescent="0.2">
      <c r="A29" s="190" t="s">
        <v>2</v>
      </c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</row>
    <row r="30" spans="1:12" x14ac:dyDescent="0.2">
      <c r="A30" s="188" t="s">
        <v>1</v>
      </c>
      <c r="B30" s="189"/>
      <c r="C30" s="192">
        <v>42128</v>
      </c>
      <c r="D30" s="192"/>
      <c r="E30" s="192">
        <v>42129</v>
      </c>
      <c r="F30" s="192"/>
      <c r="G30" s="192">
        <v>42130</v>
      </c>
      <c r="H30" s="192"/>
      <c r="I30" s="192">
        <v>42131</v>
      </c>
      <c r="J30" s="192"/>
      <c r="K30" s="192">
        <v>42132</v>
      </c>
      <c r="L30" s="192"/>
    </row>
    <row r="31" spans="1:12" x14ac:dyDescent="0.2">
      <c r="A31" s="184" t="s">
        <v>12</v>
      </c>
      <c r="B31" s="185"/>
      <c r="C31" s="1">
        <f>I17*(1+'Ανάλυση Μετοχών'!C23)</f>
        <v>6323.2</v>
      </c>
      <c r="D31" s="2">
        <f t="shared" ref="D31:D37" si="7">C31/$C$41</f>
        <v>6.1910391710841305E-2</v>
      </c>
      <c r="E31" s="1">
        <f>C31*(1+'Ανάλυση Μετοχών'!C24)</f>
        <v>5982.7199999999993</v>
      </c>
      <c r="F31" s="2">
        <f t="shared" ref="F31:F37" si="8">E31/$E$41</f>
        <v>5.8956520180495277E-2</v>
      </c>
      <c r="G31" s="1">
        <f>E31*(1+'Ανάλυση Μετοχών'!C25)</f>
        <v>6104.3199999999988</v>
      </c>
      <c r="H31" s="2">
        <f t="shared" ref="H31:H37" si="9">G31/$G$41</f>
        <v>6.0431881818563765E-2</v>
      </c>
      <c r="I31" s="1">
        <f>G31*(1+'Ανάλυση Μετοχών'!C26)</f>
        <v>6432.6399999999994</v>
      </c>
      <c r="J31" s="2">
        <f t="shared" ref="J31:J37" si="10">I31/$I$41</f>
        <v>6.2026974613242893E-2</v>
      </c>
      <c r="K31" s="1">
        <f>I31*(1+'Ανάλυση Μετοχών'!C27)</f>
        <v>6432.6399999999994</v>
      </c>
      <c r="L31" s="2">
        <f t="shared" ref="L31:L37" si="11">K31/$K$41</f>
        <v>6.1588296317676081E-2</v>
      </c>
    </row>
    <row r="32" spans="1:12" x14ac:dyDescent="0.2">
      <c r="A32" s="184" t="s">
        <v>13</v>
      </c>
      <c r="B32" s="185"/>
      <c r="C32" s="1">
        <v>14188.78</v>
      </c>
      <c r="D32" s="2">
        <f t="shared" si="7"/>
        <v>0.13892221149085129</v>
      </c>
      <c r="E32" s="1">
        <f>C32*(1+'Ανάλυση Μετοχών'!C67)</f>
        <v>14204.66</v>
      </c>
      <c r="F32" s="2">
        <f t="shared" si="8"/>
        <v>0.13997936121815396</v>
      </c>
      <c r="G32" s="1">
        <f>E32*(1+'Ανάλυση Μετοχών'!C68)</f>
        <v>13926.759999999998</v>
      </c>
      <c r="H32" s="2">
        <f t="shared" si="9"/>
        <v>0.13787290221277737</v>
      </c>
      <c r="I32" s="1">
        <f>G32*(1+'Ανάλυση Μετοχών'!C69)</f>
        <v>14689</v>
      </c>
      <c r="J32" s="2">
        <f t="shared" si="10"/>
        <v>0.14163923833665881</v>
      </c>
      <c r="K32" s="1">
        <f>I32*(1+'Ανάλυση Μετοχών'!C70)</f>
        <v>14673.12</v>
      </c>
      <c r="L32" s="2">
        <f t="shared" si="11"/>
        <v>0.14048547135621137</v>
      </c>
    </row>
    <row r="33" spans="1:12" x14ac:dyDescent="0.2">
      <c r="A33" s="184" t="s">
        <v>16</v>
      </c>
      <c r="B33" s="185"/>
      <c r="C33" s="1">
        <v>34000.79</v>
      </c>
      <c r="D33" s="2">
        <f t="shared" si="7"/>
        <v>0.33290141500791626</v>
      </c>
      <c r="E33" s="1">
        <f>C33*(1+'Ανάλυση Μετοχών'!O24)</f>
        <v>33831.210000000006</v>
      </c>
      <c r="F33" s="2">
        <f t="shared" si="8"/>
        <v>0.33338856157326002</v>
      </c>
      <c r="G33" s="1">
        <f>E33*(1+'Ανάλυση Μετοχών'!O25)</f>
        <v>34170.37000000001</v>
      </c>
      <c r="H33" s="2">
        <f t="shared" si="9"/>
        <v>0.33828170239053618</v>
      </c>
      <c r="I33" s="1">
        <f>G33*(1+'Ανάλυση Μετοχών'!O26)</f>
        <v>34424.74</v>
      </c>
      <c r="J33" s="2">
        <f t="shared" si="10"/>
        <v>0.33194185809364229</v>
      </c>
      <c r="K33" s="1">
        <f>I33*(1+'Ανάλυση Μετοχών'!O27)</f>
        <v>34509.530000000006</v>
      </c>
      <c r="L33" s="2">
        <f t="shared" si="11"/>
        <v>0.33040604781609617</v>
      </c>
    </row>
    <row r="34" spans="1:12" x14ac:dyDescent="0.2">
      <c r="A34" s="184" t="s">
        <v>14</v>
      </c>
      <c r="B34" s="185"/>
      <c r="C34" s="1">
        <f>I20*(1+'Ανάλυση Μετοχών'!I23)</f>
        <v>23731.500000000004</v>
      </c>
      <c r="D34" s="2">
        <f t="shared" si="7"/>
        <v>0.23235489323219741</v>
      </c>
      <c r="E34" s="1">
        <f>C34*(1+'Ανάλυση Μετοχών'!I24)</f>
        <v>23658.480000000007</v>
      </c>
      <c r="F34" s="2">
        <f t="shared" si="8"/>
        <v>0.23314172375772968</v>
      </c>
      <c r="G34" s="1">
        <f>E34*(1+'Ανάλυση Μετοχών'!I25)</f>
        <v>23013.470000000005</v>
      </c>
      <c r="H34" s="2">
        <f t="shared" si="9"/>
        <v>0.22783001206933173</v>
      </c>
      <c r="I34" s="1">
        <f>G34*(1+'Ανάλυση Μετοχών'!I26)</f>
        <v>22782.240000000005</v>
      </c>
      <c r="J34" s="2">
        <f t="shared" si="10"/>
        <v>0.21967861128755956</v>
      </c>
      <c r="K34" s="1">
        <f>I34*(1+'Ανάλυση Μετοχών'!I27)</f>
        <v>23634.140000000007</v>
      </c>
      <c r="L34" s="2">
        <f t="shared" si="11"/>
        <v>0.22628134289085688</v>
      </c>
    </row>
    <row r="35" spans="1:12" x14ac:dyDescent="0.2">
      <c r="A35" s="184" t="s">
        <v>15</v>
      </c>
      <c r="B35" s="185"/>
      <c r="C35" s="1">
        <f>I21*(1+'Ανάλυση Μετοχών'!U23)</f>
        <v>5664.75</v>
      </c>
      <c r="D35" s="2">
        <f t="shared" si="7"/>
        <v>5.5463513955590252E-2</v>
      </c>
      <c r="E35" s="1">
        <f>C35*(1+'Ανάλυση Μετοχών'!U24)</f>
        <v>5577.5999999999995</v>
      </c>
      <c r="F35" s="2">
        <f t="shared" si="8"/>
        <v>5.4964278281238378E-2</v>
      </c>
      <c r="G35" s="1">
        <f>E35*(1+'Ανάλυση Μετοχών'!U25)</f>
        <v>5642.34</v>
      </c>
      <c r="H35" s="2">
        <f t="shared" si="9"/>
        <v>5.5858346885509794E-2</v>
      </c>
      <c r="I35" s="1">
        <f>G35*(1+'Ανάλυση Μετοχών'!U26)</f>
        <v>5614.95</v>
      </c>
      <c r="J35" s="2">
        <f t="shared" si="10"/>
        <v>5.4142367846580594E-2</v>
      </c>
      <c r="K35" s="1">
        <f>I35*(1+'Ανάλυση Μετοχών'!U27)</f>
        <v>5550.2099999999991</v>
      </c>
      <c r="L35" s="2">
        <f t="shared" si="11"/>
        <v>5.3139609570149883E-2</v>
      </c>
    </row>
    <row r="36" spans="1:12" x14ac:dyDescent="0.2">
      <c r="A36" s="184" t="s">
        <v>20</v>
      </c>
      <c r="B36" s="185"/>
      <c r="C36" s="1">
        <f>I19*(1+'Ανάλυση Μετοχών'!I66)</f>
        <v>4085.7600000000025</v>
      </c>
      <c r="D36" s="2">
        <f t="shared" si="7"/>
        <v>4.0003637720851325E-2</v>
      </c>
      <c r="E36" s="1">
        <f>C36*(1+'Ανάλυση Μετοχών'!I67)</f>
        <v>4081.2000000000016</v>
      </c>
      <c r="F36" s="2">
        <f t="shared" si="8"/>
        <v>4.0218053019468979E-2</v>
      </c>
      <c r="G36" s="1">
        <f>E36*(1+'Ανάλυση Μετοχών'!I68)</f>
        <v>4108.5600000000022</v>
      </c>
      <c r="H36" s="2">
        <f t="shared" si="9"/>
        <v>4.0674147548699691E-2</v>
      </c>
      <c r="I36" s="1">
        <f>G36*(1+'Ανάλυση Μετοχών'!I69)</f>
        <v>4227.1200000000017</v>
      </c>
      <c r="J36" s="2">
        <f t="shared" si="10"/>
        <v>4.0760164555630571E-2</v>
      </c>
      <c r="K36" s="1">
        <f>I36*(1+'Ανάλυση Μετοχών'!I70)</f>
        <v>4108.5600000000022</v>
      </c>
      <c r="L36" s="2">
        <f t="shared" si="11"/>
        <v>3.9336759202901361E-2</v>
      </c>
    </row>
    <row r="37" spans="1:12" x14ac:dyDescent="0.2">
      <c r="A37" s="184" t="s">
        <v>42</v>
      </c>
      <c r="B37" s="185"/>
      <c r="C37" s="1">
        <f>I23*(1+'Ανάλυση Μετοχών'!U66)</f>
        <v>5002.4000000000005</v>
      </c>
      <c r="D37" s="2">
        <f t="shared" si="7"/>
        <v>4.8978451337030708E-2</v>
      </c>
      <c r="E37" s="1">
        <f>C37*(1+'Ανάλυση Μετοχών'!U67)</f>
        <v>5002.4000000000005</v>
      </c>
      <c r="F37" s="2">
        <f t="shared" si="8"/>
        <v>4.9295988538810044E-2</v>
      </c>
      <c r="G37" s="1">
        <f>E37*(1+'Ανάλυση Μετοχών'!U68)</f>
        <v>4906.2</v>
      </c>
      <c r="H37" s="2">
        <f t="shared" si="9"/>
        <v>4.8570667753040073E-2</v>
      </c>
      <c r="I37" s="1">
        <f>G37*(1+'Ανάλυση Μετοχών'!U69)</f>
        <v>5002.4000000000005</v>
      </c>
      <c r="J37" s="2">
        <f t="shared" si="10"/>
        <v>4.8235831292484314E-2</v>
      </c>
      <c r="K37" s="1">
        <f>I37*(1+'Ανάλυση Μετοχών'!U70)</f>
        <v>5002.4000000000005</v>
      </c>
      <c r="L37" s="2">
        <f t="shared" si="11"/>
        <v>4.7894689194412074E-2</v>
      </c>
    </row>
    <row r="38" spans="1:12" x14ac:dyDescent="0.2">
      <c r="A38" s="184" t="s">
        <v>11</v>
      </c>
      <c r="B38" s="185"/>
      <c r="C38" s="1">
        <v>0</v>
      </c>
      <c r="D38" s="2">
        <v>0</v>
      </c>
      <c r="E38" s="1">
        <v>0</v>
      </c>
      <c r="F38" s="2">
        <v>0</v>
      </c>
      <c r="G38" s="1">
        <v>0</v>
      </c>
      <c r="H38" s="2">
        <v>0</v>
      </c>
      <c r="I38" s="1">
        <v>0</v>
      </c>
      <c r="J38" s="2">
        <v>0</v>
      </c>
      <c r="K38" s="1">
        <v>0</v>
      </c>
      <c r="L38" s="2">
        <v>0</v>
      </c>
    </row>
    <row r="39" spans="1:12" x14ac:dyDescent="0.2">
      <c r="A39" s="193"/>
      <c r="B39" s="193"/>
      <c r="C39" s="1"/>
      <c r="D39" s="2"/>
      <c r="E39" s="1"/>
      <c r="F39" s="2"/>
      <c r="G39" s="1"/>
      <c r="H39" s="2"/>
      <c r="I39" s="1"/>
      <c r="J39" s="2"/>
      <c r="K39" s="1"/>
      <c r="L39" s="2"/>
    </row>
    <row r="40" spans="1:12" x14ac:dyDescent="0.2">
      <c r="A40" s="193" t="s">
        <v>17</v>
      </c>
      <c r="B40" s="193"/>
      <c r="C40" s="1">
        <f>'Διαχείριση Μετρητών'!B10</f>
        <v>9137.5315607528319</v>
      </c>
      <c r="D40" s="2">
        <f>C40/C41</f>
        <v>8.9465485544721488E-2</v>
      </c>
      <c r="E40" s="1">
        <f>'Διαχείριση Μετρητών'!B11</f>
        <v>9138.54684203736</v>
      </c>
      <c r="F40" s="2">
        <f>E40/$E$41</f>
        <v>9.005551343084367E-2</v>
      </c>
      <c r="G40" s="1">
        <f>'Διαχείριση Μετρητών'!B12</f>
        <v>9139.5622361309197</v>
      </c>
      <c r="H40" s="2">
        <f>G40/$G$41</f>
        <v>9.0480339321541495E-2</v>
      </c>
      <c r="I40" s="1">
        <f>'Διαχείριση Μετρητών'!B13</f>
        <v>10534.047743046045</v>
      </c>
      <c r="J40" s="2">
        <f>I40/$I$41</f>
        <v>0.1015749539742012</v>
      </c>
      <c r="K40" s="1">
        <f>'Διαχείριση Μετρητών'!B14</f>
        <v>10535.218192795272</v>
      </c>
      <c r="L40" s="2">
        <f>K40/$K$41</f>
        <v>0.10086778365169621</v>
      </c>
    </row>
    <row r="41" spans="1:12" x14ac:dyDescent="0.2">
      <c r="A41" s="191" t="s">
        <v>19</v>
      </c>
      <c r="B41" s="191"/>
      <c r="C41" s="9">
        <f t="shared" ref="C41:L41" si="12">SUM(C31:C40)</f>
        <v>102134.71156075284</v>
      </c>
      <c r="D41" s="10">
        <f t="shared" si="12"/>
        <v>1</v>
      </c>
      <c r="E41" s="9">
        <f t="shared" si="12"/>
        <v>101476.81684203737</v>
      </c>
      <c r="F41" s="10">
        <f t="shared" si="12"/>
        <v>1</v>
      </c>
      <c r="G41" s="9">
        <f t="shared" si="12"/>
        <v>101011.58223613093</v>
      </c>
      <c r="H41" s="10">
        <f t="shared" si="12"/>
        <v>1.0000000000000002</v>
      </c>
      <c r="I41" s="9">
        <f t="shared" si="12"/>
        <v>103707.13774304603</v>
      </c>
      <c r="J41" s="10">
        <f t="shared" si="12"/>
        <v>1.0000000000000002</v>
      </c>
      <c r="K41" s="9">
        <f t="shared" si="12"/>
        <v>104445.81819279528</v>
      </c>
      <c r="L41" s="10">
        <f t="shared" si="12"/>
        <v>1</v>
      </c>
    </row>
    <row r="42" spans="1:12" x14ac:dyDescent="0.2">
      <c r="A42" s="65"/>
      <c r="B42" s="51"/>
      <c r="C42" s="63"/>
      <c r="D42" s="64"/>
      <c r="E42" s="63"/>
      <c r="F42" s="64"/>
      <c r="G42" s="63"/>
      <c r="H42" s="64"/>
      <c r="I42" s="63"/>
      <c r="J42" s="64"/>
      <c r="K42" s="63"/>
      <c r="L42" s="64"/>
    </row>
    <row r="43" spans="1:12" x14ac:dyDescent="0.2">
      <c r="A43" s="190" t="s">
        <v>3</v>
      </c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</row>
    <row r="44" spans="1:12" x14ac:dyDescent="0.2">
      <c r="A44" s="191" t="s">
        <v>1</v>
      </c>
      <c r="B44" s="191"/>
      <c r="C44" s="192">
        <v>42135</v>
      </c>
      <c r="D44" s="192"/>
      <c r="E44" s="192">
        <v>42136</v>
      </c>
      <c r="F44" s="192"/>
      <c r="G44" s="192">
        <v>42137</v>
      </c>
      <c r="H44" s="192"/>
      <c r="I44" s="192">
        <v>42138</v>
      </c>
      <c r="J44" s="192"/>
      <c r="K44" s="192">
        <v>42139</v>
      </c>
      <c r="L44" s="192"/>
    </row>
    <row r="45" spans="1:12" x14ac:dyDescent="0.2">
      <c r="A45" s="184" t="s">
        <v>12</v>
      </c>
      <c r="B45" s="185"/>
      <c r="C45" s="1">
        <f>K31*(1+'Ανάλυση Μετοχών'!C28)</f>
        <v>6152.9599999999991</v>
      </c>
      <c r="D45" s="2">
        <f>C45/$C$55</f>
        <v>5.9378919109966663E-2</v>
      </c>
      <c r="E45" s="1">
        <f>C45*(1+'Ανάλυση Μετοχών'!C29)</f>
        <v>6323.2</v>
      </c>
      <c r="F45" s="2">
        <f>E45/$E$55</f>
        <v>6.0823925270882456E-2</v>
      </c>
      <c r="G45" s="1">
        <v>0</v>
      </c>
      <c r="H45" s="2">
        <v>0</v>
      </c>
      <c r="I45" s="1">
        <v>0</v>
      </c>
      <c r="J45" s="2">
        <v>0</v>
      </c>
      <c r="K45" s="1">
        <v>0</v>
      </c>
      <c r="L45" s="2">
        <v>0</v>
      </c>
    </row>
    <row r="46" spans="1:12" x14ac:dyDescent="0.2">
      <c r="A46" s="184" t="s">
        <v>13</v>
      </c>
      <c r="B46" s="185"/>
      <c r="C46" s="1">
        <f>K32*(1+'Ανάλυση Μετοχών'!C71)</f>
        <v>14157.019999999999</v>
      </c>
      <c r="D46" s="2">
        <f t="shared" ref="D46:D55" si="13">C46/$C$55</f>
        <v>0.13662181217140698</v>
      </c>
      <c r="E46" s="1">
        <f>C46*(1+'Ανάλυση Μετοχών'!C72)</f>
        <v>14284.059999999998</v>
      </c>
      <c r="F46" s="2">
        <f t="shared" ref="F46:F54" si="14">E46/$E$55</f>
        <v>0.13740077777150828</v>
      </c>
      <c r="G46" s="1">
        <f>E46*(1+'Ανάλυση Μετοχών'!C73)</f>
        <v>14331.7</v>
      </c>
      <c r="H46" s="2">
        <f>G46/$G$55</f>
        <v>0.13776283984254969</v>
      </c>
      <c r="I46" s="1">
        <f>G46*(1+'Ανάλυση Μετοχών'!C74)</f>
        <v>14212.599999999999</v>
      </c>
      <c r="J46" s="2">
        <f>I46/$I$55</f>
        <v>0.13727373910003751</v>
      </c>
      <c r="K46" s="1">
        <f>I46*(1+'Ανάλυση Μετοχών'!C75)</f>
        <v>13990.28</v>
      </c>
      <c r="L46" s="2">
        <f>K46/$K$55</f>
        <v>0.13527960828358596</v>
      </c>
    </row>
    <row r="47" spans="1:12" x14ac:dyDescent="0.2">
      <c r="A47" s="184" t="s">
        <v>16</v>
      </c>
      <c r="B47" s="185"/>
      <c r="C47" s="1">
        <f>K33*(1+'Ανάλυση Μετοχών'!O28)</f>
        <v>34339.950000000004</v>
      </c>
      <c r="D47" s="2">
        <f t="shared" si="13"/>
        <v>0.33139645199876161</v>
      </c>
      <c r="E47" s="1">
        <f>C47*(1+'Ανάλυση Μετοχών'!O29)</f>
        <v>34339.950000000004</v>
      </c>
      <c r="F47" s="2">
        <f t="shared" si="14"/>
        <v>0.33032175996423335</v>
      </c>
      <c r="G47" s="1">
        <f>E47*(1+'Ανάλυση Μετοχών'!O30)</f>
        <v>34339.950000000004</v>
      </c>
      <c r="H47" s="2">
        <f t="shared" ref="H47:H54" si="15">G47/$G$55</f>
        <v>0.33009126845043957</v>
      </c>
      <c r="I47" s="1">
        <f>G47*(1+'Ανάλυση Μετοχών'!O31)</f>
        <v>34339.950000000004</v>
      </c>
      <c r="J47" s="2">
        <f t="shared" ref="J47:J54" si="16">I47/$I$55</f>
        <v>0.33167564956505735</v>
      </c>
      <c r="K47" s="1">
        <f>I47*(1+'Ανάλυση Μετοχών'!O32)</f>
        <v>34339.950000000004</v>
      </c>
      <c r="L47" s="2">
        <f t="shared" ref="L47:L54" si="17">K47/$K$55</f>
        <v>0.33205160900839209</v>
      </c>
    </row>
    <row r="48" spans="1:12" x14ac:dyDescent="0.2">
      <c r="A48" s="184" t="s">
        <v>14</v>
      </c>
      <c r="B48" s="185"/>
      <c r="C48" s="1">
        <f>K34*(1+'Ανάλυση Μετοχών'!I28)</f>
        <v>23901.880000000005</v>
      </c>
      <c r="D48" s="2">
        <f t="shared" si="13"/>
        <v>0.23066423300267358</v>
      </c>
      <c r="E48" s="1">
        <f>C48*(1+'Ανάλυση Μετοχών'!I29)</f>
        <v>23561.120000000006</v>
      </c>
      <c r="F48" s="2">
        <f t="shared" si="14"/>
        <v>0.22663837964611183</v>
      </c>
      <c r="G48" s="1">
        <f>E48*(1+'Ανάλυση Μετοχών'!I30)</f>
        <v>23621.970000000008</v>
      </c>
      <c r="H48" s="2">
        <f t="shared" si="15"/>
        <v>0.22706515416004483</v>
      </c>
      <c r="I48" s="1">
        <f>G48*(1+'Ανάλυση Μετοχών'!I31)</f>
        <v>23488.100000000009</v>
      </c>
      <c r="J48" s="2">
        <f t="shared" si="16"/>
        <v>0.22686203167299387</v>
      </c>
      <c r="K48" s="1">
        <f>I48*(1+'Ανάλυση Μετοχών'!I32)</f>
        <v>23609.800000000003</v>
      </c>
      <c r="L48" s="2">
        <f t="shared" si="17"/>
        <v>0.22829596660351384</v>
      </c>
    </row>
    <row r="49" spans="1:12" x14ac:dyDescent="0.2">
      <c r="A49" s="184" t="s">
        <v>15</v>
      </c>
      <c r="B49" s="185"/>
      <c r="C49" s="1">
        <f>K35*(1+'Ανάλυση Μετοχών'!U28)</f>
        <v>5552.7</v>
      </c>
      <c r="D49" s="2">
        <f t="shared" si="13"/>
        <v>5.3586131576007633E-2</v>
      </c>
      <c r="E49" s="1">
        <f>C49*(1+'Ανάλυση Μετοχών'!U29)</f>
        <v>5602.5</v>
      </c>
      <c r="F49" s="2">
        <f t="shared" si="14"/>
        <v>5.3891390645578026E-2</v>
      </c>
      <c r="G49" s="1">
        <f>E49*(1+'Ανάλυση Μετοχών'!U30)</f>
        <v>5512.86</v>
      </c>
      <c r="H49" s="2">
        <f t="shared" si="15"/>
        <v>5.2992125794874188E-2</v>
      </c>
      <c r="I49" s="1">
        <f>G49*(1+'Ανάλυση Μετοχών'!U31)</f>
        <v>5602.4999999999991</v>
      </c>
      <c r="J49" s="2">
        <f t="shared" si="16"/>
        <v>5.4112275256319051E-2</v>
      </c>
      <c r="K49" s="1">
        <f>I49*(1+'Ανάλυση Μετοχών'!U32)</f>
        <v>5378.4</v>
      </c>
      <c r="L49" s="2">
        <f t="shared" si="17"/>
        <v>5.2006667857429481E-2</v>
      </c>
    </row>
    <row r="50" spans="1:12" x14ac:dyDescent="0.2">
      <c r="A50" s="184" t="s">
        <v>20</v>
      </c>
      <c r="B50" s="185"/>
      <c r="C50" s="1">
        <f>K36*(1+'Ανάλυση Μετοχών'!I71)</f>
        <v>3976.3200000000024</v>
      </c>
      <c r="D50" s="2">
        <f t="shared" si="13"/>
        <v>3.8373333100709707E-2</v>
      </c>
      <c r="E50" s="1">
        <f>C50*(1+'Ανάλυση Μετοχών'!I72)</f>
        <v>4017.3600000000019</v>
      </c>
      <c r="F50" s="2">
        <f t="shared" si="14"/>
        <v>3.8643662137245773E-2</v>
      </c>
      <c r="G50" s="1">
        <f>E50*(1+'Ανάλυση Μετοχών'!I73)</f>
        <v>3948.9600000000014</v>
      </c>
      <c r="H50" s="2">
        <f t="shared" si="15"/>
        <v>3.7959205399543332E-2</v>
      </c>
      <c r="I50" s="1">
        <v>0</v>
      </c>
      <c r="J50" s="2">
        <v>0</v>
      </c>
      <c r="K50" s="1">
        <v>0</v>
      </c>
      <c r="L50" s="2">
        <v>0</v>
      </c>
    </row>
    <row r="51" spans="1:12" x14ac:dyDescent="0.2">
      <c r="A51" s="184" t="s">
        <v>42</v>
      </c>
      <c r="B51" s="185"/>
      <c r="C51" s="1">
        <f>K37*(1+'Ανάλυση Μετοχών'!U71)</f>
        <v>5002.4000000000005</v>
      </c>
      <c r="D51" s="2">
        <f t="shared" si="13"/>
        <v>4.8275481224597155E-2</v>
      </c>
      <c r="E51" s="1">
        <f>C51*(1+'Ανάλυση Μετοχών'!U72)</f>
        <v>5291.0000000000009</v>
      </c>
      <c r="F51" s="2">
        <f t="shared" si="14"/>
        <v>5.0895019706515547E-2</v>
      </c>
      <c r="G51" s="1">
        <f>E51*(1+'Ανάλυση Μετοχών'!U73)</f>
        <v>5291.0000000000009</v>
      </c>
      <c r="H51" s="2">
        <f t="shared" si="15"/>
        <v>5.0859506241892484E-2</v>
      </c>
      <c r="I51" s="1">
        <f>G51*(1+'Ανάλυση Μετοχών'!U74)</f>
        <v>5324.670000000001</v>
      </c>
      <c r="J51" s="2">
        <f t="shared" si="16"/>
        <v>5.1428827967704496E-2</v>
      </c>
      <c r="K51" s="1">
        <f>I51*(1+'Ανάλυση Μετοχών'!U75)</f>
        <v>5531.5000000000009</v>
      </c>
      <c r="L51" s="2">
        <f t="shared" si="17"/>
        <v>5.3487074827712935E-2</v>
      </c>
    </row>
    <row r="52" spans="1:12" x14ac:dyDescent="0.2">
      <c r="A52" s="184" t="s">
        <v>11</v>
      </c>
      <c r="B52" s="185"/>
      <c r="C52" s="1">
        <v>0</v>
      </c>
      <c r="D52" s="2">
        <v>0</v>
      </c>
      <c r="E52" s="1">
        <v>0</v>
      </c>
      <c r="F52" s="2">
        <v>0</v>
      </c>
      <c r="G52" s="1">
        <v>6444.9</v>
      </c>
      <c r="H52" s="2">
        <f t="shared" si="15"/>
        <v>6.1951319557432015E-2</v>
      </c>
      <c r="I52" s="1">
        <v>14584.92</v>
      </c>
      <c r="J52" s="2">
        <f t="shared" si="16"/>
        <v>0.14086982697570602</v>
      </c>
      <c r="K52" s="1">
        <f>I52*(1+'Ανάλυση Μετοχών'!O75)</f>
        <v>14584.92</v>
      </c>
      <c r="L52" s="2">
        <f t="shared" si="17"/>
        <v>0.14102950508834977</v>
      </c>
    </row>
    <row r="53" spans="1:12" x14ac:dyDescent="0.2">
      <c r="A53" s="186"/>
      <c r="B53" s="187"/>
      <c r="C53" s="1"/>
      <c r="D53" s="2"/>
      <c r="E53" s="1"/>
      <c r="F53" s="2"/>
      <c r="G53" s="1"/>
      <c r="H53" s="2"/>
      <c r="I53" s="1"/>
      <c r="J53" s="2"/>
      <c r="K53" s="1"/>
      <c r="L53" s="2"/>
    </row>
    <row r="54" spans="1:12" x14ac:dyDescent="0.2">
      <c r="A54" s="193" t="s">
        <v>17</v>
      </c>
      <c r="B54" s="193"/>
      <c r="C54" s="1">
        <f>'Διαχείριση Μετρητών'!B17</f>
        <v>10538.730322400588</v>
      </c>
      <c r="D54" s="2">
        <f t="shared" si="13"/>
        <v>0.10170363781587682</v>
      </c>
      <c r="E54" s="1">
        <f>'Διαχείριση Μετρητών'!B18</f>
        <v>10539.901292436411</v>
      </c>
      <c r="F54" s="2">
        <f t="shared" si="14"/>
        <v>0.10138508485792473</v>
      </c>
      <c r="G54" s="1">
        <f>'Διαχείριση Μετρητών'!G2</f>
        <v>10540.342392580014</v>
      </c>
      <c r="H54" s="2">
        <f t="shared" si="15"/>
        <v>0.10131858055322379</v>
      </c>
      <c r="I54" s="1">
        <f>'Διαχείριση Μετρητών'!G3</f>
        <v>5981.9935417347451</v>
      </c>
      <c r="J54" s="2">
        <f t="shared" si="16"/>
        <v>5.7777649462181786E-2</v>
      </c>
      <c r="K54" s="1">
        <f>'Διαχείριση Μετρητών'!G4</f>
        <v>5982.6582076838267</v>
      </c>
      <c r="L54" s="2">
        <f t="shared" si="17"/>
        <v>5.7849568331016135E-2</v>
      </c>
    </row>
    <row r="55" spans="1:12" x14ac:dyDescent="0.2">
      <c r="A55" s="191" t="s">
        <v>19</v>
      </c>
      <c r="B55" s="191"/>
      <c r="C55" s="9">
        <f>SUM(C45:C54)</f>
        <v>103621.96032240058</v>
      </c>
      <c r="D55" s="10">
        <f t="shared" si="13"/>
        <v>1</v>
      </c>
      <c r="E55" s="9">
        <f>SUM(E45:E54)</f>
        <v>103959.09129243642</v>
      </c>
      <c r="F55" s="10">
        <f>SUM(F45:F54)</f>
        <v>1</v>
      </c>
      <c r="G55" s="9">
        <f>SUM(G45:G54)</f>
        <v>104031.68239258004</v>
      </c>
      <c r="H55" s="10">
        <f>SUM(H45:H54)</f>
        <v>1</v>
      </c>
      <c r="I55" s="9">
        <f>SUM(I46:I54)</f>
        <v>103534.73354173475</v>
      </c>
      <c r="J55" s="10">
        <f>SUM(J46:J54)</f>
        <v>1.0000000000000002</v>
      </c>
      <c r="K55" s="9">
        <f>SUM(K46:K54)</f>
        <v>103417.50820768382</v>
      </c>
      <c r="L55" s="10">
        <f>SUM(L46:L54)</f>
        <v>1.0000000000000002</v>
      </c>
    </row>
    <row r="56" spans="1:12" x14ac:dyDescent="0.2">
      <c r="A56" s="51"/>
      <c r="B56" s="51"/>
      <c r="C56" s="63"/>
      <c r="D56" s="64"/>
      <c r="E56" s="63"/>
      <c r="F56" s="64"/>
      <c r="G56" s="63"/>
      <c r="H56" s="64"/>
      <c r="I56" s="63"/>
      <c r="J56" s="64"/>
      <c r="K56" s="63"/>
      <c r="L56" s="64"/>
    </row>
    <row r="57" spans="1:12" x14ac:dyDescent="0.2">
      <c r="A57" s="190" t="s">
        <v>4</v>
      </c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12" x14ac:dyDescent="0.2">
      <c r="A58" s="188" t="s">
        <v>1</v>
      </c>
      <c r="B58" s="189"/>
      <c r="C58" s="192">
        <v>42142</v>
      </c>
      <c r="D58" s="192"/>
      <c r="E58" s="192">
        <v>42143</v>
      </c>
      <c r="F58" s="192"/>
      <c r="G58" s="192">
        <v>42144</v>
      </c>
      <c r="H58" s="192"/>
      <c r="I58" s="192">
        <v>42145</v>
      </c>
      <c r="J58" s="192"/>
      <c r="K58" s="192">
        <v>42146</v>
      </c>
      <c r="L58" s="192"/>
    </row>
    <row r="59" spans="1:12" x14ac:dyDescent="0.2">
      <c r="A59" s="184" t="s">
        <v>12</v>
      </c>
      <c r="B59" s="185"/>
      <c r="C59" s="1">
        <v>0</v>
      </c>
      <c r="D59" s="2">
        <v>0</v>
      </c>
      <c r="E59" s="1">
        <v>0</v>
      </c>
      <c r="F59" s="2">
        <v>0</v>
      </c>
      <c r="G59" s="1">
        <v>0</v>
      </c>
      <c r="H59" s="2">
        <v>0</v>
      </c>
      <c r="I59" s="1">
        <v>0</v>
      </c>
      <c r="J59" s="2">
        <v>0</v>
      </c>
      <c r="K59" s="1">
        <v>0</v>
      </c>
      <c r="L59" s="2">
        <v>0</v>
      </c>
    </row>
    <row r="60" spans="1:12" x14ac:dyDescent="0.2">
      <c r="A60" s="184" t="s">
        <v>13</v>
      </c>
      <c r="B60" s="185"/>
      <c r="C60" s="1">
        <f>K46*(1+'Ανάλυση Μετοχών'!C76)</f>
        <v>14530.2</v>
      </c>
      <c r="D60" s="2">
        <f>C60/$C$69</f>
        <v>0.13878065185909766</v>
      </c>
      <c r="E60" s="1">
        <f>C60*(1+'Ανάλυση Μετοχών'!C77)-'Ημερολόγιο Συναλλαγών'!H25*'Ημερολόγιο Συναλλαγών'!I25</f>
        <v>5435.1399999999994</v>
      </c>
      <c r="F60" s="2">
        <f>E60/$E$69</f>
        <v>5.0725681664005137E-2</v>
      </c>
      <c r="G60" s="1">
        <f>E60*(1+'Ανάλυση Μετοχών'!C78)</f>
        <v>5371.5711111111113</v>
      </c>
      <c r="H60" s="2">
        <f>G60/$G$69</f>
        <v>5.0021352455940631E-2</v>
      </c>
      <c r="I60" s="1">
        <f>G60*(1+'Ανάλυση Μετοχών'!C79)</f>
        <v>5469.81393939394</v>
      </c>
      <c r="J60" s="2">
        <f>I60/$I$69</f>
        <v>5.0483772541735951E-2</v>
      </c>
      <c r="K60" s="1">
        <f>I60*(1+'Ανάλυση Μετοχών'!C80)</f>
        <v>5331.1181818181822</v>
      </c>
      <c r="L60" s="2">
        <f>K60/$K$69</f>
        <v>4.9274189374730798E-2</v>
      </c>
    </row>
    <row r="61" spans="1:12" x14ac:dyDescent="0.2">
      <c r="A61" s="184" t="s">
        <v>16</v>
      </c>
      <c r="B61" s="185"/>
      <c r="C61" s="1">
        <f>K47*(1+'Ανάλυση Μετοχών'!O33)</f>
        <v>34594.320000000007</v>
      </c>
      <c r="D61" s="2">
        <f t="shared" ref="D61:D68" si="18">C61/$C$69</f>
        <v>0.33041680639098014</v>
      </c>
      <c r="E61" s="1">
        <f>C61*(1+'Ανάλυση Μετοχών'!O34)</f>
        <v>34594.320000000007</v>
      </c>
      <c r="F61" s="2">
        <f t="shared" ref="F61:F68" si="19">E61/$E$69</f>
        <v>0.32286573367065552</v>
      </c>
      <c r="G61" s="1">
        <f>E61*(1+'Ανάλυση Μετοχών'!O35)</f>
        <v>34594.320000000007</v>
      </c>
      <c r="H61" s="2">
        <f t="shared" ref="H61:H68" si="20">G61/$G$69</f>
        <v>0.32215056598881203</v>
      </c>
      <c r="I61" s="1">
        <f>G61*(1+'Ανάλυση Μετοχών'!O36)</f>
        <v>34933.480000000003</v>
      </c>
      <c r="J61" s="2">
        <f t="shared" ref="J61:J68" si="21">I61/$I$69</f>
        <v>0.32241935063090787</v>
      </c>
      <c r="K61" s="1">
        <f>I61*(1+'Ανάλυση Μετοχών'!O37)</f>
        <v>34933.480000000003</v>
      </c>
      <c r="L61" s="2">
        <f t="shared" ref="L61:L68" si="22">K61/$K$69</f>
        <v>0.32288140129943876</v>
      </c>
    </row>
    <row r="62" spans="1:12" x14ac:dyDescent="0.2">
      <c r="A62" s="184" t="s">
        <v>14</v>
      </c>
      <c r="B62" s="185"/>
      <c r="C62" s="1">
        <f>K48*(1+'Ανάλυση Μετοχών'!I33)</f>
        <v>23768.010000000009</v>
      </c>
      <c r="D62" s="2">
        <f t="shared" si="18"/>
        <v>0.2270126991502906</v>
      </c>
      <c r="E62" s="1">
        <f>C62*(1+'Ανάλυση Μετοχών'!I34)</f>
        <v>25094.540000000012</v>
      </c>
      <c r="F62" s="2">
        <f t="shared" si="19"/>
        <v>0.23420512581914066</v>
      </c>
      <c r="G62" s="1">
        <f>E62*(1+'Ανάλυση Μετοχών'!I35)</f>
        <v>25155.39000000001</v>
      </c>
      <c r="H62" s="2">
        <f t="shared" si="20"/>
        <v>0.23425299662399215</v>
      </c>
      <c r="I62" s="1">
        <f>G62*(1+'Ανάλυση Μετοχών'!I36)</f>
        <v>25252.750000000011</v>
      </c>
      <c r="J62" s="2">
        <f t="shared" si="21"/>
        <v>0.23307083224015077</v>
      </c>
      <c r="K62" s="1">
        <f>I62*(1+'Ανάλυση Μετοχών'!I37)</f>
        <v>25143.220000000012</v>
      </c>
      <c r="L62" s="2">
        <f t="shared" si="22"/>
        <v>0.23239248156153003</v>
      </c>
    </row>
    <row r="63" spans="1:12" x14ac:dyDescent="0.2">
      <c r="A63" s="184" t="s">
        <v>15</v>
      </c>
      <c r="B63" s="185"/>
      <c r="C63" s="1">
        <f>K49*(1+'Ανάλυση Μετοχών'!U33)</f>
        <v>5216.5499999999993</v>
      </c>
      <c r="D63" s="2">
        <f t="shared" si="18"/>
        <v>4.9824242574470809E-2</v>
      </c>
      <c r="E63" s="1">
        <f>C63*(1+'Ανάλυση Μετοχών'!U34)</f>
        <v>5286.2699999999995</v>
      </c>
      <c r="F63" s="2">
        <f t="shared" si="19"/>
        <v>4.9336291100133656E-2</v>
      </c>
      <c r="G63" s="1">
        <f>E63*(1+'Ανάλυση Μετοχών'!U35)</f>
        <v>5238.9599999999991</v>
      </c>
      <c r="H63" s="2">
        <f t="shared" si="20"/>
        <v>4.8786446133144E-2</v>
      </c>
      <c r="I63" s="1">
        <f>G63*(1+'Ανάλυση Μετοχών'!U36)</f>
        <v>5231.49</v>
      </c>
      <c r="J63" s="2">
        <f t="shared" si="21"/>
        <v>4.8284156305987494E-2</v>
      </c>
      <c r="K63" s="1">
        <f>I63*(1+'Ανάλυση Μετοχών'!U37)</f>
        <v>5425.7099999999982</v>
      </c>
      <c r="L63" s="2">
        <f t="shared" si="22"/>
        <v>5.0148477845447327E-2</v>
      </c>
    </row>
    <row r="64" spans="1:12" x14ac:dyDescent="0.2">
      <c r="A64" s="184" t="s">
        <v>20</v>
      </c>
      <c r="B64" s="185"/>
      <c r="C64" s="1">
        <v>0</v>
      </c>
      <c r="D64" s="2">
        <v>0</v>
      </c>
      <c r="E64" s="1">
        <v>0</v>
      </c>
      <c r="F64" s="2">
        <v>0</v>
      </c>
      <c r="G64" s="1">
        <v>0</v>
      </c>
      <c r="H64" s="2">
        <v>0</v>
      </c>
      <c r="I64" s="1">
        <v>0</v>
      </c>
      <c r="J64" s="2">
        <v>0</v>
      </c>
      <c r="K64" s="1">
        <v>0</v>
      </c>
      <c r="L64" s="2">
        <f t="shared" si="22"/>
        <v>0</v>
      </c>
    </row>
    <row r="65" spans="1:12" x14ac:dyDescent="0.2">
      <c r="A65" s="184" t="s">
        <v>42</v>
      </c>
      <c r="B65" s="185"/>
      <c r="C65" s="1">
        <f>K51*(1+'Ανάλυση Μετοχών'!U76)</f>
        <v>5531.5000000000009</v>
      </c>
      <c r="D65" s="2">
        <f t="shared" si="18"/>
        <v>5.2832388801158876E-2</v>
      </c>
      <c r="E65" s="1">
        <v>15723.05</v>
      </c>
      <c r="F65" s="2">
        <f t="shared" si="19"/>
        <v>0.14674183720883657</v>
      </c>
      <c r="G65" s="1">
        <f>E65*(1+'Ανάλυση Μετοχών'!U78)</f>
        <v>14808.45</v>
      </c>
      <c r="H65" s="2">
        <f t="shared" si="20"/>
        <v>0.13789982138446494</v>
      </c>
      <c r="I65" s="1">
        <f>G65*(1+'Ανάλυση Μετοχών'!U79)</f>
        <v>14835.35</v>
      </c>
      <c r="J65" s="2">
        <f t="shared" si="21"/>
        <v>0.13692320127803584</v>
      </c>
      <c r="K65" s="1">
        <f>I65*(1+'Ανάλυση Μετοχών'!U80)</f>
        <v>14835.35</v>
      </c>
      <c r="L65" s="2">
        <f t="shared" si="22"/>
        <v>0.13711942230684229</v>
      </c>
    </row>
    <row r="66" spans="1:12" x14ac:dyDescent="0.2">
      <c r="A66" s="184" t="s">
        <v>11</v>
      </c>
      <c r="B66" s="185"/>
      <c r="C66" s="1">
        <f>K52*(1+'Ανάλυση Μετοχών'!O76)</f>
        <v>15073.800000000001</v>
      </c>
      <c r="D66" s="2">
        <f t="shared" si="18"/>
        <v>0.14397267690697074</v>
      </c>
      <c r="E66" s="1">
        <f>C66*(1+'Ανάλυση Μετοχών'!O77)</f>
        <v>15033.06</v>
      </c>
      <c r="F66" s="2">
        <f t="shared" si="19"/>
        <v>0.14030222146915977</v>
      </c>
      <c r="G66" s="1">
        <f>E66*(1+'Ανάλυση Μετοχών'!O78)</f>
        <v>14951.58</v>
      </c>
      <c r="H66" s="2">
        <f t="shared" si="20"/>
        <v>0.139232682111601</v>
      </c>
      <c r="I66" s="1">
        <f>G66*(1+'Ανάλυση Μετοχών'!O79)</f>
        <v>15358.98</v>
      </c>
      <c r="J66" s="2">
        <f t="shared" si="21"/>
        <v>0.14175605630910809</v>
      </c>
      <c r="K66" s="1">
        <f>I66*(1+'Ανάλυση Μετοχών'!O80)</f>
        <v>15257.130000000001</v>
      </c>
      <c r="L66" s="2">
        <f t="shared" si="22"/>
        <v>0.14101782914864783</v>
      </c>
    </row>
    <row r="67" spans="1:12" x14ac:dyDescent="0.2">
      <c r="A67" s="186"/>
      <c r="B67" s="187"/>
      <c r="C67" s="1"/>
      <c r="D67" s="2"/>
      <c r="E67" s="1"/>
      <c r="F67" s="2"/>
      <c r="G67" s="1"/>
      <c r="H67" s="2"/>
      <c r="I67" s="1"/>
      <c r="J67" s="2"/>
      <c r="K67" s="1"/>
      <c r="L67" s="2"/>
    </row>
    <row r="68" spans="1:12" x14ac:dyDescent="0.2">
      <c r="A68" s="186" t="s">
        <v>17</v>
      </c>
      <c r="B68" s="187"/>
      <c r="C68" s="1">
        <f>'Διαχείριση Μετρητών'!G7</f>
        <v>5984.6526486745288</v>
      </c>
      <c r="D68" s="2">
        <f t="shared" si="18"/>
        <v>5.7160534317031171E-2</v>
      </c>
      <c r="E68" s="1">
        <f>'Διαχείριση Μετρητών'!G8</f>
        <v>5981.3176100799365</v>
      </c>
      <c r="F68" s="2">
        <f t="shared" si="19"/>
        <v>5.5823109068068692E-2</v>
      </c>
      <c r="G68" s="1">
        <f>'Διαχείριση Μετρητών'!G9</f>
        <v>7265.2922009255017</v>
      </c>
      <c r="H68" s="2">
        <f t="shared" si="20"/>
        <v>6.7656135302045298E-2</v>
      </c>
      <c r="I68" s="1">
        <f>'Διαχείριση Μετρητών'!G10</f>
        <v>7266.0994556144933</v>
      </c>
      <c r="J68" s="2">
        <f t="shared" si="21"/>
        <v>6.7062630694073935E-2</v>
      </c>
      <c r="K68" s="1">
        <f>'Διαχείριση Μετρητών'!G11</f>
        <v>7266.9067999984509</v>
      </c>
      <c r="L68" s="2">
        <f t="shared" si="22"/>
        <v>6.7166198463362942E-2</v>
      </c>
    </row>
    <row r="69" spans="1:12" x14ac:dyDescent="0.2">
      <c r="A69" s="191" t="s">
        <v>19</v>
      </c>
      <c r="B69" s="191"/>
      <c r="C69" s="9">
        <f>SUM(C59:C68)</f>
        <v>104699.03264867455</v>
      </c>
      <c r="D69" s="10">
        <f>SUM(D59:D68)</f>
        <v>1</v>
      </c>
      <c r="E69" s="9">
        <f>SUM(E60:E68)</f>
        <v>107147.69761007995</v>
      </c>
      <c r="F69" s="10">
        <f>SUM(F60:F68)</f>
        <v>0.99999999999999989</v>
      </c>
      <c r="G69" s="9">
        <f>SUM(G60:G68)</f>
        <v>107385.56331203663</v>
      </c>
      <c r="H69" s="10">
        <f>SUM(H60:H68)</f>
        <v>1</v>
      </c>
      <c r="I69" s="9">
        <f>SUM(I59:I68)</f>
        <v>108347.96339500845</v>
      </c>
      <c r="J69" s="10">
        <f>SUM(J60:J68)</f>
        <v>0.99999999999999989</v>
      </c>
      <c r="K69" s="9">
        <f>SUM(K59:K68)</f>
        <v>108192.91498181665</v>
      </c>
      <c r="L69" s="10">
        <f>SUM(L59:L68)</f>
        <v>0.99999999999999989</v>
      </c>
    </row>
    <row r="70" spans="1:12" x14ac:dyDescent="0.2">
      <c r="A70" s="51"/>
      <c r="B70" s="51"/>
      <c r="C70" s="63"/>
      <c r="D70" s="64"/>
      <c r="E70" s="63"/>
      <c r="F70" s="64"/>
      <c r="G70" s="63"/>
      <c r="H70" s="64"/>
      <c r="I70" s="63"/>
      <c r="J70" s="64"/>
      <c r="K70" s="63"/>
      <c r="L70" s="64"/>
    </row>
    <row r="71" spans="1:12" x14ac:dyDescent="0.2">
      <c r="A71" s="190" t="s">
        <v>5</v>
      </c>
      <c r="B71" s="190"/>
      <c r="C71" s="190"/>
      <c r="D71" s="190"/>
      <c r="E71" s="190"/>
      <c r="F71" s="190"/>
      <c r="G71" s="190"/>
      <c r="H71" s="190"/>
      <c r="I71" s="190"/>
      <c r="J71" s="190"/>
      <c r="K71" s="190"/>
      <c r="L71" s="190"/>
    </row>
    <row r="72" spans="1:12" x14ac:dyDescent="0.2">
      <c r="A72" s="191" t="s">
        <v>1</v>
      </c>
      <c r="B72" s="191"/>
      <c r="C72" s="192">
        <v>42149</v>
      </c>
      <c r="D72" s="192"/>
      <c r="E72" s="192">
        <v>42150</v>
      </c>
      <c r="F72" s="192"/>
      <c r="G72" s="192">
        <v>42151</v>
      </c>
      <c r="H72" s="192"/>
      <c r="I72" s="192">
        <v>42152</v>
      </c>
      <c r="J72" s="192"/>
      <c r="K72" s="192">
        <v>42153</v>
      </c>
      <c r="L72" s="192"/>
    </row>
    <row r="73" spans="1:12" x14ac:dyDescent="0.2">
      <c r="A73" s="184" t="s">
        <v>12</v>
      </c>
      <c r="B73" s="185"/>
      <c r="C73" s="68">
        <v>0</v>
      </c>
      <c r="D73" s="69">
        <v>0</v>
      </c>
      <c r="E73" s="68">
        <v>0</v>
      </c>
      <c r="F73" s="69">
        <v>0</v>
      </c>
      <c r="G73" s="68">
        <v>0</v>
      </c>
      <c r="H73" s="69">
        <v>0</v>
      </c>
      <c r="I73" s="68">
        <v>0</v>
      </c>
      <c r="J73" s="69">
        <v>0</v>
      </c>
      <c r="K73" s="68">
        <v>0</v>
      </c>
      <c r="L73" s="69">
        <v>0</v>
      </c>
    </row>
    <row r="74" spans="1:12" x14ac:dyDescent="0.2">
      <c r="A74" s="184" t="s">
        <v>13</v>
      </c>
      <c r="B74" s="185"/>
      <c r="C74" s="68">
        <f>K60*(1+'Ανάλυση Μετοχών'!C81)</f>
        <v>5281.9967676767683</v>
      </c>
      <c r="D74" s="69">
        <f>C74/$C$83</f>
        <v>4.9468623684792226E-2</v>
      </c>
      <c r="E74" s="68">
        <f>C74*(1+'Ανάλυση Μετοχών'!C82)</f>
        <v>5287.7757575757578</v>
      </c>
      <c r="F74" s="69">
        <f>E74/$E$83</f>
        <v>4.8613639939761179E-2</v>
      </c>
      <c r="G74" s="68">
        <f>E74*(1+'Ανάλυση Μετοχών'!C83)</f>
        <v>5472.7034343434352</v>
      </c>
      <c r="H74" s="69">
        <f>G74/$G$83</f>
        <v>5.02258969879937E-2</v>
      </c>
      <c r="I74" s="68">
        <f>G74*(1+'Ανάλυση Μετοχών'!C84)</f>
        <v>5287.7757575757587</v>
      </c>
      <c r="J74" s="69">
        <f>I74/$I$83</f>
        <v>4.8853714387296188E-2</v>
      </c>
      <c r="K74" s="68">
        <f>I74*(1+'Ανάλυση Μετοχών'!C85)</f>
        <v>5276.2177777777788</v>
      </c>
      <c r="L74" s="69">
        <f>K74/$K$83</f>
        <v>4.8662435097764412E-2</v>
      </c>
    </row>
    <row r="75" spans="1:12" x14ac:dyDescent="0.2">
      <c r="A75" s="184" t="s">
        <v>16</v>
      </c>
      <c r="B75" s="185"/>
      <c r="C75" s="68">
        <f>K61*(1+'Ανάλυση Μετοχών'!O38)</f>
        <v>34763.9</v>
      </c>
      <c r="D75" s="69">
        <f t="shared" ref="D75:D83" si="23">C75/$C$83</f>
        <v>0.3255818514391387</v>
      </c>
      <c r="E75" s="68">
        <f>C75*(1+'Ανάλυση Μετοχών'!O39)</f>
        <v>35018.270000000004</v>
      </c>
      <c r="F75" s="69">
        <f>E75/$E$83</f>
        <v>0.32194360107922015</v>
      </c>
      <c r="G75" s="68">
        <f>E75*(1+'Ανάλυση Μετοχών'!O40)</f>
        <v>35103.060000000005</v>
      </c>
      <c r="H75" s="69">
        <f t="shared" ref="H75:H82" si="24">G75/$G$83</f>
        <v>0.32215936724422212</v>
      </c>
      <c r="I75" s="68">
        <f>G75*(1+'Ανάλυση Μετοχών'!O41)</f>
        <v>35103.060000000005</v>
      </c>
      <c r="J75" s="69">
        <f t="shared" ref="J75:J82" si="25">I75/$I$83</f>
        <v>0.32431686705003993</v>
      </c>
      <c r="K75" s="68">
        <f>I75*(1+'Ανάλυση Μετοχών'!O42)</f>
        <v>35187.850000000013</v>
      </c>
      <c r="L75" s="69">
        <f t="shared" ref="L75:L82" si="26">K75/$K$83</f>
        <v>0.32453673047136095</v>
      </c>
    </row>
    <row r="76" spans="1:12" x14ac:dyDescent="0.2">
      <c r="A76" s="184" t="s">
        <v>14</v>
      </c>
      <c r="B76" s="185"/>
      <c r="C76" s="68">
        <f>K62*(1+'Ανάλυση Μετοχών'!I38)</f>
        <v>24778.12000000001</v>
      </c>
      <c r="D76" s="69">
        <f t="shared" si="23"/>
        <v>0.23205987201611886</v>
      </c>
      <c r="E76" s="68">
        <f>C76*(1+'Ανάλυση Μετοχών'!I39)</f>
        <v>25070.200000000012</v>
      </c>
      <c r="F76" s="69">
        <f t="shared" ref="F76:F82" si="27">E76/$E$83</f>
        <v>0.23048512869928378</v>
      </c>
      <c r="G76" s="68">
        <f>E76*(1+'Ανάλυση Μετοχών'!I40)</f>
        <v>25264.920000000009</v>
      </c>
      <c r="H76" s="69">
        <f t="shared" si="24"/>
        <v>0.23186954757436798</v>
      </c>
      <c r="I76" s="68">
        <f>G76*(1+'Ανάλυση Μετοχών'!I41)</f>
        <v>24765.950000000008</v>
      </c>
      <c r="J76" s="69">
        <f t="shared" si="25"/>
        <v>0.2288123973670084</v>
      </c>
      <c r="K76" s="68">
        <f>I76*(1+'Ανάλυση Μετοχών'!I42)</f>
        <v>24425.190000000006</v>
      </c>
      <c r="L76" s="69">
        <f t="shared" si="26"/>
        <v>0.2252729650644123</v>
      </c>
    </row>
    <row r="77" spans="1:12" x14ac:dyDescent="0.2">
      <c r="A77" s="184" t="s">
        <v>15</v>
      </c>
      <c r="B77" s="185"/>
      <c r="C77" s="68">
        <f>K63*(1+'Ανάλυση Μετοχών'!U38)</f>
        <v>5179.1999999999989</v>
      </c>
      <c r="D77" s="69">
        <f t="shared" si="23"/>
        <v>4.8505878942626889E-2</v>
      </c>
      <c r="E77" s="68">
        <f>C77*(1+'Ανάλυση Μετοχών'!U39)</f>
        <v>5328.5999999999985</v>
      </c>
      <c r="F77" s="69">
        <f t="shared" si="27"/>
        <v>4.8988961268238887E-2</v>
      </c>
      <c r="G77" s="68">
        <f>E77*(1+'Ανάλυση Μετοχών'!U40)</f>
        <v>5216.5499999999993</v>
      </c>
      <c r="H77" s="69">
        <f t="shared" si="24"/>
        <v>4.7875041298332574E-2</v>
      </c>
      <c r="I77" s="68">
        <f>G77*(1+'Ανάλυση Μετοχών'!U41)</f>
        <v>5154.2999999999993</v>
      </c>
      <c r="J77" s="69">
        <f t="shared" si="25"/>
        <v>4.7620533020084864E-2</v>
      </c>
      <c r="K77" s="68">
        <f>I77*(1+'Ανάλυση Μετοχών'!U42)</f>
        <v>5221.5299999999988</v>
      </c>
      <c r="L77" s="69">
        <f t="shared" si="26"/>
        <v>4.8158050982317034E-2</v>
      </c>
    </row>
    <row r="78" spans="1:12" x14ac:dyDescent="0.2">
      <c r="A78" s="184" t="s">
        <v>20</v>
      </c>
      <c r="B78" s="185"/>
      <c r="C78" s="68">
        <v>0</v>
      </c>
      <c r="D78" s="69">
        <v>0</v>
      </c>
      <c r="E78" s="68">
        <v>0</v>
      </c>
      <c r="F78" s="69">
        <f t="shared" si="27"/>
        <v>0</v>
      </c>
      <c r="G78" s="68">
        <v>0</v>
      </c>
      <c r="H78" s="69">
        <f t="shared" si="24"/>
        <v>0</v>
      </c>
      <c r="I78" s="68">
        <v>0</v>
      </c>
      <c r="J78" s="69">
        <f t="shared" si="25"/>
        <v>0</v>
      </c>
      <c r="K78" s="68">
        <v>0</v>
      </c>
      <c r="L78" s="69">
        <f t="shared" si="26"/>
        <v>0</v>
      </c>
    </row>
    <row r="79" spans="1:12" x14ac:dyDescent="0.2">
      <c r="A79" s="184" t="s">
        <v>42</v>
      </c>
      <c r="B79" s="185"/>
      <c r="C79" s="68">
        <f>K65*(1+'Ανάλυση Μετοχών'!U81)</f>
        <v>14795.000000000002</v>
      </c>
      <c r="D79" s="69">
        <f t="shared" si="23"/>
        <v>0.13856280486487585</v>
      </c>
      <c r="E79" s="68">
        <f>C79*(1+'Ανάλυση Μετοχών'!U82)</f>
        <v>14795.000000000002</v>
      </c>
      <c r="F79" s="69">
        <f t="shared" si="27"/>
        <v>0.13601915737034018</v>
      </c>
      <c r="G79" s="68">
        <f>E79*(1+'Ανάλυση Μετοχών'!U83)</f>
        <v>14795.000000000002</v>
      </c>
      <c r="H79" s="69">
        <f t="shared" si="24"/>
        <v>0.13578154834302952</v>
      </c>
      <c r="I79" s="68">
        <f>G79*(1+'Ανάλυση Μετοχών'!U84)</f>
        <v>14795.000000000002</v>
      </c>
      <c r="J79" s="69">
        <f t="shared" si="25"/>
        <v>0.13669087674992836</v>
      </c>
      <c r="K79" s="68">
        <f>I79*(1+'Ανάλυση Μετοχών'!U85)</f>
        <v>15467.500000000002</v>
      </c>
      <c r="L79" s="69">
        <f t="shared" si="26"/>
        <v>0.14265639641426725</v>
      </c>
    </row>
    <row r="80" spans="1:12" x14ac:dyDescent="0.2">
      <c r="A80" s="184" t="s">
        <v>11</v>
      </c>
      <c r="B80" s="185"/>
      <c r="C80" s="68">
        <f>K66*(1+'Ανάλυση Μετοχών'!O81)</f>
        <v>14707.14</v>
      </c>
      <c r="D80" s="69">
        <f t="shared" si="23"/>
        <v>0.13773995065497871</v>
      </c>
      <c r="E80" s="68">
        <f>C80*(1+'Ανάλυση Μετοχών'!O82)</f>
        <v>15033.06</v>
      </c>
      <c r="F80" s="69">
        <f t="shared" si="27"/>
        <v>0.13820778329826061</v>
      </c>
      <c r="G80" s="68">
        <f>E80*(1+'Ανάλυση Μετοχών'!O83)</f>
        <v>14870.099999999999</v>
      </c>
      <c r="H80" s="69">
        <f t="shared" si="24"/>
        <v>0.1364707808053858</v>
      </c>
      <c r="I80" s="68">
        <f>G80*(1+'Ανάλυση Μετοχών'!O84)</f>
        <v>14890.47</v>
      </c>
      <c r="J80" s="69">
        <f t="shared" si="25"/>
        <v>0.13757292325234916</v>
      </c>
      <c r="K80" s="68">
        <f>I80*(1+'Ανάλυση Μετοχών'!O85)</f>
        <v>14605.29</v>
      </c>
      <c r="L80" s="69">
        <f t="shared" si="26"/>
        <v>0.13470425343367276</v>
      </c>
    </row>
    <row r="81" spans="1:12" x14ac:dyDescent="0.2">
      <c r="A81" s="186"/>
      <c r="B81" s="187"/>
      <c r="C81" s="68"/>
      <c r="D81" s="69"/>
      <c r="E81" s="68"/>
      <c r="F81" s="69"/>
      <c r="G81" s="68"/>
      <c r="H81" s="69"/>
      <c r="I81" s="68"/>
      <c r="J81" s="69"/>
      <c r="K81" s="68"/>
      <c r="L81" s="69"/>
    </row>
    <row r="82" spans="1:12" x14ac:dyDescent="0.2">
      <c r="A82" s="186" t="s">
        <v>17</v>
      </c>
      <c r="B82" s="187"/>
      <c r="C82" s="68">
        <f>'Διαχείριση Μετρητών'!G14</f>
        <v>7269.3293714197816</v>
      </c>
      <c r="D82" s="69">
        <f t="shared" si="23"/>
        <v>6.8081018397468718E-2</v>
      </c>
      <c r="E82" s="68">
        <f>'Διαχείριση Μετρητών'!G15</f>
        <v>8238.5370746832741</v>
      </c>
      <c r="F82" s="69">
        <f t="shared" si="27"/>
        <v>7.5741728344895315E-2</v>
      </c>
      <c r="G82" s="68">
        <f>'Διαχείριση Μετρητών'!G16</f>
        <v>8239.4524676915717</v>
      </c>
      <c r="H82" s="69">
        <f t="shared" si="24"/>
        <v>7.5617817746668259E-2</v>
      </c>
      <c r="I82" s="68">
        <f>'Διαχείριση Μετρητών'!G17</f>
        <v>8240.3679624102042</v>
      </c>
      <c r="J82" s="69">
        <f t="shared" si="25"/>
        <v>7.6132688173293106E-2</v>
      </c>
      <c r="K82" s="68">
        <f>'Διαχείριση Μετρητών'!G18</f>
        <v>8241.2835588504713</v>
      </c>
      <c r="L82" s="69">
        <f t="shared" si="26"/>
        <v>7.6009168536205332E-2</v>
      </c>
    </row>
    <row r="83" spans="1:12" x14ac:dyDescent="0.2">
      <c r="A83" s="188" t="s">
        <v>19</v>
      </c>
      <c r="B83" s="189"/>
      <c r="C83" s="70">
        <f>SUM(C73:C82)</f>
        <v>106774.68613909656</v>
      </c>
      <c r="D83" s="71">
        <f t="shared" si="23"/>
        <v>1</v>
      </c>
      <c r="E83" s="70">
        <f>SUM(E73:E82)</f>
        <v>108771.44283225904</v>
      </c>
      <c r="F83" s="71">
        <f>SUM(F73:F82)</f>
        <v>1.0000000000000002</v>
      </c>
      <c r="G83" s="70">
        <f t="shared" ref="G83" si="28">SUM(G73:G82)</f>
        <v>108961.78590203503</v>
      </c>
      <c r="H83" s="71">
        <f>SUM(H74:H82)</f>
        <v>0.99999999999999978</v>
      </c>
      <c r="I83" s="70">
        <f t="shared" ref="I83" si="29">SUM(I73:I82)</f>
        <v>108236.92371998598</v>
      </c>
      <c r="J83" s="71">
        <f>SUM(J74:J82)</f>
        <v>0.99999999999999989</v>
      </c>
      <c r="K83" s="70">
        <f t="shared" ref="K83" si="30">SUM(K73:K82)</f>
        <v>108424.86133662827</v>
      </c>
      <c r="L83" s="71">
        <f>SUM(L74:L82)</f>
        <v>1</v>
      </c>
    </row>
  </sheetData>
  <mergeCells count="94">
    <mergeCell ref="E72:F72"/>
    <mergeCell ref="A59:B59"/>
    <mergeCell ref="A60:B60"/>
    <mergeCell ref="K72:L72"/>
    <mergeCell ref="G72:H72"/>
    <mergeCell ref="I72:J72"/>
    <mergeCell ref="A71:L71"/>
    <mergeCell ref="A80:B80"/>
    <mergeCell ref="A81:B81"/>
    <mergeCell ref="A78:B78"/>
    <mergeCell ref="C72:D72"/>
    <mergeCell ref="A74:B74"/>
    <mergeCell ref="A73:B73"/>
    <mergeCell ref="A82:B82"/>
    <mergeCell ref="A83:B83"/>
    <mergeCell ref="A1:E1"/>
    <mergeCell ref="A26:B26"/>
    <mergeCell ref="A77:B77"/>
    <mergeCell ref="A61:B61"/>
    <mergeCell ref="A63:B63"/>
    <mergeCell ref="A64:B64"/>
    <mergeCell ref="A65:B65"/>
    <mergeCell ref="A66:B66"/>
    <mergeCell ref="A69:B69"/>
    <mergeCell ref="E58:F58"/>
    <mergeCell ref="A75:B75"/>
    <mergeCell ref="A76:B76"/>
    <mergeCell ref="A72:B72"/>
    <mergeCell ref="A79:B79"/>
    <mergeCell ref="I44:J44"/>
    <mergeCell ref="G58:H58"/>
    <mergeCell ref="I58:J58"/>
    <mergeCell ref="K58:L58"/>
    <mergeCell ref="K44:L44"/>
    <mergeCell ref="G44:H44"/>
    <mergeCell ref="A55:B55"/>
    <mergeCell ref="A58:B58"/>
    <mergeCell ref="C58:D58"/>
    <mergeCell ref="A53:B53"/>
    <mergeCell ref="A54:B54"/>
    <mergeCell ref="C44:D44"/>
    <mergeCell ref="E44:F44"/>
    <mergeCell ref="A45:B45"/>
    <mergeCell ref="A46:B46"/>
    <mergeCell ref="A47:B47"/>
    <mergeCell ref="A34:B34"/>
    <mergeCell ref="A35:B35"/>
    <mergeCell ref="A52:B52"/>
    <mergeCell ref="A50:B50"/>
    <mergeCell ref="A44:B44"/>
    <mergeCell ref="A48:B48"/>
    <mergeCell ref="A51:B51"/>
    <mergeCell ref="A49:B49"/>
    <mergeCell ref="A30:B30"/>
    <mergeCell ref="C30:D30"/>
    <mergeCell ref="G30:H30"/>
    <mergeCell ref="I30:J30"/>
    <mergeCell ref="A33:B33"/>
    <mergeCell ref="H3:I3"/>
    <mergeCell ref="A20:B20"/>
    <mergeCell ref="A16:B16"/>
    <mergeCell ref="C16:D16"/>
    <mergeCell ref="I16:J16"/>
    <mergeCell ref="A15:L15"/>
    <mergeCell ref="K16:L16"/>
    <mergeCell ref="A17:B17"/>
    <mergeCell ref="A18:B18"/>
    <mergeCell ref="A19:B19"/>
    <mergeCell ref="E16:F16"/>
    <mergeCell ref="G16:H16"/>
    <mergeCell ref="A14:L14"/>
    <mergeCell ref="A12:L13"/>
    <mergeCell ref="A29:L29"/>
    <mergeCell ref="A43:L43"/>
    <mergeCell ref="A57:L57"/>
    <mergeCell ref="A67:B67"/>
    <mergeCell ref="A68:B68"/>
    <mergeCell ref="A62:B62"/>
    <mergeCell ref="A41:B41"/>
    <mergeCell ref="E30:F30"/>
    <mergeCell ref="A38:B38"/>
    <mergeCell ref="A36:B36"/>
    <mergeCell ref="A37:B37"/>
    <mergeCell ref="A39:B39"/>
    <mergeCell ref="A40:B40"/>
    <mergeCell ref="K30:L30"/>
    <mergeCell ref="A31:B31"/>
    <mergeCell ref="A32:B32"/>
    <mergeCell ref="A21:B21"/>
    <mergeCell ref="A22:B22"/>
    <mergeCell ref="A25:B25"/>
    <mergeCell ref="A27:B27"/>
    <mergeCell ref="A23:B23"/>
    <mergeCell ref="A24:B24"/>
  </mergeCells>
  <conditionalFormatting sqref="G6">
    <cfRule type="cellIs" dxfId="19" priority="1" operator="lessThan">
      <formula>0</formula>
    </cfRule>
    <cfRule type="cellIs" dxfId="18" priority="2" operator="greaterThan">
      <formula>0</formula>
    </cfRule>
  </conditionalFormatting>
  <pageMargins left="0.7" right="0.7" top="0.75" bottom="0.75" header="0.3" footer="0.3"/>
  <pageSetup paperSize="9" orientation="portrait"/>
  <ignoredErrors>
    <ignoredError sqref="I26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0"/>
  <sheetViews>
    <sheetView zoomScale="70" zoomScaleNormal="70" zoomScalePageLayoutView="70" workbookViewId="0">
      <selection activeCell="C13" sqref="C13"/>
    </sheetView>
  </sheetViews>
  <sheetFormatPr baseColWidth="10" defaultColWidth="8.83203125" defaultRowHeight="15" x14ac:dyDescent="0.2"/>
  <cols>
    <col min="1" max="6" width="14.6640625" style="43" customWidth="1"/>
    <col min="7" max="8" width="15.5" style="43" customWidth="1"/>
    <col min="9" max="13" width="14.6640625" style="43" customWidth="1"/>
    <col min="14" max="14" width="15.5" style="43" customWidth="1"/>
    <col min="15" max="19" width="14.6640625" style="43" customWidth="1"/>
    <col min="20" max="16384" width="8.83203125" style="43"/>
  </cols>
  <sheetData>
    <row r="1" spans="1:19" ht="15" customHeight="1" x14ac:dyDescent="0.2">
      <c r="A1" s="201" t="s">
        <v>62</v>
      </c>
      <c r="B1" s="202"/>
      <c r="C1" s="202"/>
      <c r="D1" s="202"/>
      <c r="E1" s="202"/>
      <c r="F1" s="202"/>
      <c r="G1" s="202"/>
      <c r="H1" s="203"/>
      <c r="I1" s="208" t="s">
        <v>63</v>
      </c>
      <c r="J1" s="208"/>
      <c r="K1" s="208"/>
      <c r="L1" s="208"/>
      <c r="M1" s="208"/>
      <c r="N1" s="208"/>
      <c r="O1" s="208"/>
      <c r="P1" s="207" t="s">
        <v>89</v>
      </c>
      <c r="Q1" s="207"/>
      <c r="R1" s="207"/>
      <c r="S1" s="207"/>
    </row>
    <row r="2" spans="1:19" x14ac:dyDescent="0.2">
      <c r="A2" s="204"/>
      <c r="B2" s="205"/>
      <c r="C2" s="205"/>
      <c r="D2" s="205"/>
      <c r="E2" s="205"/>
      <c r="F2" s="205"/>
      <c r="G2" s="205"/>
      <c r="H2" s="206"/>
      <c r="I2" s="208"/>
      <c r="J2" s="208"/>
      <c r="K2" s="208"/>
      <c r="L2" s="208"/>
      <c r="M2" s="208"/>
      <c r="N2" s="208"/>
      <c r="O2" s="208"/>
      <c r="P2" s="207"/>
      <c r="Q2" s="207"/>
      <c r="R2" s="207"/>
      <c r="S2" s="207"/>
    </row>
    <row r="3" spans="1:19" ht="15" customHeight="1" x14ac:dyDescent="0.2">
      <c r="A3" s="183" t="s">
        <v>39</v>
      </c>
      <c r="B3" s="183" t="s">
        <v>60</v>
      </c>
      <c r="C3" s="183" t="s">
        <v>61</v>
      </c>
      <c r="D3" s="183" t="s">
        <v>38</v>
      </c>
      <c r="E3" s="183" t="s">
        <v>41</v>
      </c>
      <c r="F3" s="199" t="s">
        <v>122</v>
      </c>
      <c r="G3" s="183" t="s">
        <v>74</v>
      </c>
      <c r="H3" s="199" t="s">
        <v>134</v>
      </c>
      <c r="I3" s="183" t="s">
        <v>60</v>
      </c>
      <c r="J3" s="183" t="s">
        <v>61</v>
      </c>
      <c r="K3" s="183" t="s">
        <v>38</v>
      </c>
      <c r="L3" s="183" t="s">
        <v>41</v>
      </c>
      <c r="M3" s="199" t="s">
        <v>122</v>
      </c>
      <c r="N3" s="183" t="s">
        <v>74</v>
      </c>
      <c r="O3" s="183" t="s">
        <v>64</v>
      </c>
      <c r="P3" s="200" t="s">
        <v>72</v>
      </c>
      <c r="Q3" s="200" t="s">
        <v>73</v>
      </c>
      <c r="R3" s="200" t="s">
        <v>38</v>
      </c>
      <c r="S3" s="198" t="s">
        <v>75</v>
      </c>
    </row>
    <row r="4" spans="1:19" x14ac:dyDescent="0.2">
      <c r="A4" s="183"/>
      <c r="B4" s="183"/>
      <c r="C4" s="183"/>
      <c r="D4" s="183"/>
      <c r="E4" s="183"/>
      <c r="F4" s="200"/>
      <c r="G4" s="183"/>
      <c r="H4" s="200"/>
      <c r="I4" s="183"/>
      <c r="J4" s="183"/>
      <c r="K4" s="183"/>
      <c r="L4" s="183"/>
      <c r="M4" s="200"/>
      <c r="N4" s="183"/>
      <c r="O4" s="183"/>
      <c r="P4" s="183"/>
      <c r="Q4" s="183"/>
      <c r="R4" s="183"/>
      <c r="S4" s="198"/>
    </row>
    <row r="5" spans="1:19" x14ac:dyDescent="0.2">
      <c r="A5" s="13">
        <v>42121</v>
      </c>
      <c r="B5" s="6">
        <f>'Διαχείριση Σταθμίσεων'!C10</f>
        <v>100000</v>
      </c>
      <c r="C5" s="6">
        <f>'Διαχείριση Σταθμίσεων'!C27</f>
        <v>101899</v>
      </c>
      <c r="D5" s="5">
        <f t="shared" ref="D5:D28" si="0">(C5-B5)/B5</f>
        <v>1.899E-2</v>
      </c>
      <c r="E5" s="5">
        <f t="shared" ref="E5:E28" si="1">LN(C5/B5)</f>
        <v>1.8811940649745788E-2</v>
      </c>
      <c r="F5" s="15">
        <f>D5-0.025/252</f>
        <v>1.8890793650793651E-2</v>
      </c>
      <c r="G5" s="5">
        <f>D5-R5</f>
        <v>-3.2121493143257615E-2</v>
      </c>
      <c r="H5" s="5">
        <f>(C5-$B$5)/$B$5</f>
        <v>1.899E-2</v>
      </c>
      <c r="I5" s="6">
        <f>'Διαχείριση Σταθμίσεων'!C10-'Διαχείριση Σταθμίσεων'!C9+'Ημερολόγιο Συναλλαγών'!H2*'Ημερολόγιο Συναλλαγών'!I2</f>
        <v>88091.68</v>
      </c>
      <c r="J5" s="6">
        <f>'Διαχείριση Σταθμίσεων'!C27-'Διαχείριση Σταθμίσεων'!C26+'Ημερολόγιο Συναλλαγών'!H4*'Ημερολόγιο Συναλλαγών'!I4</f>
        <v>89990.680000000008</v>
      </c>
      <c r="K5" s="5">
        <f t="shared" ref="K5:K13" si="2">(J5-I5)/I5</f>
        <v>2.155708688947713E-2</v>
      </c>
      <c r="L5" s="5">
        <f t="shared" ref="L5:L13" si="3">LN(J5/I5)</f>
        <v>2.1328019068369966E-2</v>
      </c>
      <c r="M5" s="15">
        <f>K5-0.025/252</f>
        <v>2.1457880540270782E-2</v>
      </c>
      <c r="N5" s="5">
        <f t="shared" ref="N5:N15" si="4">K5-R5</f>
        <v>-2.9554406253780485E-2</v>
      </c>
      <c r="O5" s="4" t="str">
        <f>IF(R5&gt;0,IF(N5&lt;0,"ΑΜΥΝΤΙΚΗ","ΕΠΙΘΕΤΙΚΗ"),IF(N5&gt;0,"ΑΜΥΝΤΙΚΗ","ΕΠΙΘΕΤΙΚΗ"))</f>
        <v>ΑΜΥΝΤΙΚΗ</v>
      </c>
      <c r="P5" s="25">
        <v>794.84</v>
      </c>
      <c r="Q5" s="25">
        <v>756.19</v>
      </c>
      <c r="R5" s="5">
        <f>(P5-Q5)/Q5</f>
        <v>5.1111493143257615E-2</v>
      </c>
      <c r="S5" s="33">
        <f>(P28-Q5)/Q5</f>
        <v>9.1498168449728162E-2</v>
      </c>
    </row>
    <row r="6" spans="1:19" x14ac:dyDescent="0.2">
      <c r="A6" s="13">
        <v>42122</v>
      </c>
      <c r="B6" s="6">
        <f t="shared" ref="B6:B12" si="5">C5</f>
        <v>101899</v>
      </c>
      <c r="C6" s="6">
        <f>'Διαχείριση Σταθμίσεων'!E27</f>
        <v>102308.64950333335</v>
      </c>
      <c r="D6" s="5">
        <f t="shared" si="0"/>
        <v>4.0201523403894891E-3</v>
      </c>
      <c r="E6" s="5">
        <f t="shared" si="1"/>
        <v>4.0120931202773345E-3</v>
      </c>
      <c r="F6" s="15">
        <f t="shared" ref="F6:F28" si="6">D6-0.025/252</f>
        <v>3.9209459911831402E-3</v>
      </c>
      <c r="G6" s="5">
        <f>D6-R6</f>
        <v>-1.0032990430482586E-2</v>
      </c>
      <c r="H6" s="5">
        <f t="shared" ref="H6:H28" si="7">(C6-$B$5)/$B$5</f>
        <v>2.3086495033333484E-2</v>
      </c>
      <c r="I6" s="6">
        <f>'Διαχείριση Σταθμίσεων'!C27-'Διαχείριση Σταθμίσεων'!C26</f>
        <v>82283.47</v>
      </c>
      <c r="J6" s="6">
        <f>'Διαχείριση Σταθμίσεων'!E27-'Διαχείριση Σταθμίσεων'!E26</f>
        <v>82690.94</v>
      </c>
      <c r="K6" s="5">
        <f t="shared" si="2"/>
        <v>4.9520274242202131E-3</v>
      </c>
      <c r="L6" s="5">
        <f t="shared" si="3"/>
        <v>4.9398064654914533E-3</v>
      </c>
      <c r="M6" s="15">
        <f t="shared" ref="M6:M28" si="8">K6-0.025/252</f>
        <v>4.8528210750138643E-3</v>
      </c>
      <c r="N6" s="5">
        <f t="shared" si="4"/>
        <v>-9.1011153466518599E-3</v>
      </c>
      <c r="O6" s="4" t="str">
        <f>IF(R6&gt;0,IF(N6&lt;0,"ΑΜΥΝΤΙΚΗ","ΕΠΙΘΕΤΙΚΗ"),IF(N6&gt;0,"ΑΜΥΝΤΙΚΗ","ΕΠΙΘΕΤΙΚΗ"))</f>
        <v>ΑΜΥΝΤΙΚΗ</v>
      </c>
      <c r="P6" s="25">
        <v>806.01</v>
      </c>
      <c r="Q6" s="25">
        <f>P5</f>
        <v>794.84</v>
      </c>
      <c r="R6" s="5">
        <f t="shared" ref="R6:R17" si="9">(P6-Q6)/Q6</f>
        <v>1.4053142770872074E-2</v>
      </c>
    </row>
    <row r="7" spans="1:19" x14ac:dyDescent="0.2">
      <c r="A7" s="13">
        <v>42123</v>
      </c>
      <c r="B7" s="6">
        <f t="shared" si="5"/>
        <v>102308.64950333335</v>
      </c>
      <c r="C7" s="6">
        <f>'Διαχείριση Σταθμίσεων'!G27</f>
        <v>101850.8992488337</v>
      </c>
      <c r="D7" s="5">
        <f t="shared" si="0"/>
        <v>-4.4742087469812524E-3</v>
      </c>
      <c r="E7" s="5">
        <f t="shared" si="1"/>
        <v>-4.4842479751972409E-3</v>
      </c>
      <c r="F7" s="15">
        <f t="shared" si="6"/>
        <v>-4.5734150961876012E-3</v>
      </c>
      <c r="G7" s="5">
        <f t="shared" ref="G7:G14" si="10">D7-R7</f>
        <v>5.4760400092376304E-3</v>
      </c>
      <c r="H7" s="5">
        <f t="shared" si="7"/>
        <v>1.8508992488336953E-2</v>
      </c>
      <c r="I7" s="6">
        <f>J6</f>
        <v>82690.94</v>
      </c>
      <c r="J7" s="6">
        <f>'Διαχείριση Σταθμίσεων'!G27-'Διαχείριση Σταθμίσεων'!G26+'Ημερολόγιο Συναλλαγών'!H6*'Ημερολόγιο Συναλλαγών'!I6+'Ημερολόγιο Συναλλαγών'!H7*'Ημερολόγιο Συναλλαγών'!I7-'Ημερολόγιο Συναλλαγών'!H8*'Ημερολόγιο Συναλλαγών'!I8</f>
        <v>82231.009999999995</v>
      </c>
      <c r="K7" s="5">
        <f t="shared" si="2"/>
        <v>-5.5620361795380192E-3</v>
      </c>
      <c r="L7" s="5">
        <f t="shared" si="3"/>
        <v>-5.577561899275686E-3</v>
      </c>
      <c r="M7" s="15">
        <f t="shared" si="8"/>
        <v>-5.6612425287443681E-3</v>
      </c>
      <c r="N7" s="5">
        <f t="shared" si="4"/>
        <v>4.3882125766808635E-3</v>
      </c>
      <c r="O7" s="4" t="str">
        <f t="shared" ref="O7:O14" si="11">IF(R7&gt;0,IF(N7&lt;0,"ΑΜΥΝΤΙΚΗ","ΕΠΙΘΕΤΙΚΗ"),IF(N7&gt;0,"ΑΜΥΝΤΙΚΗ","ΕΠΙΘΕΤΙΚΗ"))</f>
        <v>ΑΜΥΝΤΙΚΗ</v>
      </c>
      <c r="P7" s="25">
        <v>797.99</v>
      </c>
      <c r="Q7" s="25">
        <f t="shared" ref="Q7:Q17" si="12">P6</f>
        <v>806.01</v>
      </c>
      <c r="R7" s="5">
        <f t="shared" si="9"/>
        <v>-9.9502487562188827E-3</v>
      </c>
    </row>
    <row r="8" spans="1:19" x14ac:dyDescent="0.2">
      <c r="A8" s="13">
        <v>42124</v>
      </c>
      <c r="B8" s="6">
        <f t="shared" si="5"/>
        <v>101850.8992488337</v>
      </c>
      <c r="C8" s="6">
        <f>'Διαχείριση Σταθμίσεων'!I27</f>
        <v>101774.39499208357</v>
      </c>
      <c r="D8" s="5">
        <f t="shared" si="0"/>
        <v>-7.5113972791946999E-4</v>
      </c>
      <c r="E8" s="5">
        <f t="shared" si="1"/>
        <v>-7.5142197471164674E-4</v>
      </c>
      <c r="F8" s="15">
        <f t="shared" si="6"/>
        <v>-8.5034607712581917E-4</v>
      </c>
      <c r="G8" s="5">
        <f t="shared" si="10"/>
        <v>-3.1942006781391301E-2</v>
      </c>
      <c r="H8" s="5">
        <f t="shared" si="7"/>
        <v>1.7743949920835729E-2</v>
      </c>
      <c r="I8" s="6">
        <f>'Διαχείριση Σταθμίσεων'!G27-'Διαχείριση Σταθμίσεων'!G26</f>
        <v>72729.209999999992</v>
      </c>
      <c r="J8" s="6">
        <f>'Διαχείριση Σταθμίσεων'!I27-'Διαχείριση Σταθμίσεων'!I26</f>
        <v>72649.47</v>
      </c>
      <c r="K8" s="5">
        <f t="shared" si="2"/>
        <v>-1.0963957947568892E-3</v>
      </c>
      <c r="L8" s="5">
        <f t="shared" si="3"/>
        <v>-1.0969972763076445E-3</v>
      </c>
      <c r="M8" s="15">
        <f t="shared" si="8"/>
        <v>-1.1956021439632385E-3</v>
      </c>
      <c r="N8" s="5">
        <f t="shared" si="4"/>
        <v>-3.2287262848228721E-2</v>
      </c>
      <c r="O8" s="4" t="str">
        <f t="shared" si="11"/>
        <v>ΑΜΥΝΤΙΚΗ</v>
      </c>
      <c r="P8" s="25">
        <v>822.88</v>
      </c>
      <c r="Q8" s="25">
        <f t="shared" si="12"/>
        <v>797.99</v>
      </c>
      <c r="R8" s="5">
        <f t="shared" si="9"/>
        <v>3.1190867053471832E-2</v>
      </c>
    </row>
    <row r="9" spans="1:19" x14ac:dyDescent="0.2">
      <c r="A9" s="13">
        <v>42128</v>
      </c>
      <c r="B9" s="6">
        <f t="shared" si="5"/>
        <v>101774.39499208357</v>
      </c>
      <c r="C9" s="6">
        <f>'Διαχείριση Σταθμίσεων'!C41</f>
        <v>102134.71156075284</v>
      </c>
      <c r="D9" s="5">
        <f t="shared" si="0"/>
        <v>3.5403459651840064E-3</v>
      </c>
      <c r="E9" s="5">
        <f t="shared" si="1"/>
        <v>3.5340936928665695E-3</v>
      </c>
      <c r="F9" s="15">
        <f t="shared" si="6"/>
        <v>3.4411396159776571E-3</v>
      </c>
      <c r="G9" s="5">
        <f t="shared" si="10"/>
        <v>-2.9982514117411155E-4</v>
      </c>
      <c r="H9" s="5">
        <f t="shared" si="7"/>
        <v>2.1347115607528395E-2</v>
      </c>
      <c r="I9" s="6">
        <f>'Διαχείριση Σταθμίσεων'!I27-'Διαχείριση Σταθμίσεων'!I26</f>
        <v>72649.47</v>
      </c>
      <c r="J9" s="6">
        <f>'Διαχείριση Σταθμίσεων'!C41-'Διαχείριση Σταθμίσεων'!C40-'Ημερολόγιο Συναλλαγών'!H11*'Ημερολόγιο Συναλλαγών'!I11-'Ημερολόγιο Συναλλαγών'!I12*'Ημερολόγιο Συναλλαγών'!H12</f>
        <v>72996.840000000011</v>
      </c>
      <c r="K9" s="5">
        <f t="shared" si="2"/>
        <v>4.781452638264393E-3</v>
      </c>
      <c r="L9" s="5">
        <f t="shared" si="3"/>
        <v>4.7700578017430342E-3</v>
      </c>
      <c r="M9" s="15">
        <f t="shared" si="8"/>
        <v>4.6822462890580441E-3</v>
      </c>
      <c r="N9" s="5">
        <f t="shared" si="4"/>
        <v>9.4128153190627508E-4</v>
      </c>
      <c r="O9" s="4" t="str">
        <f t="shared" si="11"/>
        <v>ΕΠΙΘΕΤΙΚΗ</v>
      </c>
      <c r="P9" s="25">
        <v>826.04</v>
      </c>
      <c r="Q9" s="25">
        <f t="shared" si="12"/>
        <v>822.88</v>
      </c>
      <c r="R9" s="5">
        <f t="shared" si="9"/>
        <v>3.8401711063581179E-3</v>
      </c>
    </row>
    <row r="10" spans="1:19" x14ac:dyDescent="0.2">
      <c r="A10" s="13">
        <v>42129</v>
      </c>
      <c r="B10" s="6">
        <f t="shared" si="5"/>
        <v>102134.71156075284</v>
      </c>
      <c r="C10" s="6">
        <f>'Διαχείριση Σταθμίσεων'!E41</f>
        <v>101476.81684203737</v>
      </c>
      <c r="D10" s="5">
        <f t="shared" si="0"/>
        <v>-6.4414410014183481E-3</v>
      </c>
      <c r="E10" s="5">
        <f t="shared" si="1"/>
        <v>-6.4622766049070033E-3</v>
      </c>
      <c r="F10" s="15">
        <f t="shared" si="6"/>
        <v>-6.5406473506246969E-3</v>
      </c>
      <c r="G10" s="5">
        <f t="shared" si="10"/>
        <v>3.2067590038240681E-2</v>
      </c>
      <c r="H10" s="5">
        <f t="shared" si="7"/>
        <v>1.4768168420373694E-2</v>
      </c>
      <c r="I10" s="6">
        <f>'Διαχείριση Σταθμίσεων'!C41-'Διαχείριση Σταθμίσεων'!C40</f>
        <v>92997.180000000008</v>
      </c>
      <c r="J10" s="6">
        <f>'Διαχείριση Σταθμίσεων'!E41-'Διαχείριση Σταθμίσεων'!E40+'Ημερολόγιο Συναλλαγών'!H15*'Ημερολόγιο Συναλλαγών'!I15</f>
        <v>93731.74</v>
      </c>
      <c r="K10" s="5">
        <f t="shared" si="2"/>
        <v>7.8987341336586511E-3</v>
      </c>
      <c r="L10" s="5">
        <f t="shared" si="3"/>
        <v>7.8677024335258011E-3</v>
      </c>
      <c r="M10" s="15">
        <f t="shared" si="8"/>
        <v>7.7995277844523023E-3</v>
      </c>
      <c r="N10" s="5">
        <f t="shared" si="4"/>
        <v>4.6407765173317683E-2</v>
      </c>
      <c r="O10" s="4" t="str">
        <f t="shared" si="11"/>
        <v>ΑΜΥΝΤΙΚΗ</v>
      </c>
      <c r="P10" s="25">
        <v>794.23</v>
      </c>
      <c r="Q10" s="25">
        <f t="shared" si="12"/>
        <v>826.04</v>
      </c>
      <c r="R10" s="5">
        <f t="shared" si="9"/>
        <v>-3.8509031039659032E-2</v>
      </c>
    </row>
    <row r="11" spans="1:19" x14ac:dyDescent="0.2">
      <c r="A11" s="13">
        <v>42130</v>
      </c>
      <c r="B11" s="6">
        <f t="shared" si="5"/>
        <v>101476.81684203737</v>
      </c>
      <c r="C11" s="6">
        <f>'Διαχείριση Σταθμίσεων'!G41</f>
        <v>101011.58223613093</v>
      </c>
      <c r="D11" s="5">
        <f t="shared" si="0"/>
        <v>-4.5846393332444162E-3</v>
      </c>
      <c r="E11" s="5">
        <f t="shared" si="1"/>
        <v>-4.5951810243935048E-3</v>
      </c>
      <c r="F11" s="15">
        <f t="shared" si="6"/>
        <v>-4.683845682450765E-3</v>
      </c>
      <c r="G11" s="5">
        <f t="shared" si="10"/>
        <v>-3.3178371627416173E-2</v>
      </c>
      <c r="H11" s="5">
        <f t="shared" si="7"/>
        <v>1.0115822361309255E-2</v>
      </c>
      <c r="I11" s="6">
        <f>'Διαχείριση Σταθμίσεων'!E41-'Διαχείριση Σταθμίσεων'!E40</f>
        <v>92338.27</v>
      </c>
      <c r="J11" s="6">
        <f>'Διαχείριση Σταθμίσεων'!G41-'Διαχείριση Σταθμίσεων'!G40</f>
        <v>91872.02</v>
      </c>
      <c r="K11" s="5">
        <f t="shared" si="2"/>
        <v>-5.0493690211003521E-3</v>
      </c>
      <c r="L11" s="5">
        <f t="shared" si="3"/>
        <v>-5.0621601611471169E-3</v>
      </c>
      <c r="M11" s="15">
        <f t="shared" si="8"/>
        <v>-5.148575370306701E-3</v>
      </c>
      <c r="N11" s="5">
        <f t="shared" si="4"/>
        <v>-3.3643101315272109E-2</v>
      </c>
      <c r="O11" s="4" t="str">
        <f t="shared" si="11"/>
        <v>ΑΜΥΝΤΙΚΗ</v>
      </c>
      <c r="P11" s="25">
        <v>816.94</v>
      </c>
      <c r="Q11" s="25">
        <f t="shared" si="12"/>
        <v>794.23</v>
      </c>
      <c r="R11" s="5">
        <f t="shared" si="9"/>
        <v>2.859373229417176E-2</v>
      </c>
    </row>
    <row r="12" spans="1:19" x14ac:dyDescent="0.2">
      <c r="A12" s="13">
        <v>42131</v>
      </c>
      <c r="B12" s="6">
        <f t="shared" si="5"/>
        <v>101011.58223613093</v>
      </c>
      <c r="C12" s="6">
        <f>'Διαχείριση Σταθμίσεων'!I41</f>
        <v>103707.13774304603</v>
      </c>
      <c r="D12" s="5">
        <f t="shared" si="0"/>
        <v>2.6685608197026398E-2</v>
      </c>
      <c r="E12" s="5">
        <f t="shared" si="1"/>
        <v>2.6335757689740842E-2</v>
      </c>
      <c r="F12" s="15">
        <f t="shared" si="6"/>
        <v>2.6586401847820049E-2</v>
      </c>
      <c r="G12" s="5">
        <f t="shared" si="10"/>
        <v>-3.4267623565025114E-3</v>
      </c>
      <c r="H12" s="5">
        <f t="shared" si="7"/>
        <v>3.7071377430460267E-2</v>
      </c>
      <c r="I12" s="6">
        <f>'Διαχείριση Σταθμίσεων'!G41-'Διαχείριση Σταθμίσεων'!G40</f>
        <v>91872.02</v>
      </c>
      <c r="J12" s="6">
        <f>'Διαχείριση Σταθμίσεων'!I41-'Διαχείριση Σταθμίσεων'!I40</f>
        <v>93173.089999999982</v>
      </c>
      <c r="K12" s="5">
        <f t="shared" si="2"/>
        <v>1.4161765464610203E-2</v>
      </c>
      <c r="L12" s="5">
        <f t="shared" si="3"/>
        <v>1.406242446149342E-2</v>
      </c>
      <c r="M12" s="15">
        <f t="shared" si="8"/>
        <v>1.4062559115403854E-2</v>
      </c>
      <c r="N12" s="5">
        <f t="shared" si="4"/>
        <v>-1.5950605088918705E-2</v>
      </c>
      <c r="O12" s="4" t="str">
        <f t="shared" si="11"/>
        <v>ΑΜΥΝΤΙΚΗ</v>
      </c>
      <c r="P12" s="25">
        <v>841.54</v>
      </c>
      <c r="Q12" s="25">
        <f t="shared" si="12"/>
        <v>816.94</v>
      </c>
      <c r="R12" s="5">
        <f t="shared" si="9"/>
        <v>3.011237055352891E-2</v>
      </c>
    </row>
    <row r="13" spans="1:19" x14ac:dyDescent="0.2">
      <c r="A13" s="13">
        <v>42132</v>
      </c>
      <c r="B13" s="6">
        <f t="shared" ref="B13:B18" si="13">C12</f>
        <v>103707.13774304603</v>
      </c>
      <c r="C13" s="6">
        <f>'Διαχείριση Σταθμίσεων'!K41</f>
        <v>104445.81819279528</v>
      </c>
      <c r="D13" s="5">
        <f t="shared" si="0"/>
        <v>7.1227541886217686E-3</v>
      </c>
      <c r="E13" s="5">
        <f t="shared" si="1"/>
        <v>7.0975071895611613E-3</v>
      </c>
      <c r="F13" s="15">
        <f t="shared" si="6"/>
        <v>7.0235478394154198E-3</v>
      </c>
      <c r="G13" s="5">
        <f t="shared" si="10"/>
        <v>1.0200445088638307E-2</v>
      </c>
      <c r="H13" s="5">
        <f t="shared" si="7"/>
        <v>4.4458181927952825E-2</v>
      </c>
      <c r="I13" s="6">
        <f>'Διαχείριση Σταθμίσεων'!I41-'Διαχείριση Σταθμίσεων'!I40</f>
        <v>93173.089999999982</v>
      </c>
      <c r="J13" s="6">
        <f>'Διαχείριση Σταθμίσεων'!K41-'Διαχείριση Σταθμίσεων'!K40</f>
        <v>93910.6</v>
      </c>
      <c r="K13" s="5">
        <f t="shared" si="2"/>
        <v>7.915482893183258E-3</v>
      </c>
      <c r="L13" s="5">
        <f t="shared" si="3"/>
        <v>7.884319797748689E-3</v>
      </c>
      <c r="M13" s="15">
        <f t="shared" si="8"/>
        <v>7.8162765439769091E-3</v>
      </c>
      <c r="N13" s="5">
        <f t="shared" si="4"/>
        <v>1.0993173793199796E-2</v>
      </c>
      <c r="O13" s="4" t="str">
        <f t="shared" si="11"/>
        <v>ΑΜΥΝΤΙΚΗ</v>
      </c>
      <c r="P13" s="25">
        <v>838.95</v>
      </c>
      <c r="Q13" s="25">
        <f t="shared" si="12"/>
        <v>841.54</v>
      </c>
      <c r="R13" s="5">
        <f t="shared" si="9"/>
        <v>-3.0776909000165388E-3</v>
      </c>
    </row>
    <row r="14" spans="1:19" x14ac:dyDescent="0.2">
      <c r="A14" s="13">
        <v>42135</v>
      </c>
      <c r="B14" s="6">
        <f t="shared" si="13"/>
        <v>104445.81819279528</v>
      </c>
      <c r="C14" s="6">
        <f>'Διαχείριση Σταθμίσεων'!C55</f>
        <v>103621.96032240058</v>
      </c>
      <c r="D14" s="5">
        <f t="shared" si="0"/>
        <v>-7.8878971379586424E-3</v>
      </c>
      <c r="E14" s="5">
        <f t="shared" si="1"/>
        <v>-7.9191711646845672E-3</v>
      </c>
      <c r="F14" s="15">
        <f t="shared" si="6"/>
        <v>-7.9871034871649912E-3</v>
      </c>
      <c r="G14" s="5">
        <f t="shared" si="10"/>
        <v>1.7179150957875537E-2</v>
      </c>
      <c r="H14" s="5">
        <f t="shared" si="7"/>
        <v>3.6219603224005845E-2</v>
      </c>
      <c r="I14" s="6">
        <f>'Διαχείριση Σταθμίσεων'!K41-'Διαχείριση Σταθμίσεων'!K40</f>
        <v>93910.6</v>
      </c>
      <c r="J14" s="6">
        <f>'Διαχείριση Σταθμίσεων'!C55-'Διαχείριση Σταθμίσεων'!C54</f>
        <v>93083.23</v>
      </c>
      <c r="K14" s="5">
        <f t="shared" ref="K14" si="14">(J14-I14)/I14</f>
        <v>-8.8101875613616557E-3</v>
      </c>
      <c r="L14" s="5">
        <f t="shared" ref="L14" si="15">LN(J14/I14)</f>
        <v>-8.8492267278540027E-3</v>
      </c>
      <c r="M14" s="15">
        <f t="shared" si="8"/>
        <v>-8.9093939105680045E-3</v>
      </c>
      <c r="N14" s="5">
        <f t="shared" si="4"/>
        <v>1.6256860534472523E-2</v>
      </c>
      <c r="O14" s="4" t="str">
        <f t="shared" si="11"/>
        <v>ΑΜΥΝΤΙΚΗ</v>
      </c>
      <c r="P14" s="25">
        <v>817.92</v>
      </c>
      <c r="Q14" s="25">
        <f t="shared" si="12"/>
        <v>838.95</v>
      </c>
      <c r="R14" s="5">
        <f t="shared" si="9"/>
        <v>-2.5067048095834179E-2</v>
      </c>
    </row>
    <row r="15" spans="1:19" x14ac:dyDescent="0.2">
      <c r="A15" s="13">
        <v>42136</v>
      </c>
      <c r="B15" s="6">
        <f t="shared" si="13"/>
        <v>103621.96032240058</v>
      </c>
      <c r="C15" s="6">
        <f>'Διαχείριση Σταθμίσεων'!E55</f>
        <v>103959.09129243642</v>
      </c>
      <c r="D15" s="5">
        <f t="shared" si="0"/>
        <v>3.2534702970964742E-3</v>
      </c>
      <c r="E15" s="5">
        <f t="shared" si="1"/>
        <v>3.2481892140737933E-3</v>
      </c>
      <c r="F15" s="15">
        <f t="shared" si="6"/>
        <v>3.1542639478901249E-3</v>
      </c>
      <c r="G15" s="5">
        <f t="shared" ref="G15" si="16">D15-R15</f>
        <v>-1.0415348169257283E-2</v>
      </c>
      <c r="H15" s="5">
        <f t="shared" si="7"/>
        <v>3.9590912924364237E-2</v>
      </c>
      <c r="I15" s="6">
        <f>'Διαχείριση Σταθμίσεων'!C55-'Διαχείριση Σταθμίσεων'!C54</f>
        <v>93083.23</v>
      </c>
      <c r="J15" s="6">
        <f>'Διαχείριση Σταθμίσεων'!E55-'Διαχείριση Σταθμίσεων'!E54</f>
        <v>93419.190000000017</v>
      </c>
      <c r="K15" s="5">
        <f t="shared" ref="K15" si="17">(J15-I15)/I15</f>
        <v>3.609243039804495E-3</v>
      </c>
      <c r="L15" s="5">
        <f t="shared" ref="L15" si="18">LN(J15/I15)</f>
        <v>3.6027453519407279E-3</v>
      </c>
      <c r="M15" s="15">
        <f t="shared" si="8"/>
        <v>3.5100366905981457E-3</v>
      </c>
      <c r="N15" s="5">
        <f t="shared" si="4"/>
        <v>-1.0059575426549262E-2</v>
      </c>
      <c r="O15" s="4" t="str">
        <f t="shared" ref="O15" si="19">IF(R15&gt;0,IF(N15&lt;0,"ΑΜΥΝΤΙΚΗ","ΕΠΙΘΕΤΙΚΗ"),IF(N15&gt;0,"ΑΜΥΝΤΙΚΗ","ΕΠΙΘΕΤΙΚΗ"))</f>
        <v>ΑΜΥΝΤΙΚΗ</v>
      </c>
      <c r="P15" s="25">
        <v>829.1</v>
      </c>
      <c r="Q15" s="25">
        <f t="shared" si="12"/>
        <v>817.92</v>
      </c>
      <c r="R15" s="5">
        <f t="shared" si="9"/>
        <v>1.3668818466353757E-2</v>
      </c>
    </row>
    <row r="16" spans="1:19" x14ac:dyDescent="0.2">
      <c r="A16" s="13">
        <v>42137</v>
      </c>
      <c r="B16" s="6">
        <f t="shared" si="13"/>
        <v>103959.09129243642</v>
      </c>
      <c r="C16" s="6">
        <f>'Διαχείριση Σταθμίσεων'!G55</f>
        <v>104031.68239258004</v>
      </c>
      <c r="D16" s="5">
        <f t="shared" si="0"/>
        <v>6.9826601253583046E-4</v>
      </c>
      <c r="E16" s="5">
        <f t="shared" si="1"/>
        <v>6.9802233825011592E-4</v>
      </c>
      <c r="F16" s="15">
        <f t="shared" si="6"/>
        <v>5.9905966332948128E-4</v>
      </c>
      <c r="G16" s="5">
        <f t="shared" ref="G16" si="20">D16-R16</f>
        <v>9.7567525146963598E-4</v>
      </c>
      <c r="H16" s="5">
        <f t="shared" si="7"/>
        <v>4.0316823925800417E-2</v>
      </c>
      <c r="I16" s="6">
        <f>'Διαχείριση Σταθμίσεων'!E55-'Διαχείριση Σταθμίσεων'!E54</f>
        <v>93419.190000000017</v>
      </c>
      <c r="J16" s="6">
        <f>'Διαχείριση Σταθμίσεων'!G55-'Διαχείριση Σταθμίσεων'!G54</f>
        <v>93491.340000000026</v>
      </c>
      <c r="K16" s="5">
        <f t="shared" ref="K16" si="21">(J16-I16)/I16</f>
        <v>7.7232525779776851E-4</v>
      </c>
      <c r="L16" s="5">
        <f t="shared" ref="L16" si="22">LN(J16/I16)</f>
        <v>7.7202716811747047E-4</v>
      </c>
      <c r="M16" s="15">
        <f t="shared" si="8"/>
        <v>6.7311890859141933E-4</v>
      </c>
      <c r="N16" s="5">
        <f t="shared" ref="N16" si="23">K16-R16</f>
        <v>1.0497344967315741E-3</v>
      </c>
      <c r="O16" s="4" t="str">
        <f t="shared" ref="O16" si="24">IF(R16&gt;0,IF(N16&lt;0,"ΑΜΥΝΤΙΚΗ","ΕΠΙΘΕΤΙΚΗ"),IF(N16&gt;0,"ΑΜΥΝΤΙΚΗ","ΕΠΙΘΕΤΙΚΗ"))</f>
        <v>ΑΜΥΝΤΙΚΗ</v>
      </c>
      <c r="P16" s="25">
        <v>828.87</v>
      </c>
      <c r="Q16" s="25">
        <f t="shared" si="12"/>
        <v>829.1</v>
      </c>
      <c r="R16" s="5">
        <f t="shared" si="9"/>
        <v>-2.7740923893380557E-4</v>
      </c>
    </row>
    <row r="17" spans="1:18" x14ac:dyDescent="0.2">
      <c r="A17" s="13">
        <v>42138</v>
      </c>
      <c r="B17" s="6">
        <f t="shared" si="13"/>
        <v>104031.68239258004</v>
      </c>
      <c r="C17" s="6">
        <f>'Διαχείριση Σταθμίσεων'!I55</f>
        <v>103534.73354173475</v>
      </c>
      <c r="D17" s="5">
        <f t="shared" si="0"/>
        <v>-4.7768991081964538E-3</v>
      </c>
      <c r="E17" s="5">
        <f t="shared" si="1"/>
        <v>-4.7883449557277269E-3</v>
      </c>
      <c r="F17" s="15">
        <f t="shared" si="6"/>
        <v>-4.8761054574028026E-3</v>
      </c>
      <c r="G17" s="5">
        <f t="shared" ref="G17" si="25">D17-R17</f>
        <v>-1.0266300341200369E-2</v>
      </c>
      <c r="H17" s="5">
        <f t="shared" si="7"/>
        <v>3.5347335417347497E-2</v>
      </c>
      <c r="I17" s="6">
        <f>'Διαχείριση Σταθμίσεων'!G55-'Διαχείριση Σταθμίσεων'!I54</f>
        <v>98049.688850845298</v>
      </c>
      <c r="J17" s="6">
        <f>'Διαχείριση Σταθμίσεων'!I55-'Διαχείριση Σταθμίσεων'!I54</f>
        <v>97552.74</v>
      </c>
      <c r="K17" s="5">
        <f t="shared" ref="K17" si="26">(J17-I17)/I17</f>
        <v>-5.0683368470578073E-3</v>
      </c>
      <c r="L17" s="5">
        <f t="shared" ref="L17" si="27">LN(J17/I17)</f>
        <v>-5.0812244304397885E-3</v>
      </c>
      <c r="M17" s="15">
        <f t="shared" si="8"/>
        <v>-5.1675431962641561E-3</v>
      </c>
      <c r="N17" s="5">
        <f t="shared" ref="N17" si="28">K17-R17</f>
        <v>-1.0557738080061722E-2</v>
      </c>
      <c r="O17" s="4" t="str">
        <f t="shared" ref="O17" si="29">IF(R17&gt;0,IF(N17&lt;0,"ΑΜΥΝΤΙΚΗ","ΕΠΙΘΕΤΙΚΗ"),IF(N17&gt;0,"ΑΜΥΝΤΙΚΗ","ΕΠΙΘΕΤΙΚΗ"))</f>
        <v>ΑΜΥΝΤΙΚΗ</v>
      </c>
      <c r="P17" s="25">
        <v>833.42</v>
      </c>
      <c r="Q17" s="25">
        <f t="shared" si="12"/>
        <v>828.87</v>
      </c>
      <c r="R17" s="5">
        <f t="shared" si="9"/>
        <v>5.4894012330039144E-3</v>
      </c>
    </row>
    <row r="18" spans="1:18" x14ac:dyDescent="0.2">
      <c r="A18" s="13">
        <v>42139</v>
      </c>
      <c r="B18" s="6">
        <f t="shared" si="13"/>
        <v>103534.73354173475</v>
      </c>
      <c r="C18" s="6">
        <f>'Διαχείριση Σταθμίσεων'!K55</f>
        <v>103417.50820768382</v>
      </c>
      <c r="D18" s="5">
        <f t="shared" si="0"/>
        <v>-1.1322319577292462E-3</v>
      </c>
      <c r="E18" s="5">
        <f t="shared" si="1"/>
        <v>-1.1328734165648275E-3</v>
      </c>
      <c r="F18" s="15">
        <f t="shared" si="6"/>
        <v>-1.2314383069355955E-3</v>
      </c>
      <c r="G18" s="5">
        <f t="shared" ref="G18" si="30">D18-R18</f>
        <v>2.4593092608515794E-2</v>
      </c>
      <c r="H18" s="5">
        <f t="shared" si="7"/>
        <v>3.4175082076838149E-2</v>
      </c>
      <c r="I18" s="6">
        <f>'Διαχείριση Σταθμίσεων'!I55-'Διαχείριση Σταθμίσεων'!I54</f>
        <v>97552.74</v>
      </c>
      <c r="J18" s="6">
        <f>'Ημερολόγιο Συναλλαγών'!H24+'Διαχείριση Σταθμίσεων'!K55-'Διαχείριση Σταθμίσεων'!K54</f>
        <v>98718.159999999989</v>
      </c>
      <c r="K18" s="5">
        <f t="shared" ref="K18" si="31">(J18-I18)/I18</f>
        <v>1.1946563469155081E-2</v>
      </c>
      <c r="L18" s="5">
        <f t="shared" ref="L18" si="32">LN(J18/I18)</f>
        <v>1.1875766575060034E-2</v>
      </c>
      <c r="M18" s="15">
        <f t="shared" si="8"/>
        <v>1.1847357119948733E-2</v>
      </c>
      <c r="N18" s="5">
        <f t="shared" ref="N18" si="33">K18-R18</f>
        <v>3.7671888035400121E-2</v>
      </c>
      <c r="O18" s="4" t="str">
        <f t="shared" ref="O18" si="34">IF(R18&gt;0,IF(N18&lt;0,"ΑΜΥΝΤΙΚΗ","ΕΠΙΘΕΤΙΚΗ"),IF(N18&gt;0,"ΑΜΥΝΤΙΚΗ","ΕΠΙΘΕΤΙΚΗ"))</f>
        <v>ΑΜΥΝΤΙΚΗ</v>
      </c>
      <c r="P18" s="25">
        <v>811.98</v>
      </c>
      <c r="Q18" s="25">
        <f t="shared" ref="Q18" si="35">P17</f>
        <v>833.42</v>
      </c>
      <c r="R18" s="5">
        <f t="shared" ref="R18" si="36">(P18-Q18)/Q18</f>
        <v>-2.5725324566245041E-2</v>
      </c>
    </row>
    <row r="19" spans="1:18" x14ac:dyDescent="0.2">
      <c r="A19" s="13">
        <v>42142</v>
      </c>
      <c r="B19" s="6">
        <f t="shared" ref="B19:B24" si="37">C18</f>
        <v>103417.50820768382</v>
      </c>
      <c r="C19" s="6">
        <f>'Διαχείριση Σταθμίσεων'!C69</f>
        <v>104699.03264867455</v>
      </c>
      <c r="D19" s="5">
        <f t="shared" si="0"/>
        <v>1.2391755160230363E-2</v>
      </c>
      <c r="E19" s="5">
        <f t="shared" si="1"/>
        <v>1.2315605799714802E-2</v>
      </c>
      <c r="F19" s="15">
        <f t="shared" si="6"/>
        <v>1.2292548811024014E-2</v>
      </c>
      <c r="G19" s="5">
        <f t="shared" ref="G19" si="38">D19-R19</f>
        <v>-3.7662782888693725E-3</v>
      </c>
      <c r="H19" s="5">
        <f t="shared" si="7"/>
        <v>4.6990326486745469E-2</v>
      </c>
      <c r="I19" s="6">
        <f>'Διαχείριση Σταθμίσεων'!K55-'Διαχείριση Σταθμίσεων'!K54</f>
        <v>97434.849999999991</v>
      </c>
      <c r="J19" s="6">
        <f>'Διαχείριση Σταθμίσεων'!C69-'Διαχείριση Σταθμίσεων'!C68</f>
        <v>98714.380000000019</v>
      </c>
      <c r="K19" s="5">
        <f t="shared" ref="K19" si="39">(J19-I19)/I19</f>
        <v>1.3132159591768531E-2</v>
      </c>
      <c r="L19" s="5">
        <f t="shared" ref="L19" si="40">LN(J19/I19)</f>
        <v>1.3046680322333675E-2</v>
      </c>
      <c r="M19" s="15">
        <f t="shared" si="8"/>
        <v>1.3032953242562182E-2</v>
      </c>
      <c r="N19" s="5">
        <f t="shared" ref="N19" si="41">K19-R19</f>
        <v>-3.0258738573312044E-3</v>
      </c>
      <c r="O19" s="4" t="str">
        <f t="shared" ref="O19" si="42">IF(R19&gt;0,IF(N19&lt;0,"ΑΜΥΝΤΙΚΗ","ΕΠΙΘΕΤΙΚΗ"),IF(N19&gt;0,"ΑΜΥΝΤΙΚΗ","ΕΠΙΘΕΤΙΚΗ"))</f>
        <v>ΑΜΥΝΤΙΚΗ</v>
      </c>
      <c r="P19" s="25">
        <v>825.1</v>
      </c>
      <c r="Q19" s="25">
        <f t="shared" ref="Q19" si="43">P18</f>
        <v>811.98</v>
      </c>
      <c r="R19" s="5">
        <f t="shared" ref="R19" si="44">(P19-Q19)/Q19</f>
        <v>1.6158033449099735E-2</v>
      </c>
    </row>
    <row r="20" spans="1:18" x14ac:dyDescent="0.2">
      <c r="A20" s="13">
        <v>42143</v>
      </c>
      <c r="B20" s="6">
        <f t="shared" si="37"/>
        <v>104699.03264867455</v>
      </c>
      <c r="C20" s="6">
        <f>'Διαχείριση Σταθμίσεων'!E69</f>
        <v>107147.69761007995</v>
      </c>
      <c r="D20" s="5">
        <f t="shared" si="0"/>
        <v>2.3387656021828615E-2</v>
      </c>
      <c r="E20" s="5">
        <f t="shared" si="1"/>
        <v>2.311835558250613E-2</v>
      </c>
      <c r="F20" s="15">
        <f t="shared" si="6"/>
        <v>2.3288449672622266E-2</v>
      </c>
      <c r="G20" s="5">
        <f t="shared" ref="G20" si="45">D20-R20</f>
        <v>-2.4637559282379533E-3</v>
      </c>
      <c r="H20" s="5">
        <f t="shared" si="7"/>
        <v>7.1476976100799505E-2</v>
      </c>
      <c r="I20" s="6">
        <f>'Διαχείριση Σταθμίσεων'!C69-'Διαχείριση Σταθμίσεων'!E68</f>
        <v>98717.715038594615</v>
      </c>
      <c r="J20" s="6">
        <f>'Διαχείριση Σταθμίσεων'!E69-'Διαχείριση Σταθμίσεων'!E68</f>
        <v>101166.38000000002</v>
      </c>
      <c r="K20" s="5">
        <f t="shared" ref="K20" si="46">(J20-I20)/I20</f>
        <v>2.4804716766874877E-2</v>
      </c>
      <c r="L20" s="5">
        <f t="shared" ref="L20" si="47">LN(J20/I20)</f>
        <v>2.4502074211648246E-2</v>
      </c>
      <c r="M20" s="15">
        <f t="shared" si="8"/>
        <v>2.4705510417668528E-2</v>
      </c>
      <c r="N20" s="5">
        <f t="shared" ref="N20" si="48">K20-R20</f>
        <v>-1.0466951831916912E-3</v>
      </c>
      <c r="O20" s="4" t="str">
        <f t="shared" ref="O20" si="49">IF(R20&gt;0,IF(N20&lt;0,"ΑΜΥΝΤΙΚΗ","ΕΠΙΘΕΤΙΚΗ"),IF(N20&gt;0,"ΑΜΥΝΤΙΚΗ","ΕΠΙΘΕΤΙΚΗ"))</f>
        <v>ΑΜΥΝΤΙΚΗ</v>
      </c>
      <c r="P20" s="25">
        <v>846.43</v>
      </c>
      <c r="Q20" s="25">
        <f t="shared" ref="Q20" si="50">P19</f>
        <v>825.1</v>
      </c>
      <c r="R20" s="5">
        <f t="shared" ref="R20" si="51">(P20-Q20)/Q20</f>
        <v>2.5851411950066568E-2</v>
      </c>
    </row>
    <row r="21" spans="1:18" x14ac:dyDescent="0.2">
      <c r="A21" s="13">
        <v>42144</v>
      </c>
      <c r="B21" s="6">
        <f t="shared" si="37"/>
        <v>107147.69761007995</v>
      </c>
      <c r="C21" s="6">
        <f>'Διαχείριση Σταθμίσεων'!G69</f>
        <v>107385.56331203663</v>
      </c>
      <c r="D21" s="5">
        <f t="shared" si="0"/>
        <v>2.2199795913701199E-3</v>
      </c>
      <c r="E21" s="5">
        <f t="shared" si="1"/>
        <v>2.2175190775312881E-3</v>
      </c>
      <c r="F21" s="15">
        <f t="shared" si="6"/>
        <v>2.1207732421637706E-3</v>
      </c>
      <c r="G21" s="5">
        <f t="shared" ref="G21" si="52">D21-R21</f>
        <v>9.3440182005876254E-3</v>
      </c>
      <c r="H21" s="5">
        <f t="shared" si="7"/>
        <v>7.3855633120366262E-2</v>
      </c>
      <c r="I21" s="6">
        <f>'Διαχείριση Σταθμίσεων'!E69-'Διαχείριση Σταθμίσεων'!E68</f>
        <v>101166.38000000002</v>
      </c>
      <c r="J21" s="6">
        <f>'Διαχείριση Σταθμίσεων'!G69-'Διαχείριση Σταθμίσεων'!G68+'Ημερολόγιο Συναλλαγών'!H30</f>
        <v>101088.67111111112</v>
      </c>
      <c r="K21" s="5">
        <f t="shared" ref="K21" si="53">(J21-I21)/I21</f>
        <v>-7.68129579104219E-4</v>
      </c>
      <c r="L21" s="5">
        <f t="shared" ref="L21" si="54">LN(J21/I21)</f>
        <v>-7.6842474178783382E-4</v>
      </c>
      <c r="M21" s="15">
        <f t="shared" si="8"/>
        <v>-8.6733592831056818E-4</v>
      </c>
      <c r="N21" s="5">
        <f t="shared" ref="N21" si="55">K21-R21</f>
        <v>6.3559090301132867E-3</v>
      </c>
      <c r="O21" s="4" t="str">
        <f t="shared" ref="O21" si="56">IF(R21&gt;0,IF(N21&lt;0,"ΑΜΥΝΤΙΚΗ","ΕΠΙΘΕΤΙΚΗ"),IF(N21&gt;0,"ΑΜΥΝΤΙΚΗ","ΕΠΙΘΕΤΙΚΗ"))</f>
        <v>ΑΜΥΝΤΙΚΗ</v>
      </c>
      <c r="P21" s="25">
        <v>840.4</v>
      </c>
      <c r="Q21" s="25">
        <f t="shared" ref="Q21" si="57">P20</f>
        <v>846.43</v>
      </c>
      <c r="R21" s="5">
        <f t="shared" ref="R21" si="58">(P21-Q21)/Q21</f>
        <v>-7.1240386092175055E-3</v>
      </c>
    </row>
    <row r="22" spans="1:18" x14ac:dyDescent="0.2">
      <c r="A22" s="13">
        <v>42145</v>
      </c>
      <c r="B22" s="6">
        <f t="shared" si="37"/>
        <v>107385.56331203663</v>
      </c>
      <c r="C22" s="6">
        <f>'Διαχείριση Σταθμίσεων'!I69</f>
        <v>108347.96339500845</v>
      </c>
      <c r="D22" s="5">
        <f t="shared" si="0"/>
        <v>8.9620993110156224E-3</v>
      </c>
      <c r="E22" s="5">
        <f t="shared" si="1"/>
        <v>8.9221780406225793E-3</v>
      </c>
      <c r="F22" s="15">
        <f t="shared" si="6"/>
        <v>8.8628929618092735E-3</v>
      </c>
      <c r="G22" s="5">
        <f t="shared" ref="G22" si="59">D22-R22</f>
        <v>2.6198813195829227E-3</v>
      </c>
      <c r="H22" s="5">
        <f t="shared" si="7"/>
        <v>8.3479633950084536E-2</v>
      </c>
      <c r="I22" s="6">
        <f>'Διαχείριση Σταθμίσεων'!G69-'Διαχείριση Σταθμίσεων'!G68</f>
        <v>100120.27111111113</v>
      </c>
      <c r="J22" s="6">
        <f>'Διαχείριση Σταθμίσεων'!I69-'Διαχείριση Σταθμίσεων'!I68</f>
        <v>101081.86393939397</v>
      </c>
      <c r="K22" s="5">
        <f t="shared" ref="K22" si="60">(J22-I22)/I22</f>
        <v>9.6043769919049241E-3</v>
      </c>
      <c r="L22" s="5">
        <f t="shared" ref="L22" si="61">LN(J22/I22)</f>
        <v>9.5585481677445579E-3</v>
      </c>
      <c r="M22" s="15">
        <f t="shared" si="8"/>
        <v>9.5051706426985752E-3</v>
      </c>
      <c r="N22" s="5">
        <f t="shared" ref="N22" si="62">K22-R22</f>
        <v>3.2621590004722244E-3</v>
      </c>
      <c r="O22" s="4" t="str">
        <f t="shared" ref="O22" si="63">IF(R22&gt;0,IF(N22&lt;0,"ΑΜΥΝΤΙΚΗ","ΕΠΙΘΕΤΙΚΗ"),IF(N22&gt;0,"ΑΜΥΝΤΙΚΗ","ΕΠΙΘΕΤΙΚΗ"))</f>
        <v>ΕΠΙΘΕΤΙΚΗ</v>
      </c>
      <c r="P22" s="25">
        <v>845.73</v>
      </c>
      <c r="Q22" s="25">
        <f t="shared" ref="Q22" si="64">P21</f>
        <v>840.4</v>
      </c>
      <c r="R22" s="5">
        <f t="shared" ref="R22" si="65">(P22-Q22)/Q22</f>
        <v>6.3422179914326996E-3</v>
      </c>
    </row>
    <row r="23" spans="1:18" x14ac:dyDescent="0.2">
      <c r="A23" s="13">
        <v>42146</v>
      </c>
      <c r="B23" s="6">
        <f t="shared" si="37"/>
        <v>108347.96339500845</v>
      </c>
      <c r="C23" s="6">
        <f>'Διαχείριση Σταθμίσεων'!K69</f>
        <v>108192.91498181665</v>
      </c>
      <c r="D23" s="5">
        <f t="shared" si="0"/>
        <v>-1.431022866821589E-3</v>
      </c>
      <c r="E23" s="5">
        <f t="shared" si="1"/>
        <v>-1.4320477579227251E-3</v>
      </c>
      <c r="F23" s="15">
        <f t="shared" si="6"/>
        <v>-1.5302292160279383E-3</v>
      </c>
      <c r="G23" s="5">
        <f t="shared" ref="G23" si="66">D23-R23</f>
        <v>5.0840587786207987E-3</v>
      </c>
      <c r="H23" s="5">
        <f t="shared" si="7"/>
        <v>8.1929149818166486E-2</v>
      </c>
      <c r="I23" s="6">
        <f>'Διαχείριση Σταθμίσεων'!I69-'Διαχείριση Σταθμίσεων'!I68</f>
        <v>101081.86393939397</v>
      </c>
      <c r="J23" s="6">
        <f>'Διαχείριση Σταθμίσεων'!K69-'Διαχείριση Σταθμίσεων'!K68</f>
        <v>100926.00818181819</v>
      </c>
      <c r="K23" s="5">
        <f t="shared" ref="K23" si="67">(J23-I23)/I23</f>
        <v>-1.5418765691659602E-3</v>
      </c>
      <c r="L23" s="5">
        <f t="shared" ref="L23" si="68">LN(J23/I23)</f>
        <v>-1.5430664841351689E-3</v>
      </c>
      <c r="M23" s="15">
        <f t="shared" si="8"/>
        <v>-1.6410829183723095E-3</v>
      </c>
      <c r="N23" s="5">
        <f t="shared" ref="N23" si="69">K23-R23</f>
        <v>4.9732050762764275E-3</v>
      </c>
      <c r="O23" s="57" t="str">
        <f t="shared" ref="O23" si="70">IF(R23&gt;0,IF(N23&lt;0,"ΑΜΥΝΤΙΚΗ","ΕΠΙΘΕΤΙΚΗ"),IF(N23&gt;0,"ΑΜΥΝΤΙΚΗ","ΕΠΙΘΕΤΙΚΗ"))</f>
        <v>ΑΜΥΝΤΙΚΗ</v>
      </c>
      <c r="P23" s="25">
        <v>840.22</v>
      </c>
      <c r="Q23" s="25">
        <f t="shared" ref="Q23" si="71">P22</f>
        <v>845.73</v>
      </c>
      <c r="R23" s="5">
        <f t="shared" ref="R23" si="72">(P23-Q23)/Q23</f>
        <v>-6.5150816454423877E-3</v>
      </c>
    </row>
    <row r="24" spans="1:18" x14ac:dyDescent="0.2">
      <c r="A24" s="13">
        <v>42149</v>
      </c>
      <c r="B24" s="6">
        <f t="shared" si="37"/>
        <v>108192.91498181665</v>
      </c>
      <c r="C24" s="6">
        <f>'Διαχείριση Σταθμίσεων'!C83</f>
        <v>106774.68613909656</v>
      </c>
      <c r="D24" s="5">
        <f t="shared" si="0"/>
        <v>-1.3108333784688555E-2</v>
      </c>
      <c r="E24" s="5">
        <f t="shared" si="1"/>
        <v>-1.3195006246242327E-2</v>
      </c>
      <c r="F24" s="15">
        <f t="shared" si="6"/>
        <v>-1.3207540133894904E-2</v>
      </c>
      <c r="G24" s="5">
        <f t="shared" ref="G24" si="73">D24-R24</f>
        <v>1.8026369031240705E-2</v>
      </c>
      <c r="H24" s="5">
        <f t="shared" si="7"/>
        <v>6.774686139096564E-2</v>
      </c>
      <c r="I24" s="6">
        <f>'Διαχείριση Σταθμίσεων'!K69-'Διαχείριση Σταθμίσεων'!K68</f>
        <v>100926.00818181819</v>
      </c>
      <c r="J24" s="6">
        <f>'Διαχείριση Σταθμίσεων'!C83-'Διαχείριση Σταθμίσεων'!C82</f>
        <v>99505.356767676785</v>
      </c>
      <c r="K24" s="5">
        <f t="shared" ref="K24" si="74">(J24-I24)/I24</f>
        <v>-1.4076167677038259E-2</v>
      </c>
      <c r="L24" s="5">
        <f t="shared" ref="L24" si="75">LN(J24/I24)</f>
        <v>-1.4176176528725253E-2</v>
      </c>
      <c r="M24" s="15">
        <f t="shared" si="8"/>
        <v>-1.4175374026244608E-2</v>
      </c>
      <c r="N24" s="5">
        <f t="shared" ref="N24" si="76">K24-R24</f>
        <v>1.7058535138890999E-2</v>
      </c>
      <c r="O24" s="66" t="str">
        <f t="shared" ref="O24" si="77">IF(R24&gt;0,IF(N24&lt;0,"ΑΜΥΝΤΙΚΗ","ΕΠΙΘΕΤΙΚΗ"),IF(N24&gt;0,"ΑΜΥΝΤΙΚΗ","ΕΠΙΘΕΤΙΚΗ"))</f>
        <v>ΑΜΥΝΤΙΚΗ</v>
      </c>
      <c r="P24" s="25">
        <v>814.06</v>
      </c>
      <c r="Q24" s="25">
        <f t="shared" ref="Q24:Q25" si="78">P23</f>
        <v>840.22</v>
      </c>
      <c r="R24" s="5">
        <f t="shared" ref="R24:R25" si="79">(P24-Q24)/Q24</f>
        <v>-3.1134702815929258E-2</v>
      </c>
    </row>
    <row r="25" spans="1:18" x14ac:dyDescent="0.2">
      <c r="A25" s="13">
        <v>42150</v>
      </c>
      <c r="B25" s="6">
        <f>C24</f>
        <v>106774.68613909656</v>
      </c>
      <c r="C25" s="6">
        <f>'Διαχείριση Σταθμίσεων'!E83</f>
        <v>108771.44283225904</v>
      </c>
      <c r="D25" s="5">
        <f t="shared" si="0"/>
        <v>1.8700656170145779E-2</v>
      </c>
      <c r="E25" s="5">
        <f t="shared" si="1"/>
        <v>1.8527948738684234E-2</v>
      </c>
      <c r="F25" s="15">
        <f t="shared" si="6"/>
        <v>1.860144982093943E-2</v>
      </c>
      <c r="G25" s="5">
        <f t="shared" ref="G25" si="80">D25-R25</f>
        <v>8.1977448368287398E-3</v>
      </c>
      <c r="H25" s="5">
        <f t="shared" si="7"/>
        <v>8.7714428322590396E-2</v>
      </c>
      <c r="I25" s="6">
        <f>'Διαχείριση Σταθμίσεων'!C83-'Διαχείριση Σταθμίσεων'!C82</f>
        <v>99505.356767676785</v>
      </c>
      <c r="J25" s="6">
        <f>'Διαχείριση Σταθμίσεων'!E83-'Διαχείριση Σταθμίσεων'!E82</f>
        <v>100532.90575757576</v>
      </c>
      <c r="K25" s="5">
        <f t="shared" ref="K25" si="81">(J25-I25)/I25</f>
        <v>1.0326569576531223E-2</v>
      </c>
      <c r="L25" s="5">
        <f t="shared" ref="L25" si="82">LN(J25/I25)</f>
        <v>1.0273614805666909E-2</v>
      </c>
      <c r="M25" s="15">
        <f t="shared" si="8"/>
        <v>1.0227363227324874E-2</v>
      </c>
      <c r="N25" s="5">
        <f t="shared" ref="N25" si="83">K25-R25</f>
        <v>-1.763417567858163E-4</v>
      </c>
      <c r="O25" s="67" t="str">
        <f t="shared" ref="O25" si="84">IF(R25&gt;0,IF(N25&lt;0,"ΑΜΥΝΤΙΚΗ","ΕΠΙΘΕΤΙΚΗ"),IF(N25&gt;0,"ΑΜΥΝΤΙΚΗ","ΕΠΙΘΕΤΙΚΗ"))</f>
        <v>ΑΜΥΝΤΙΚΗ</v>
      </c>
      <c r="P25" s="25">
        <v>822.61</v>
      </c>
      <c r="Q25" s="25">
        <f t="shared" si="78"/>
        <v>814.06</v>
      </c>
      <c r="R25" s="5">
        <f t="shared" si="79"/>
        <v>1.0502911333317039E-2</v>
      </c>
    </row>
    <row r="26" spans="1:18" x14ac:dyDescent="0.2">
      <c r="A26" s="13">
        <v>42151</v>
      </c>
      <c r="B26" s="6">
        <f>C25</f>
        <v>108771.44283225904</v>
      </c>
      <c r="C26" s="6">
        <f>'Διαχείριση Σταθμίσεων'!G83</f>
        <v>108961.78590203503</v>
      </c>
      <c r="D26" s="5">
        <f t="shared" si="0"/>
        <v>1.7499360569255885E-3</v>
      </c>
      <c r="E26" s="5">
        <f t="shared" si="1"/>
        <v>1.7484067027452716E-3</v>
      </c>
      <c r="F26" s="15">
        <f t="shared" si="6"/>
        <v>1.6507297077192392E-3</v>
      </c>
      <c r="G26" s="5">
        <f t="shared" ref="G26" si="85">D26-R26</f>
        <v>-3.3746836411194095E-2</v>
      </c>
      <c r="H26" s="5">
        <f t="shared" si="7"/>
        <v>8.9617859020350299E-2</v>
      </c>
      <c r="I26" s="6">
        <f>'Διαχείριση Σταθμίσεων'!E83-'Διαχείριση Σταθμίσεων'!E82</f>
        <v>100532.90575757576</v>
      </c>
      <c r="J26" s="6">
        <f>'Διαχείριση Σταθμίσεων'!G83-'Διαχείριση Σταθμίσεων'!G82</f>
        <v>100722.33343434345</v>
      </c>
      <c r="K26" s="5">
        <f t="shared" ref="K26" si="86">(J26-I26)/I26</f>
        <v>1.8842355678495683E-3</v>
      </c>
      <c r="L26" s="5">
        <f t="shared" ref="L26" si="87">LN(J26/I26)</f>
        <v>1.8824626227602111E-3</v>
      </c>
      <c r="M26" s="15">
        <f t="shared" si="8"/>
        <v>1.785029218643219E-3</v>
      </c>
      <c r="N26" s="5">
        <f t="shared" ref="N26" si="88">K26-R26</f>
        <v>-3.3612536900270114E-2</v>
      </c>
      <c r="O26" s="72" t="str">
        <f t="shared" ref="O26" si="89">IF(R26&gt;0,IF(N26&lt;0,"ΑΜΥΝΤΙΚΗ","ΕΠΙΘΕΤΙΚΗ"),IF(N26&gt;0,"ΑΜΥΝΤΙΚΗ","ΕΠΙΘΕΤΙΚΗ"))</f>
        <v>ΑΜΥΝΤΙΚΗ</v>
      </c>
      <c r="P26" s="25">
        <v>851.81</v>
      </c>
      <c r="Q26" s="25">
        <f t="shared" ref="Q26" si="90">P25</f>
        <v>822.61</v>
      </c>
      <c r="R26" s="5">
        <f t="shared" ref="R26" si="91">(P26-Q26)/Q26</f>
        <v>3.5496772468119685E-2</v>
      </c>
    </row>
    <row r="27" spans="1:18" x14ac:dyDescent="0.2">
      <c r="A27" s="13">
        <v>42152</v>
      </c>
      <c r="B27" s="6">
        <f>C26</f>
        <v>108961.78590203503</v>
      </c>
      <c r="C27" s="6">
        <f>'Διαχείριση Σταθμίσεων'!I83</f>
        <v>108236.92371998598</v>
      </c>
      <c r="D27" s="5">
        <f t="shared" si="0"/>
        <v>-6.6524440293293111E-3</v>
      </c>
      <c r="E27" s="5">
        <f t="shared" si="1"/>
        <v>-6.6746701620202676E-3</v>
      </c>
      <c r="F27" s="15">
        <f t="shared" si="6"/>
        <v>-6.7516503785356599E-3</v>
      </c>
      <c r="G27" s="5">
        <f t="shared" ref="G27" si="92">D27-R27</f>
        <v>1.0252734355521747E-2</v>
      </c>
      <c r="H27" s="5">
        <f t="shared" si="7"/>
        <v>8.2369237199859779E-2</v>
      </c>
      <c r="I27" s="6">
        <f>'Διαχείριση Σταθμίσεων'!G83-'Διαχείριση Σταθμίσεων'!G82</f>
        <v>100722.33343434345</v>
      </c>
      <c r="J27" s="6">
        <f>'Διαχείριση Σταθμίσεων'!I83-'Διαχείριση Σταθμίσεων'!I82</f>
        <v>99996.55575757577</v>
      </c>
      <c r="K27" s="5">
        <f t="shared" ref="K27" si="93">(J27-I27)/I27</f>
        <v>-7.2057273895544463E-3</v>
      </c>
      <c r="L27" s="5">
        <f t="shared" ref="L27" si="94">LN(J27/I27)</f>
        <v>-7.2318140342003167E-3</v>
      </c>
      <c r="M27" s="15">
        <f t="shared" si="8"/>
        <v>-7.3049337387607952E-3</v>
      </c>
      <c r="N27" s="5">
        <f t="shared" ref="N27" si="95">K27-R27</f>
        <v>9.6994509952966108E-3</v>
      </c>
      <c r="O27" s="76" t="str">
        <f t="shared" ref="O27" si="96">IF(R27&gt;0,IF(N27&lt;0,"ΑΜΥΝΤΙΚΗ","ΕΠΙΘΕΤΙΚΗ"),IF(N27&gt;0,"ΑΜΥΝΤΙΚΗ","ΕΠΙΘΕΤΙΚΗ"))</f>
        <v>ΑΜΥΝΤΙΚΗ</v>
      </c>
      <c r="P27" s="25">
        <v>837.41</v>
      </c>
      <c r="Q27" s="25">
        <f t="shared" ref="Q27" si="97">P26</f>
        <v>851.81</v>
      </c>
      <c r="R27" s="5">
        <f t="shared" ref="R27" si="98">(P27-Q27)/Q27</f>
        <v>-1.6905178384851057E-2</v>
      </c>
    </row>
    <row r="28" spans="1:18" x14ac:dyDescent="0.2">
      <c r="A28" s="13">
        <v>42153</v>
      </c>
      <c r="B28" s="6">
        <f>C27</f>
        <v>108236.92371998598</v>
      </c>
      <c r="C28" s="6">
        <f>'Διαχείριση Σταθμίσεων'!K83</f>
        <v>108424.86133662827</v>
      </c>
      <c r="D28" s="5">
        <f t="shared" si="0"/>
        <v>1.7363540110257709E-3</v>
      </c>
      <c r="E28" s="5">
        <f t="shared" si="1"/>
        <v>1.7348482911232106E-3</v>
      </c>
      <c r="F28" s="15">
        <f t="shared" si="6"/>
        <v>1.6371476618194216E-3</v>
      </c>
      <c r="G28" s="5">
        <f t="shared" ref="G28:G29" si="99">D28-R28</f>
        <v>1.6102076894678907E-2</v>
      </c>
      <c r="H28" s="5">
        <f t="shared" si="7"/>
        <v>8.4248613366282657E-2</v>
      </c>
      <c r="I28" s="6">
        <f>'Διαχείριση Σταθμίσεων'!I83-'Διαχείριση Σταθμίσεων'!I82</f>
        <v>99996.55575757577</v>
      </c>
      <c r="J28" s="6">
        <f>'Διαχείριση Σταθμίσεων'!K83-'Διαχείριση Σταθμίσεων'!K82</f>
        <v>100183.5777777778</v>
      </c>
      <c r="K28" s="5">
        <f t="shared" ref="K28" si="100">(J28-I28)/I28</f>
        <v>1.8702846191565889E-3</v>
      </c>
      <c r="L28" s="5">
        <f t="shared" ref="L28" si="101">LN(J28/I28)</f>
        <v>1.8685378145535773E-3</v>
      </c>
      <c r="M28" s="15">
        <f t="shared" si="8"/>
        <v>1.7710782699502396E-3</v>
      </c>
      <c r="N28" s="5">
        <f t="shared" ref="N28" si="102">K28-R28</f>
        <v>1.6236007502809725E-2</v>
      </c>
      <c r="O28" s="83" t="str">
        <f t="shared" ref="O28" si="103">IF(R28&gt;0,IF(N28&lt;0,"ΑΜΥΝΤΙΚΗ","ΕΠΙΘΕΤΙΚΗ"),IF(N28&gt;0,"ΑΜΥΝΤΙΚΗ","ΕΠΙΘΕΤΙΚΗ"))</f>
        <v>ΑΜΥΝΤΙΚΗ</v>
      </c>
      <c r="P28" s="25">
        <v>825.38</v>
      </c>
      <c r="Q28" s="25">
        <f t="shared" ref="Q28" si="104">P27</f>
        <v>837.41</v>
      </c>
      <c r="R28" s="5">
        <f t="shared" ref="R28" si="105">(P28-Q28)/Q28</f>
        <v>-1.4365722883653136E-2</v>
      </c>
    </row>
    <row r="29" spans="1:18" x14ac:dyDescent="0.2">
      <c r="A29" s="84" t="s">
        <v>132</v>
      </c>
      <c r="B29" s="138">
        <f>C28</f>
        <v>108424.86133662827</v>
      </c>
      <c r="C29" s="30"/>
      <c r="D29" s="35">
        <f>(B29-B5)/B5</f>
        <v>8.4248613366282657E-2</v>
      </c>
      <c r="E29" s="35">
        <f>LN(B29/B5)</f>
        <v>8.0887224845071173E-2</v>
      </c>
      <c r="F29" s="35">
        <f>D29-0.025/252</f>
        <v>8.4149407017076308E-2</v>
      </c>
      <c r="G29" s="35">
        <f t="shared" si="99"/>
        <v>-2.3158255277841058E-2</v>
      </c>
      <c r="H29" s="37"/>
      <c r="I29" s="30"/>
      <c r="J29" s="30"/>
      <c r="K29" s="30"/>
      <c r="L29" s="30"/>
      <c r="M29" s="30"/>
      <c r="N29" s="30"/>
      <c r="O29" s="30"/>
      <c r="P29" s="139">
        <f>Q28</f>
        <v>837.41</v>
      </c>
      <c r="Q29" s="30"/>
      <c r="R29" s="35">
        <f>(P29-Q5)/Q5</f>
        <v>0.10740686864412372</v>
      </c>
    </row>
    <row r="30" spans="1:18" x14ac:dyDescent="0.2">
      <c r="E30" s="130"/>
    </row>
  </sheetData>
  <mergeCells count="22">
    <mergeCell ref="S3:S4"/>
    <mergeCell ref="P1:S2"/>
    <mergeCell ref="N3:N4"/>
    <mergeCell ref="O3:O4"/>
    <mergeCell ref="I1:O2"/>
    <mergeCell ref="L3:L4"/>
    <mergeCell ref="I3:I4"/>
    <mergeCell ref="J3:J4"/>
    <mergeCell ref="K3:K4"/>
    <mergeCell ref="M3:M4"/>
    <mergeCell ref="H3:H4"/>
    <mergeCell ref="A1:H2"/>
    <mergeCell ref="P3:P4"/>
    <mergeCell ref="Q3:Q4"/>
    <mergeCell ref="R3:R4"/>
    <mergeCell ref="G3:G4"/>
    <mergeCell ref="B3:B4"/>
    <mergeCell ref="C3:C4"/>
    <mergeCell ref="D3:D4"/>
    <mergeCell ref="A3:A4"/>
    <mergeCell ref="E3:E4"/>
    <mergeCell ref="F3:F4"/>
  </mergeCells>
  <conditionalFormatting sqref="S5 R5:R28 D5:H28 K5:N28">
    <cfRule type="cellIs" dxfId="17" priority="1" operator="lessThan">
      <formula>0</formula>
    </cfRule>
    <cfRule type="cellIs" dxfId="16" priority="2" operator="greaterThan">
      <formula>0</formula>
    </cfRule>
  </conditionalFormatting>
  <pageMargins left="0.7" right="0.7" top="0.75" bottom="0.75" header="0.3" footer="0.3"/>
  <pageSetup paperSize="9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8"/>
  <sheetViews>
    <sheetView topLeftCell="F1" zoomScale="125" zoomScaleNormal="70" zoomScalePageLayoutView="70" workbookViewId="0">
      <selection activeCell="O25" sqref="O25"/>
    </sheetView>
  </sheetViews>
  <sheetFormatPr baseColWidth="10" defaultColWidth="8.83203125" defaultRowHeight="15" x14ac:dyDescent="0.2"/>
  <cols>
    <col min="1" max="8" width="14.6640625" style="43" customWidth="1"/>
    <col min="9" max="9" width="17" style="43" customWidth="1"/>
    <col min="10" max="10" width="16" style="43" customWidth="1"/>
    <col min="11" max="12" width="14.6640625" style="49" customWidth="1"/>
    <col min="13" max="13" width="14.6640625" style="43" customWidth="1"/>
    <col min="14" max="14" width="15.83203125" style="43" customWidth="1"/>
    <col min="15" max="16384" width="8.83203125" style="43"/>
  </cols>
  <sheetData>
    <row r="1" spans="1:14" ht="15" customHeight="1" x14ac:dyDescent="0.2">
      <c r="A1" s="212" t="s">
        <v>39</v>
      </c>
      <c r="B1" s="209" t="s">
        <v>70</v>
      </c>
      <c r="C1" s="210"/>
      <c r="D1" s="210"/>
      <c r="E1" s="210"/>
      <c r="F1" s="210"/>
      <c r="G1" s="210"/>
      <c r="H1" s="211"/>
      <c r="I1" s="183" t="s">
        <v>71</v>
      </c>
      <c r="J1" s="198" t="s">
        <v>76</v>
      </c>
      <c r="K1" s="214" t="s">
        <v>99</v>
      </c>
      <c r="L1" s="183" t="s">
        <v>100</v>
      </c>
      <c r="M1" s="183" t="s">
        <v>101</v>
      </c>
      <c r="N1" s="183" t="s">
        <v>102</v>
      </c>
    </row>
    <row r="2" spans="1:14" x14ac:dyDescent="0.2">
      <c r="A2" s="213"/>
      <c r="B2" s="3" t="s">
        <v>12</v>
      </c>
      <c r="C2" s="3" t="s">
        <v>14</v>
      </c>
      <c r="D2" s="3" t="s">
        <v>16</v>
      </c>
      <c r="E2" s="20" t="s">
        <v>15</v>
      </c>
      <c r="F2" s="20" t="s">
        <v>13</v>
      </c>
      <c r="G2" s="20" t="s">
        <v>11</v>
      </c>
      <c r="H2" s="20" t="s">
        <v>69</v>
      </c>
      <c r="I2" s="183"/>
      <c r="J2" s="198"/>
      <c r="K2" s="215"/>
      <c r="L2" s="183"/>
      <c r="M2" s="183"/>
      <c r="N2" s="183"/>
    </row>
    <row r="3" spans="1:14" x14ac:dyDescent="0.2">
      <c r="A3" s="13">
        <v>42101</v>
      </c>
      <c r="B3" s="5">
        <f>'Ανάλυση Μετοχών'!C7</f>
        <v>-3.7735849056602972E-3</v>
      </c>
      <c r="C3" s="5">
        <f>'Ανάλυση Μετοχών'!I7</f>
        <v>7.3512252042006884E-2</v>
      </c>
      <c r="D3" s="5">
        <f>'Ανάλυση Μετοχών'!O7</f>
        <v>2.4999999999999467E-3</v>
      </c>
      <c r="E3" s="5">
        <f>'Ανάλυση Μετοχών'!U7</f>
        <v>5.612722170252619E-3</v>
      </c>
      <c r="F3" s="5">
        <f>'Ανάλυση Μετοχών'!C50</f>
        <v>3.393939393939386E-2</v>
      </c>
      <c r="G3" s="5">
        <f>'Ανάλυση Μετοχών'!O50</f>
        <v>1.3333333333333286E-2</v>
      </c>
      <c r="H3" s="5">
        <f>'Διαχείριση Σταθμίσεων'!$B$3*'Τυπική Απόκλιση'!G3+'Τυπική Απόκλιση'!F3*'Διαχείριση Σταθμίσεων'!$B$5+'Διαχείριση Σταθμίσεων'!$B$6*'Τυπική Απόκλιση'!C3+'Τυπική Απόκλιση'!E3*'Διαχείριση Σταθμίσεων'!$B$7+'Διαχείριση Σταθμίσεων'!$B$8*'Τυπική Απόκλιση'!D3+'Τυπική Απόκλιση'!B3*'Διαχείριση Σταθμίσεων'!$B$4</f>
        <v>1.9535393443301182E-2</v>
      </c>
      <c r="I3" s="8"/>
      <c r="J3" s="32">
        <f>STDEV(H15:H38)</f>
        <v>1.023782872770518E-2</v>
      </c>
      <c r="K3" s="33">
        <v>8.0000000000000002E-3</v>
      </c>
      <c r="L3" s="8"/>
      <c r="M3" s="24">
        <f>STDEV(K15:K38)</f>
        <v>2.2362398152860421E-2</v>
      </c>
      <c r="N3" s="24">
        <f>J3-M3</f>
        <v>-1.2124569425155241E-2</v>
      </c>
    </row>
    <row r="4" spans="1:14" x14ac:dyDescent="0.2">
      <c r="A4" s="13">
        <v>42102</v>
      </c>
      <c r="B4" s="5">
        <f>'Ανάλυση Μετοχών'!C8</f>
        <v>0</v>
      </c>
      <c r="C4" s="5">
        <f>'Ανάλυση Μετοχών'!I8</f>
        <v>-9.2391304347825085E-3</v>
      </c>
      <c r="D4" s="5">
        <f>'Ανάλυση Μετοχών'!O8</f>
        <v>4.9875311720699407E-3</v>
      </c>
      <c r="E4" s="5">
        <f>'Ανάλυση Μετοχών'!U8</f>
        <v>2.0930232558139503E-2</v>
      </c>
      <c r="F4" s="5">
        <f>'Ανάλυση Μετοχών'!C51</f>
        <v>2.5791324736225165E-2</v>
      </c>
      <c r="G4" s="5">
        <f>'Ανάλυση Μετοχών'!O51</f>
        <v>-7.8947368421052114E-3</v>
      </c>
      <c r="H4" s="5">
        <f>'Διαχείριση Σταθμίσεων'!$B$3*'Τυπική Απόκλιση'!G4+'Τυπική Απόκλιση'!F4*'Διαχείριση Σταθμίσεων'!$B$5+'Διαχείριση Σταθμίσεων'!$B$6*'Τυπική Απόκλιση'!C4+'Τυπική Απόκλιση'!E4*'Διαχείριση Σταθμίσεων'!$B$7+'Διαχείριση Σταθμίσεων'!$B$8*'Τυπική Απόκλιση'!D4+'Τυπική Απόκλιση'!B4*'Διαχείριση Σταθμίσεων'!$B$4</f>
        <v>7.0001960719657109E-4</v>
      </c>
      <c r="I4" s="8"/>
      <c r="K4" s="33">
        <v>-1.23E-2</v>
      </c>
      <c r="L4" s="8"/>
      <c r="N4" s="183" t="s">
        <v>103</v>
      </c>
    </row>
    <row r="5" spans="1:14" x14ac:dyDescent="0.2">
      <c r="A5" s="13">
        <v>42103</v>
      </c>
      <c r="B5" s="5">
        <f>'Ανάλυση Μετοχών'!C9</f>
        <v>-1.8939393939395217E-3</v>
      </c>
      <c r="C5" s="5">
        <f>'Ανάλυση Μετοχών'!I9</f>
        <v>2.5233132199670917E-2</v>
      </c>
      <c r="D5" s="5">
        <f>'Ανάλυση Μετοχών'!O9</f>
        <v>2.4813895781637188E-3</v>
      </c>
      <c r="E5" s="5">
        <f>'Ανάλυση Μετοχών'!U9</f>
        <v>2.2779043280182557E-3</v>
      </c>
      <c r="F5" s="5">
        <f>'Ανάλυση Μετοχών'!C52</f>
        <v>5.7142857142857958E-3</v>
      </c>
      <c r="G5" s="5">
        <f>'Ανάλυση Μετοχών'!O52</f>
        <v>1.3262599469495739E-3</v>
      </c>
      <c r="H5" s="5">
        <f>'Διαχείριση Σταθμίσεων'!$B$3*'Τυπική Απόκλιση'!G5+'Τυπική Απόκλιση'!F5*'Διαχείριση Σταθμίσεων'!$B$5+'Διαχείριση Σταθμίσεων'!$B$6*'Τυπική Απόκλιση'!C5+'Τυπική Απόκλιση'!E5*'Διαχείριση Σταθμίσεων'!$B$7+'Διαχείριση Σταθμίσεων'!$B$8*'Τυπική Απόκλιση'!D5+'Τυπική Απόκλιση'!B5*'Διαχείριση Σταθμίσεων'!$B$4</f>
        <v>6.5497193051364914E-3</v>
      </c>
      <c r="I5" s="8"/>
      <c r="K5" s="33">
        <v>1.06E-2</v>
      </c>
      <c r="L5" s="8"/>
      <c r="N5" s="183"/>
    </row>
    <row r="6" spans="1:14" ht="15" customHeight="1" x14ac:dyDescent="0.2">
      <c r="A6" s="13">
        <v>42108</v>
      </c>
      <c r="B6" s="5">
        <f>'Ανάλυση Μετοχών'!C10</f>
        <v>-5.692599620493238E-3</v>
      </c>
      <c r="C6" s="5">
        <f>'Ανάλυση Μετοχών'!I10</f>
        <v>4.2803638309255373E-3</v>
      </c>
      <c r="D6" s="5">
        <f>'Ανάλυση Μετοχών'!O10</f>
        <v>-4.950495049505065E-3</v>
      </c>
      <c r="E6" s="5">
        <f>'Ανάλυση Μετοχών'!U10</f>
        <v>0</v>
      </c>
      <c r="F6" s="5">
        <f>'Ανάλυση Μετοχών'!C53</f>
        <v>1.3068181818181639E-2</v>
      </c>
      <c r="G6" s="5">
        <f>'Ανάλυση Μετοχών'!O53</f>
        <v>-4.6357615894039687E-2</v>
      </c>
      <c r="H6" s="5">
        <f>'Διαχείριση Σταθμίσεων'!$B$3*'Τυπική Απόκλιση'!G6+'Τυπική Απόκλιση'!F6*'Διαχείριση Σταθμίσεων'!$B$5+'Διαχείριση Σταθμίσεων'!$B$6*'Τυπική Απόκλιση'!C6+'Τυπική Απόκλιση'!E6*'Διαχείριση Σταθμίσεων'!$B$7+'Διαχείριση Σταθμίσεων'!$B$8*'Τυπική Απόκλιση'!D6+'Τυπική Απόκλιση'!B6*'Διαχείριση Σταθμίσεων'!$B$4</f>
        <v>-3.8386428917110966E-3</v>
      </c>
      <c r="I6" s="8"/>
      <c r="K6" s="33">
        <v>-2.24E-2</v>
      </c>
      <c r="L6" s="8"/>
      <c r="N6" s="183" t="str">
        <f>IF(N3&lt;0,"ΜΕΙΩΣΗ ΚΙΝΔΥΝΟΥ, ΆΡΑ ΛΕΙΤΟΥΡΓΗΣΕ ΤΟ ΑΜΥΝΤΙΚΟ ΧΑΡΤΟΦΥΛΑΚΙΟ","ΑΥΞΗΣΗ ΚΙΝΔΥΝΟΥ, ΆΡΑ ΤΟ ΧΑΡΤΟΦΥΛΑΚΙΟ ΕΓΙΝΕ ΕΠΙΘΕΤΙΚΟ")</f>
        <v>ΜΕΙΩΣΗ ΚΙΝΔΥΝΟΥ, ΆΡΑ ΛΕΙΤΟΥΡΓΗΣΕ ΤΟ ΑΜΥΝΤΙΚΟ ΧΑΡΤΟΦΥΛΑΚΙΟ</v>
      </c>
    </row>
    <row r="7" spans="1:14" x14ac:dyDescent="0.2">
      <c r="A7" s="13">
        <v>42109</v>
      </c>
      <c r="B7" s="5">
        <f>'Ανάλυση Μετοχών'!C11</f>
        <v>-3.0534351145038195E-2</v>
      </c>
      <c r="C7" s="5">
        <f>'Ανάλυση Μετοχών'!I11</f>
        <v>1.3851891315929758E-2</v>
      </c>
      <c r="D7" s="5">
        <f>'Ανάλυση Μετοχών'!O11</f>
        <v>-9.9502487562188047E-3</v>
      </c>
      <c r="E7" s="5">
        <f>'Ανάλυση Μετοχών'!U11</f>
        <v>-1.8181818181818118E-2</v>
      </c>
      <c r="F7" s="5">
        <f>'Ανάλυση Μετοχών'!C54</f>
        <v>-7.8519349411103213E-3</v>
      </c>
      <c r="G7" s="5">
        <f>'Ανάλυση Μετοχών'!O54</f>
        <v>-1.3888888888888963E-2</v>
      </c>
      <c r="H7" s="5">
        <f>'Διαχείριση Σταθμίσεων'!$B$3*'Τυπική Απόκλιση'!G7+'Τυπική Απόκλιση'!F7*'Διαχείριση Σταθμίσεων'!$B$5+'Διαχείριση Σταθμίσεων'!$B$6*'Τυπική Απόκλιση'!C7+'Τυπική Απόκλιση'!E7*'Διαχείριση Σταθμίσεων'!$B$7+'Διαχείριση Σταθμίσεων'!$B$8*'Τυπική Απόκλιση'!D7+'Τυπική Απόκλιση'!B7*'Διαχείριση Σταθμίσεων'!$B$4</f>
        <v>-5.970514977933712E-3</v>
      </c>
      <c r="I7" s="8"/>
      <c r="K7" s="33">
        <v>-1.9400000000000001E-2</v>
      </c>
      <c r="L7" s="8"/>
      <c r="N7" s="183"/>
    </row>
    <row r="8" spans="1:14" x14ac:dyDescent="0.2">
      <c r="A8" s="13">
        <v>42110</v>
      </c>
      <c r="B8" s="5">
        <f>'Ανάλυση Μετοχών'!C12</f>
        <v>-1.5748031496063006E-2</v>
      </c>
      <c r="C8" s="5">
        <f>'Ανάλυση Μετοχών'!I12</f>
        <v>6.8313189700472407E-3</v>
      </c>
      <c r="D8" s="5">
        <f>'Ανάλυση Μετοχών'!O12</f>
        <v>0</v>
      </c>
      <c r="E8" s="5">
        <f>'Ανάλυση Μετοχών'!U12</f>
        <v>3.7037037037036903E-2</v>
      </c>
      <c r="F8" s="5">
        <f>'Ανάλυση Μετοχών'!C55</f>
        <v>-1.0740531373657505E-2</v>
      </c>
      <c r="G8" s="5">
        <f>'Ανάλυση Μετοχών'!O55</f>
        <v>1.4084507042253596E-2</v>
      </c>
      <c r="H8" s="5">
        <f>'Διαχείριση Σταθμίσεων'!$B$3*'Τυπική Απόκλιση'!G8+'Τυπική Απόκλιση'!F8*'Διαχείριση Σταθμίσεων'!$B$5+'Διαχείριση Σταθμίσεων'!$B$6*'Τυπική Απόκλιση'!C8+'Τυπική Απόκλιση'!E8*'Διαχείριση Σταθμίσεων'!$B$7+'Διαχείριση Σταθμίσεων'!$B$8*'Τυπική Απόκλιση'!D8+'Τυπική Απόκλιση'!B8*'Διαχείριση Σταθμίσεων'!$B$4</f>
        <v>1.8885461839856887E-3</v>
      </c>
      <c r="I8" s="8"/>
      <c r="K8" s="33">
        <v>1.1299999999999999E-2</v>
      </c>
      <c r="L8" s="8"/>
      <c r="N8" s="183"/>
    </row>
    <row r="9" spans="1:14" x14ac:dyDescent="0.2">
      <c r="A9" s="13">
        <v>42111</v>
      </c>
      <c r="B9" s="5">
        <f>'Ανάλυση Μετοχών'!C13</f>
        <v>0</v>
      </c>
      <c r="C9" s="5">
        <f>'Ανάλυση Μετοχών'!I13</f>
        <v>-1.0438413361169066E-2</v>
      </c>
      <c r="D9" s="5">
        <f>'Ανάλυση Μετοχών'!O13</f>
        <v>5.0251256281407079E-3</v>
      </c>
      <c r="E9" s="5">
        <f>'Ανάλυση Μετοχών'!U13</f>
        <v>-1.7857142857142794E-2</v>
      </c>
      <c r="F9" s="5">
        <f>'Ανάλυση Μετοχών'!C56</f>
        <v>-1.6000000000000066E-2</v>
      </c>
      <c r="G9" s="5">
        <f>'Ανάλυση Μετοχών'!O56</f>
        <v>-4.1666666666666644E-2</v>
      </c>
      <c r="H9" s="5">
        <f>'Διαχείριση Σταθμίσεων'!$B$3*'Τυπική Απόκλιση'!G9+'Τυπική Απόκλιση'!F9*'Διαχείριση Σταθμίσεων'!$B$5+'Διαχείριση Σταθμίσεων'!$B$6*'Τυπική Απόκλιση'!C9+'Τυπική Απόκλιση'!E9*'Διαχείριση Σταθμίσεων'!$B$7+'Διαχείριση Σταθμίσεων'!$B$8*'Τυπική Απόκλιση'!D9+'Τυπική Απόκλιση'!B9*'Διαχείριση Σταθμίσεων'!$B$4</f>
        <v>-5.8283229309573394E-3</v>
      </c>
      <c r="I9" s="8"/>
      <c r="K9" s="33">
        <v>-0.03</v>
      </c>
      <c r="L9" s="8"/>
      <c r="N9" s="183"/>
    </row>
    <row r="10" spans="1:14" x14ac:dyDescent="0.2">
      <c r="A10" s="13">
        <v>42114</v>
      </c>
      <c r="B10" s="5">
        <f>'Ανάλυση Μετοχών'!C14</f>
        <v>8.0000000000000071E-3</v>
      </c>
      <c r="C10" s="5">
        <f>'Ανάλυση Μετοχών'!I14</f>
        <v>-2.426160337552747E-2</v>
      </c>
      <c r="D10" s="5">
        <f>'Ανάλυση Μετοχών'!O14</f>
        <v>0</v>
      </c>
      <c r="E10" s="5">
        <f>'Ανάλυση Μετοχών'!U14</f>
        <v>-3.1818181818181949E-3</v>
      </c>
      <c r="F10" s="5">
        <f>'Ανάλυση Μετοχών'!C57</f>
        <v>-5.807200929150994E-4</v>
      </c>
      <c r="G10" s="5">
        <f>'Ανάλυση Μετοχών'!O57</f>
        <v>1.0144927536231797E-2</v>
      </c>
      <c r="H10" s="5">
        <f>'Διαχείριση Σταθμίσεων'!$B$3*'Τυπική Απόκλιση'!G10+'Τυπική Απόκλιση'!F10*'Διαχείριση Σταθμίσεων'!$B$5+'Διαχείριση Σταθμίσεων'!$B$6*'Τυπική Απόκλιση'!C10+'Τυπική Απόκλιση'!E10*'Διαχείριση Σταθμίσεων'!$B$7+'Διαχείριση Σταθμίσεων'!$B$8*'Τυπική Απόκλιση'!D10+'Τυπική Απόκλιση'!B10*'Διαχείριση Σταθμίσεων'!$B$4</f>
        <v>-3.8608873051733275E-3</v>
      </c>
      <c r="I10" s="8"/>
      <c r="K10" s="33">
        <v>-1.1000000000000001E-3</v>
      </c>
      <c r="L10" s="8"/>
      <c r="N10" s="183"/>
    </row>
    <row r="11" spans="1:14" x14ac:dyDescent="0.2">
      <c r="A11" s="13">
        <v>42115</v>
      </c>
      <c r="B11" s="5">
        <f>'Ανάλυση Μετοχών'!C15</f>
        <v>-4.36507936507936E-2</v>
      </c>
      <c r="C11" s="5">
        <f>'Ανάλυση Μετοχών'!I15</f>
        <v>1.0810810810810773E-2</v>
      </c>
      <c r="D11" s="5">
        <f>'Ανάλυση Μετοχών'!O15</f>
        <v>0</v>
      </c>
      <c r="E11" s="5">
        <f>'Ανάλυση Μετοχών'!U15</f>
        <v>-2.0063839489284144E-2</v>
      </c>
      <c r="F11" s="5">
        <f>'Ανάλυση Μετοχών'!C58</f>
        <v>-1.5688553166763482E-2</v>
      </c>
      <c r="G11" s="5">
        <f>'Ανάλυση Μετοχών'!O58</f>
        <v>-6.5997130559540887E-2</v>
      </c>
      <c r="H11" s="5">
        <f>'Διαχείριση Σταθμίσεων'!$B$3*'Τυπική Απόκλιση'!G11+'Τυπική Απόκλιση'!F11*'Διαχείριση Σταθμίσεων'!$B$5+'Διαχείριση Σταθμίσεων'!$B$6*'Τυπική Απόκλιση'!C11+'Τυπική Απόκλιση'!E11*'Διαχείριση Σταθμίσεων'!$B$7+'Διαχείριση Σταθμίσεων'!$B$8*'Τυπική Απόκλιση'!D11+'Τυπική Απόκλιση'!B11*'Διαχείριση Σταθμίσεων'!$B$4</f>
        <v>-1.0385103259845071E-2</v>
      </c>
      <c r="I11" s="8"/>
      <c r="K11" s="33">
        <v>-3.3300000000000003E-2</v>
      </c>
      <c r="L11" s="8"/>
      <c r="N11" s="183"/>
    </row>
    <row r="12" spans="1:14" x14ac:dyDescent="0.2">
      <c r="A12" s="13">
        <v>42116</v>
      </c>
      <c r="B12" s="5">
        <f>'Ανάλυση Μετοχών'!C16</f>
        <v>-2.4896265560165994E-2</v>
      </c>
      <c r="C12" s="5">
        <f>'Ανάλυση Μετοχών'!I16</f>
        <v>7.4866310160428117E-3</v>
      </c>
      <c r="D12" s="5">
        <f>'Ανάλυση Μετοχών'!O16</f>
        <v>-5.0000000000000044E-3</v>
      </c>
      <c r="E12" s="5">
        <f>'Ανάλυση Μετοχών'!U16</f>
        <v>-2.2801302931596022E-2</v>
      </c>
      <c r="F12" s="5">
        <f>'Ανάλυση Μετοχών'!C59</f>
        <v>3.1877213695395458E-2</v>
      </c>
      <c r="G12" s="5">
        <f>'Ανάλυση Μετοχών'!O59</f>
        <v>5.9907834101382576E-2</v>
      </c>
      <c r="H12" s="5">
        <f>'Διαχείριση Σταθμίσεων'!$B$3*'Τυπική Απόκλιση'!G12+'Τυπική Απόκλιση'!F12*'Διαχείριση Σταθμίσεων'!$B$5+'Διαχείριση Σταθμίσεων'!$B$6*'Τυπική Απόκλιση'!C12+'Τυπική Απόκλιση'!E12*'Διαχείριση Σταθμίσεων'!$B$7+'Διαχείριση Σταθμίσεων'!$B$8*'Τυπική Απόκλιση'!D12+'Τυπική Απόκλιση'!B12*'Διαχείριση Σταθμίσεων'!$B$4</f>
        <v>1.2425196469008993E-3</v>
      </c>
      <c r="I12" s="8"/>
      <c r="K12" s="33">
        <v>2.0799999999999999E-2</v>
      </c>
      <c r="L12" s="8"/>
      <c r="N12" s="183"/>
    </row>
    <row r="13" spans="1:14" x14ac:dyDescent="0.2">
      <c r="A13" s="13">
        <v>42117</v>
      </c>
      <c r="B13" s="5">
        <f>'Ανάλυση Μετοχών'!C17</f>
        <v>2.1276595744680396E-3</v>
      </c>
      <c r="C13" s="5">
        <f>'Ανάλυση Μετοχών'!I17</f>
        <v>1.0615711252653702E-3</v>
      </c>
      <c r="D13" s="5">
        <f>'Ανάλυση Μετοχών'!O17</f>
        <v>0</v>
      </c>
      <c r="E13" s="5">
        <f>'Ανάλυση Μετοχών'!U17</f>
        <v>2.380952380952415E-3</v>
      </c>
      <c r="F13" s="5">
        <f>'Ανάλυση Μετοχών'!C60</f>
        <v>5.8352402745995395E-2</v>
      </c>
      <c r="G13" s="5">
        <f>'Ανάλυση Μετοχών'!O60</f>
        <v>-4.3478260869565574E-3</v>
      </c>
      <c r="H13" s="5">
        <f>'Διαχείριση Σταθμίσεων'!$B$3*'Τυπική Απόκλιση'!G13+'Τυπική Απόκλιση'!F13*'Διαχείριση Σταθμίσεων'!$B$5+'Διαχείριση Σταθμίσεων'!$B$6*'Τυπική Απόκλιση'!C13+'Τυπική Απόκλιση'!E13*'Διαχείριση Σταθμίσεων'!$B$7+'Διαχείριση Σταθμίσεων'!$B$8*'Τυπική Απόκλιση'!D13+'Τυπική Απόκλιση'!B13*'Διαχείριση Σταθμίσεων'!$B$4</f>
        <v>2.7349510438691529E-3</v>
      </c>
      <c r="I13" s="8"/>
      <c r="K13" s="33">
        <v>2.3900000000000001E-2</v>
      </c>
      <c r="L13" s="8"/>
      <c r="N13" s="44"/>
    </row>
    <row r="14" spans="1:14" x14ac:dyDescent="0.2">
      <c r="A14" s="13">
        <v>42118</v>
      </c>
      <c r="B14" s="5">
        <f>'Ανάλυση Μετοχών'!C18</f>
        <v>7.2186836518046679E-2</v>
      </c>
      <c r="C14" s="5">
        <f>'Ανάλυση Μετοχών'!I18</f>
        <v>1.1134676564156992E-2</v>
      </c>
      <c r="D14" s="5">
        <f>'Ανάλυση Μετοχών'!O18</f>
        <v>7.5376884422110064E-3</v>
      </c>
      <c r="E14" s="5">
        <f>'Ανάλυση Μετοχών'!U18</f>
        <v>6.935866983372925E-2</v>
      </c>
      <c r="F14" s="5">
        <f>'Ανάλυση Μετοχών'!C61</f>
        <v>-5.4054054054062501E-4</v>
      </c>
      <c r="G14" s="5">
        <f>'Ανάλυση Μετοχών'!O61</f>
        <v>1.8922852983988339E-2</v>
      </c>
      <c r="H14" s="5">
        <f>'Διαχείριση Σταθμίσεων'!$B$3*'Τυπική Απόκλιση'!G14+'Τυπική Απόκλιση'!F14*'Διαχείριση Σταθμίσεων'!$B$5+'Διαχείριση Σταθμίσεων'!$B$6*'Τυπική Απόκλιση'!C14+'Τυπική Απόκλιση'!E14*'Διαχείριση Σταθμίσεων'!$B$7+'Διαχείριση Σταθμίσεων'!$B$8*'Τυπική Απόκλιση'!D14+'Τυπική Απόκλιση'!B14*'Διαχείριση Σταθμίσεων'!$B$4</f>
        <v>2.0040776546933422E-2</v>
      </c>
      <c r="I14" s="15">
        <f>STDEV(H3:H14)</f>
        <v>9.5489164321446753E-3</v>
      </c>
      <c r="K14" s="33">
        <v>3.39E-2</v>
      </c>
      <c r="L14" s="15">
        <f>STDEV(K3:K14)</f>
        <v>2.233685634808872E-2</v>
      </c>
      <c r="N14" s="44"/>
    </row>
    <row r="15" spans="1:14" x14ac:dyDescent="0.2">
      <c r="A15" s="13">
        <v>42121</v>
      </c>
      <c r="B15" s="8"/>
      <c r="C15" s="8"/>
      <c r="D15" s="8"/>
      <c r="E15" s="8"/>
      <c r="F15" s="8"/>
      <c r="G15" s="8"/>
      <c r="H15" s="5">
        <f>'Διαχείριση Αποδόσεων'!D5</f>
        <v>1.899E-2</v>
      </c>
      <c r="I15" s="15">
        <f>STDEV(H4:H15)</f>
        <v>9.4582183315101622E-3</v>
      </c>
      <c r="K15" s="33">
        <v>4.3700000000000003E-2</v>
      </c>
      <c r="L15" s="15">
        <f>STDEV(K4:K15)</f>
        <v>2.5738667703506239E-2</v>
      </c>
    </row>
    <row r="16" spans="1:14" x14ac:dyDescent="0.2">
      <c r="A16" s="13">
        <v>42122</v>
      </c>
      <c r="B16" s="8"/>
      <c r="C16" s="8"/>
      <c r="D16" s="8"/>
      <c r="E16" s="8"/>
      <c r="F16" s="8"/>
      <c r="G16" s="8"/>
      <c r="H16" s="5">
        <f>'Διαχείριση Αποδόσεων'!D6</f>
        <v>4.0201523403894891E-3</v>
      </c>
      <c r="I16" s="15">
        <f t="shared" ref="I16:I25" si="0">STDEV(H5:H16)</f>
        <v>9.4699065870257546E-3</v>
      </c>
      <c r="K16" s="33">
        <f>'Διαχείριση Αποδόσεων'!R6</f>
        <v>1.4053142770872074E-2</v>
      </c>
      <c r="L16" s="15">
        <f>STDEV(K5:K16)</f>
        <v>2.5517759737766439E-2</v>
      </c>
    </row>
    <row r="17" spans="1:12" x14ac:dyDescent="0.2">
      <c r="A17" s="13">
        <v>42123</v>
      </c>
      <c r="B17" s="8"/>
      <c r="C17" s="8"/>
      <c r="D17" s="8"/>
      <c r="E17" s="8"/>
      <c r="F17" s="8"/>
      <c r="G17" s="8"/>
      <c r="H17" s="5">
        <f>'Διαχείριση Αποδόσεων'!D7</f>
        <v>-4.4742087469812524E-3</v>
      </c>
      <c r="I17" s="15">
        <f t="shared" si="0"/>
        <v>9.5368541507328611E-3</v>
      </c>
      <c r="K17" s="33">
        <f>'Διαχείριση Αποδόσεων'!R7</f>
        <v>-9.9502487562188827E-3</v>
      </c>
      <c r="L17" s="15">
        <f t="shared" ref="L17:L23" si="1">STDEV(K6:K17)</f>
        <v>2.5747825288175093E-2</v>
      </c>
    </row>
    <row r="18" spans="1:12" x14ac:dyDescent="0.2">
      <c r="A18" s="13">
        <v>42124</v>
      </c>
      <c r="B18" s="8"/>
      <c r="C18" s="8"/>
      <c r="D18" s="8"/>
      <c r="E18" s="8"/>
      <c r="F18" s="8"/>
      <c r="G18" s="8"/>
      <c r="H18" s="5">
        <f>'Διαχείριση Αποδόσεων'!D8</f>
        <v>-7.5113972791946999E-4</v>
      </c>
      <c r="I18" s="15">
        <f t="shared" si="0"/>
        <v>9.4292105949442089E-3</v>
      </c>
      <c r="K18" s="33">
        <f>'Διαχείριση Αποδόσεων'!R8</f>
        <v>3.1190867053471832E-2</v>
      </c>
      <c r="L18" s="15">
        <f t="shared" si="1"/>
        <v>2.5660114277131465E-2</v>
      </c>
    </row>
    <row r="19" spans="1:12" x14ac:dyDescent="0.2">
      <c r="A19" s="13">
        <v>42128</v>
      </c>
      <c r="B19" s="8"/>
      <c r="C19" s="8"/>
      <c r="D19" s="8"/>
      <c r="E19" s="8"/>
      <c r="F19" s="8"/>
      <c r="G19" s="8"/>
      <c r="H19" s="5">
        <f>'Διαχείριση Αποδόσεων'!D9</f>
        <v>3.5403459651840064E-3</v>
      </c>
      <c r="I19" s="15">
        <f t="shared" si="0"/>
        <v>9.142241802671645E-3</v>
      </c>
      <c r="K19" s="33">
        <f>'Διαχείριση Αποδόσεων'!R9</f>
        <v>3.8401711063581179E-3</v>
      </c>
      <c r="L19" s="15">
        <f>STDEV(K8:K19)</f>
        <v>2.4321025886750409E-2</v>
      </c>
    </row>
    <row r="20" spans="1:12" x14ac:dyDescent="0.2">
      <c r="A20" s="13">
        <v>42129</v>
      </c>
      <c r="B20" s="8"/>
      <c r="C20" s="8"/>
      <c r="D20" s="8"/>
      <c r="E20" s="8"/>
      <c r="F20" s="8"/>
      <c r="G20" s="8"/>
      <c r="H20" s="5">
        <f>'Διαχείριση Αποδόσεων'!D10</f>
        <v>-6.4414410014183481E-3</v>
      </c>
      <c r="I20" s="15">
        <f>STDEV(H9:H20)</f>
        <v>9.4831591712972469E-3</v>
      </c>
      <c r="K20" s="33">
        <f>'Διαχείριση Αποδόσεων'!R10</f>
        <v>-3.8509031039659032E-2</v>
      </c>
      <c r="L20" s="15">
        <f t="shared" si="1"/>
        <v>2.7886915321444033E-2</v>
      </c>
    </row>
    <row r="21" spans="1:12" x14ac:dyDescent="0.2">
      <c r="A21" s="13">
        <v>42130</v>
      </c>
      <c r="B21" s="8"/>
      <c r="C21" s="8"/>
      <c r="D21" s="8"/>
      <c r="E21" s="8"/>
      <c r="F21" s="8"/>
      <c r="G21" s="8"/>
      <c r="H21" s="5">
        <f>'Διαχείριση Αποδόσεων'!D11</f>
        <v>-4.5846393332444162E-3</v>
      </c>
      <c r="I21" s="15">
        <f t="shared" si="0"/>
        <v>9.4014092531419895E-3</v>
      </c>
      <c r="K21" s="33">
        <f>'Διαχείριση Αποδόσεων'!R11</f>
        <v>2.859373229417176E-2</v>
      </c>
      <c r="L21" s="15">
        <f t="shared" si="1"/>
        <v>2.6310122226241042E-2</v>
      </c>
    </row>
    <row r="22" spans="1:12" x14ac:dyDescent="0.2">
      <c r="A22" s="13">
        <v>42131</v>
      </c>
      <c r="B22" s="8"/>
      <c r="C22" s="8"/>
      <c r="D22" s="8"/>
      <c r="E22" s="8"/>
      <c r="F22" s="8"/>
      <c r="G22" s="8"/>
      <c r="H22" s="5">
        <f>'Διαχείριση Αποδόσεων'!D12</f>
        <v>2.6685608197026398E-2</v>
      </c>
      <c r="I22" s="15">
        <f>STDEV(H11:H22)</f>
        <v>1.1636637067884471E-2</v>
      </c>
      <c r="K22" s="33">
        <f>'Διαχείριση Αποδόσεων'!R12</f>
        <v>3.011237055352891E-2</v>
      </c>
      <c r="L22" s="15">
        <f>STDEV(K11:K22)</f>
        <v>2.6679154279326538E-2</v>
      </c>
    </row>
    <row r="23" spans="1:12" x14ac:dyDescent="0.2">
      <c r="A23" s="13">
        <v>42132</v>
      </c>
      <c r="B23" s="8"/>
      <c r="C23" s="8"/>
      <c r="D23" s="8"/>
      <c r="E23" s="8"/>
      <c r="F23" s="8"/>
      <c r="G23" s="8"/>
      <c r="H23" s="5">
        <f>'Διαχείριση Αποδόσεων'!D13</f>
        <v>7.1227541886217686E-3</v>
      </c>
      <c r="I23" s="15">
        <f t="shared" si="0"/>
        <v>1.0699033283416523E-2</v>
      </c>
      <c r="K23" s="33">
        <f>'Διαχείριση Αποδόσεων'!R13</f>
        <v>-3.0776909000165388E-3</v>
      </c>
      <c r="L23" s="15">
        <f t="shared" si="1"/>
        <v>2.317299684863278E-2</v>
      </c>
    </row>
    <row r="24" spans="1:12" x14ac:dyDescent="0.2">
      <c r="A24" s="13">
        <v>42135</v>
      </c>
      <c r="B24" s="8"/>
      <c r="C24" s="8"/>
      <c r="D24" s="8"/>
      <c r="E24" s="8"/>
      <c r="F24" s="8"/>
      <c r="G24" s="8"/>
      <c r="H24" s="5">
        <f>'Διαχείριση Αποδόσεων'!D14</f>
        <v>-7.8878971379586424E-3</v>
      </c>
      <c r="I24" s="15">
        <f>STDEV(H13:H24)</f>
        <v>1.1348046592731038E-2</v>
      </c>
      <c r="K24" s="33">
        <f>'Διαχείριση Αποδόσεων'!R14</f>
        <v>-2.5067048095834179E-2</v>
      </c>
      <c r="L24" s="15">
        <f>STDEV(K13:K24)</f>
        <v>2.5747408055555126E-2</v>
      </c>
    </row>
    <row r="25" spans="1:12" x14ac:dyDescent="0.2">
      <c r="A25" s="13">
        <v>42136</v>
      </c>
      <c r="B25" s="8"/>
      <c r="C25" s="8"/>
      <c r="D25" s="8"/>
      <c r="E25" s="8"/>
      <c r="F25" s="8"/>
      <c r="G25" s="8"/>
      <c r="H25" s="5">
        <f>'Διαχείριση Αποδόσεων'!D15</f>
        <v>3.2534702970964742E-3</v>
      </c>
      <c r="I25" s="15">
        <f t="shared" si="0"/>
        <v>1.133997001570323E-2</v>
      </c>
      <c r="K25" s="33">
        <f>'Διαχείριση Αποδόσεων'!R15</f>
        <v>1.3668818466353757E-2</v>
      </c>
      <c r="L25" s="15">
        <f>STDEV(K14:K25)</f>
        <v>2.5451163496694473E-2</v>
      </c>
    </row>
    <row r="26" spans="1:12" x14ac:dyDescent="0.2">
      <c r="A26" s="13">
        <v>42137</v>
      </c>
      <c r="B26" s="8"/>
      <c r="C26" s="8"/>
      <c r="D26" s="8"/>
      <c r="E26" s="8"/>
      <c r="F26" s="8"/>
      <c r="G26" s="8"/>
      <c r="H26" s="5">
        <f>'Διαχείριση Αποδόσεων'!D16</f>
        <v>6.9826601253583046E-4</v>
      </c>
      <c r="I26" s="15">
        <f>STDEV($H$15:H26)</f>
        <v>1.0331236404417838E-2</v>
      </c>
      <c r="K26" s="33">
        <f>'Διαχείριση Αποδόσεων'!R16</f>
        <v>-2.7740923893380557E-4</v>
      </c>
      <c r="L26" s="15">
        <f>STDEV($K$15:K26)</f>
        <v>2.4451134114143049E-2</v>
      </c>
    </row>
    <row r="27" spans="1:12" x14ac:dyDescent="0.2">
      <c r="A27" s="13">
        <v>42138</v>
      </c>
      <c r="B27" s="8"/>
      <c r="C27" s="8"/>
      <c r="D27" s="8"/>
      <c r="E27" s="8"/>
      <c r="F27" s="8"/>
      <c r="G27" s="8"/>
      <c r="H27" s="5">
        <f>'Διαχείριση Αποδόσεων'!D17</f>
        <v>-4.7768991081964538E-3</v>
      </c>
      <c r="I27" s="15">
        <f>STDEV($H$15:H27)</f>
        <v>1.014482206903853E-2</v>
      </c>
      <c r="K27" s="33">
        <f>'Διαχείριση Αποδόσεων'!R17</f>
        <v>5.4894012330039144E-3</v>
      </c>
      <c r="L27" s="15">
        <f>STDEV($K$15:K27)</f>
        <v>2.3415905136037474E-2</v>
      </c>
    </row>
    <row r="28" spans="1:12" x14ac:dyDescent="0.2">
      <c r="A28" s="13">
        <v>42139</v>
      </c>
      <c r="B28" s="8"/>
      <c r="C28" s="8"/>
      <c r="D28" s="8"/>
      <c r="E28" s="8"/>
      <c r="F28" s="8"/>
      <c r="G28" s="8"/>
      <c r="H28" s="5">
        <f>'Διαχείριση Αποδόσεων'!D18</f>
        <v>-1.1322319577292462E-3</v>
      </c>
      <c r="I28" s="15">
        <f>STDEV($H$15:H28)</f>
        <v>9.8011287140179638E-3</v>
      </c>
      <c r="K28" s="33">
        <f>'Διαχείριση Αποδόσεων'!R18</f>
        <v>-2.5725324566245041E-2</v>
      </c>
      <c r="L28" s="15">
        <f>STDEV($K$15:K28)</f>
        <v>2.4158267097527782E-2</v>
      </c>
    </row>
    <row r="29" spans="1:12" x14ac:dyDescent="0.2">
      <c r="A29" s="13">
        <v>42142</v>
      </c>
      <c r="B29" s="8"/>
      <c r="C29" s="8"/>
      <c r="D29" s="8"/>
      <c r="E29" s="8"/>
      <c r="F29" s="8"/>
      <c r="G29" s="8"/>
      <c r="H29" s="5">
        <f>'Διαχείριση Αποδόσεων'!D19</f>
        <v>1.2391755160230363E-2</v>
      </c>
      <c r="I29" s="15">
        <f>STDEV($H$15:H29)</f>
        <v>9.7874083405219119E-3</v>
      </c>
      <c r="K29" s="33">
        <f>'Διαχείριση Αποδόσεων'!R19</f>
        <v>1.6158033449099735E-2</v>
      </c>
      <c r="L29" s="15">
        <f>STDEV($K$15:K29)</f>
        <v>2.346154531101367E-2</v>
      </c>
    </row>
    <row r="30" spans="1:12" x14ac:dyDescent="0.2">
      <c r="A30" s="13">
        <v>42143</v>
      </c>
      <c r="B30" s="8"/>
      <c r="C30" s="8"/>
      <c r="D30" s="8"/>
      <c r="E30" s="8"/>
      <c r="F30" s="8"/>
      <c r="G30" s="8"/>
      <c r="H30" s="5">
        <f>'Διαχείριση Αποδόσεων'!D20</f>
        <v>2.3387656021828615E-2</v>
      </c>
      <c r="I30" s="15">
        <f>STDEV($H$15:H30)</f>
        <v>1.0728720242799245E-2</v>
      </c>
      <c r="K30" s="33">
        <f>'Διαχείριση Αποδόσεων'!R20</f>
        <v>2.5851411950066568E-2</v>
      </c>
      <c r="L30" s="15">
        <f>STDEV($K$15:K30)</f>
        <v>2.322383710743495E-2</v>
      </c>
    </row>
    <row r="31" spans="1:12" x14ac:dyDescent="0.2">
      <c r="A31" s="13">
        <v>42144</v>
      </c>
      <c r="B31" s="8"/>
      <c r="C31" s="8"/>
      <c r="D31" s="8"/>
      <c r="E31" s="8"/>
      <c r="F31" s="8"/>
      <c r="G31" s="8"/>
      <c r="H31" s="5">
        <f>'Διαχείριση Αποδόσεων'!D21</f>
        <v>2.2199795913701199E-3</v>
      </c>
      <c r="I31" s="15">
        <f>STDEV($H$15:H31)</f>
        <v>1.0401210991576655E-2</v>
      </c>
      <c r="K31" s="33">
        <f>'Διαχείριση Αποδόσεων'!R21</f>
        <v>-7.1240386092175055E-3</v>
      </c>
      <c r="L31" s="15">
        <f>STDEV($K$15:K31)</f>
        <v>2.274138398747285E-2</v>
      </c>
    </row>
    <row r="32" spans="1:12" x14ac:dyDescent="0.2">
      <c r="A32" s="13">
        <v>42145</v>
      </c>
      <c r="B32" s="8"/>
      <c r="C32" s="8"/>
      <c r="D32" s="8"/>
      <c r="E32" s="8"/>
      <c r="F32" s="8"/>
      <c r="G32" s="8"/>
      <c r="H32" s="5">
        <f>'Διαχείριση Αποδόσεων'!D22</f>
        <v>8.9620993110156224E-3</v>
      </c>
      <c r="I32" s="15">
        <f>STDEV($H$15:H32)</f>
        <v>1.0151578653839992E-2</v>
      </c>
      <c r="K32" s="33">
        <f>'Διαχείριση Αποδόσεων'!R22</f>
        <v>6.3422179914326996E-3</v>
      </c>
      <c r="L32" s="15">
        <f>STDEV($K$15:K32)</f>
        <v>2.2062487316830207E-2</v>
      </c>
    </row>
    <row r="33" spans="1:12" x14ac:dyDescent="0.2">
      <c r="A33" s="13">
        <v>42146</v>
      </c>
      <c r="B33" s="8"/>
      <c r="C33" s="8"/>
      <c r="D33" s="8"/>
      <c r="E33" s="8"/>
      <c r="F33" s="8"/>
      <c r="G33" s="8"/>
      <c r="H33" s="5">
        <f>'Διαχείριση Αποδόσεων'!D23</f>
        <v>-1.431022866821589E-3</v>
      </c>
      <c r="I33" s="15">
        <f>STDEV($H$15:H33)</f>
        <v>9.959341532941814E-3</v>
      </c>
      <c r="K33" s="33">
        <f>'Διαχείριση Αποδόσεων'!R23</f>
        <v>-6.5150816454423877E-3</v>
      </c>
      <c r="L33" s="15">
        <f>STDEV($K$15:K33)</f>
        <v>2.1634421619001823E-2</v>
      </c>
    </row>
    <row r="34" spans="1:12" x14ac:dyDescent="0.2">
      <c r="A34" s="13">
        <v>42149</v>
      </c>
      <c r="B34" s="8"/>
      <c r="C34" s="8"/>
      <c r="D34" s="8"/>
      <c r="E34" s="8"/>
      <c r="F34" s="8"/>
      <c r="G34" s="8"/>
      <c r="H34" s="5">
        <f>'Διαχείριση Αποδόσεων'!D24</f>
        <v>-1.3108333784688555E-2</v>
      </c>
      <c r="I34" s="15">
        <f>STDEV($H$15:H34)</f>
        <v>1.0437733696811792E-2</v>
      </c>
      <c r="K34" s="33">
        <f>'Διαχείριση Αποδόσεων'!R24</f>
        <v>-3.1134702815929258E-2</v>
      </c>
      <c r="L34" s="15">
        <f>STDEV($K$15:K34)</f>
        <v>2.258723047933698E-2</v>
      </c>
    </row>
    <row r="35" spans="1:12" x14ac:dyDescent="0.2">
      <c r="A35" s="13">
        <v>42150</v>
      </c>
      <c r="B35" s="8"/>
      <c r="C35" s="8"/>
      <c r="D35" s="8"/>
      <c r="E35" s="8"/>
      <c r="F35" s="8"/>
      <c r="G35" s="8"/>
      <c r="H35" s="5">
        <f>'Διαχείριση Αποδόσεων'!D25</f>
        <v>1.8700656170145779E-2</v>
      </c>
      <c r="I35" s="15">
        <f>STDEV($H$15:H35)</f>
        <v>1.0711822430322489E-2</v>
      </c>
      <c r="K35" s="33">
        <f>'Διαχείριση Αποδόσεων'!R25</f>
        <v>1.0502911333317039E-2</v>
      </c>
      <c r="L35" s="15">
        <f>STDEV($K$15:K35)</f>
        <v>2.206706617927582E-2</v>
      </c>
    </row>
    <row r="36" spans="1:12" x14ac:dyDescent="0.2">
      <c r="A36" s="13">
        <v>42151</v>
      </c>
      <c r="B36" s="8"/>
      <c r="C36" s="8"/>
      <c r="D36" s="8"/>
      <c r="E36" s="8"/>
      <c r="F36" s="8"/>
      <c r="G36" s="8"/>
      <c r="H36" s="5">
        <f>'Διαχείριση Αποδόσεων'!D26</f>
        <v>1.7499360569255885E-3</v>
      </c>
      <c r="I36" s="15">
        <f>STDEV($H$15:H36)</f>
        <v>1.0465323459362024E-2</v>
      </c>
      <c r="K36" s="33">
        <f>'Διαχείριση Αποδόσεων'!R26</f>
        <v>3.5496772468119685E-2</v>
      </c>
      <c r="L36" s="15">
        <f>STDEV($K$15:K36)</f>
        <v>2.2563608911564524E-2</v>
      </c>
    </row>
    <row r="37" spans="1:12" x14ac:dyDescent="0.2">
      <c r="A37" s="13">
        <v>42152</v>
      </c>
      <c r="B37" s="8"/>
      <c r="C37" s="8"/>
      <c r="D37" s="8"/>
      <c r="E37" s="8"/>
      <c r="F37" s="8"/>
      <c r="G37" s="8"/>
      <c r="H37" s="5">
        <f>'Διαχείριση Αποδόσεων'!D27</f>
        <v>-6.6524440293293111E-3</v>
      </c>
      <c r="I37" s="15">
        <f>STDEV($H$15:H37)</f>
        <v>1.0461452815118556E-2</v>
      </c>
      <c r="K37" s="33">
        <f>'Διαχείριση Αποδόσεων'!R27</f>
        <v>-1.6905178384851057E-2</v>
      </c>
      <c r="L37" s="15">
        <f>STDEV($K$15:K37)</f>
        <v>2.2527808743060946E-2</v>
      </c>
    </row>
    <row r="38" spans="1:12" x14ac:dyDescent="0.2">
      <c r="A38" s="13">
        <v>42153</v>
      </c>
      <c r="B38" s="8"/>
      <c r="C38" s="8"/>
      <c r="D38" s="8"/>
      <c r="E38" s="8"/>
      <c r="F38" s="8"/>
      <c r="G38" s="8"/>
      <c r="H38" s="5">
        <f>'Διαχείριση Αποδόσεων'!D28</f>
        <v>1.7363540110257709E-3</v>
      </c>
      <c r="I38" s="15">
        <f>STDEV($H$15:H38)</f>
        <v>1.023782872770518E-2</v>
      </c>
      <c r="K38" s="33">
        <f>'Διαχείριση Αποδόσεων'!R28</f>
        <v>-1.4365722883653136E-2</v>
      </c>
      <c r="L38" s="15">
        <f>STDEV($K$15:K38)</f>
        <v>2.2362398152860421E-2</v>
      </c>
    </row>
  </sheetData>
  <mergeCells count="10">
    <mergeCell ref="B1:H1"/>
    <mergeCell ref="A1:A2"/>
    <mergeCell ref="N1:N2"/>
    <mergeCell ref="N4:N5"/>
    <mergeCell ref="N6:N12"/>
    <mergeCell ref="I1:I2"/>
    <mergeCell ref="J1:J2"/>
    <mergeCell ref="L1:L2"/>
    <mergeCell ref="M1:M2"/>
    <mergeCell ref="K1:K2"/>
  </mergeCells>
  <conditionalFormatting sqref="H3:H38 K3:K38">
    <cfRule type="cellIs" dxfId="15" priority="4" operator="lessThan">
      <formula>0</formula>
    </cfRule>
    <cfRule type="cellIs" dxfId="14" priority="5" operator="greaterThan">
      <formula>0</formula>
    </cfRule>
  </conditionalFormatting>
  <conditionalFormatting sqref="N3">
    <cfRule type="cellIs" dxfId="13" priority="2" operator="lessThan">
      <formula>0</formula>
    </cfRule>
    <cfRule type="cellIs" dxfId="12" priority="3" operator="greaterThan">
      <formula>0</formula>
    </cfRule>
  </conditionalFormatting>
  <conditionalFormatting sqref="I14:I38 L14:L3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{4A6B70EA-67A5-497E-9F02-65D19A3B48E2}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A6B70EA-67A5-497E-9F02-65D19A3B48E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I14:I38 L14:L38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7"/>
  <sheetViews>
    <sheetView zoomScale="90" zoomScaleNormal="90" zoomScalePageLayoutView="90" workbookViewId="0">
      <selection activeCell="E10" sqref="E10"/>
    </sheetView>
  </sheetViews>
  <sheetFormatPr baseColWidth="10" defaultColWidth="8.83203125" defaultRowHeight="15" x14ac:dyDescent="0.2"/>
  <cols>
    <col min="1" max="6" width="14.6640625" style="49" customWidth="1"/>
    <col min="7" max="7" width="17.6640625" style="49" customWidth="1"/>
    <col min="8" max="14" width="14.6640625" style="49" customWidth="1"/>
    <col min="15" max="16384" width="8.83203125" style="49"/>
  </cols>
  <sheetData>
    <row r="1" spans="1:15" x14ac:dyDescent="0.2">
      <c r="A1" s="183" t="s">
        <v>136</v>
      </c>
      <c r="B1" s="183"/>
      <c r="C1" s="183"/>
      <c r="D1" s="183" t="s">
        <v>135</v>
      </c>
      <c r="E1" s="183"/>
      <c r="F1" s="209"/>
      <c r="G1" s="216" t="s">
        <v>137</v>
      </c>
      <c r="H1" s="216" t="s">
        <v>120</v>
      </c>
      <c r="I1" s="216"/>
      <c r="J1" s="216"/>
      <c r="K1" s="216"/>
      <c r="L1" s="216"/>
      <c r="M1" s="216"/>
      <c r="N1" s="216"/>
    </row>
    <row r="2" spans="1:15" x14ac:dyDescent="0.2">
      <c r="A2" s="183"/>
      <c r="B2" s="183"/>
      <c r="C2" s="183"/>
      <c r="D2" s="183"/>
      <c r="E2" s="183"/>
      <c r="F2" s="209"/>
      <c r="G2" s="216"/>
      <c r="H2" s="216"/>
      <c r="I2" s="216"/>
      <c r="J2" s="216"/>
      <c r="K2" s="216"/>
      <c r="L2" s="216"/>
      <c r="M2" s="216"/>
      <c r="N2" s="216"/>
    </row>
    <row r="3" spans="1:15" ht="16" x14ac:dyDescent="0.2">
      <c r="A3" s="3" t="s">
        <v>39</v>
      </c>
      <c r="B3" s="3" t="s">
        <v>40</v>
      </c>
      <c r="C3" s="183" t="s">
        <v>68</v>
      </c>
      <c r="D3" s="3" t="s">
        <v>39</v>
      </c>
      <c r="E3" s="3" t="s">
        <v>40</v>
      </c>
      <c r="F3" s="209" t="s">
        <v>68</v>
      </c>
      <c r="G3" s="183" t="s">
        <v>121</v>
      </c>
      <c r="H3" s="78" t="s">
        <v>39</v>
      </c>
      <c r="I3" s="75" t="s">
        <v>118</v>
      </c>
      <c r="J3" s="75" t="s">
        <v>119</v>
      </c>
      <c r="K3" s="79" t="s">
        <v>39</v>
      </c>
      <c r="L3" s="75" t="s">
        <v>99</v>
      </c>
      <c r="M3" s="80" t="s">
        <v>119</v>
      </c>
      <c r="N3" s="74" t="s">
        <v>121</v>
      </c>
      <c r="O3" s="81"/>
    </row>
    <row r="4" spans="1:15" x14ac:dyDescent="0.2">
      <c r="A4" s="21">
        <v>42121</v>
      </c>
      <c r="B4" s="162">
        <f>'Διαχείριση Αποδόσεων'!F5/'Τυπική Απόκλιση'!I15</f>
        <v>1.997288811557538</v>
      </c>
      <c r="C4" s="211"/>
      <c r="D4" s="21">
        <v>42121</v>
      </c>
      <c r="E4" s="162">
        <f>('Διαχείριση Αποδόσεων'!R5-0.025/360)/'Τυπική Απόκλιση'!L15</f>
        <v>1.983088219125654</v>
      </c>
      <c r="F4" s="209"/>
      <c r="G4" s="183"/>
      <c r="H4" s="13">
        <v>42121</v>
      </c>
      <c r="I4" s="5">
        <f>'Διαχείριση Αποδόσεων'!D5/'Τυπική Απόκλιση'!I15</f>
        <v>2.0077777160984538</v>
      </c>
      <c r="J4" s="5">
        <f>'Διαχείριση Σταθμίσεων'!H2/'Τυπική Απόκλιση'!J3</f>
        <v>8.2291485438013456</v>
      </c>
      <c r="K4" s="21">
        <v>42121</v>
      </c>
      <c r="L4" s="5">
        <f>'Διαχείριση Αποδόσεων'!R5/'Τυπική Απόκλιση'!L15</f>
        <v>1.9857862781411555</v>
      </c>
      <c r="M4" s="82">
        <f>'Διαχείριση Αποδόσεων'!S5/'Τυπική Απόκλιση'!M3</f>
        <v>4.0916080567157076</v>
      </c>
      <c r="N4" s="5">
        <f>J4-M4</f>
        <v>4.137540487085638</v>
      </c>
      <c r="O4" s="43"/>
    </row>
    <row r="5" spans="1:15" x14ac:dyDescent="0.2">
      <c r="A5" s="21">
        <v>42122</v>
      </c>
      <c r="B5" s="162">
        <f>'Διαχείριση Αποδόσεων'!F6/'Τυπική Απόκλιση'!I16</f>
        <v>0.41404273158882393</v>
      </c>
      <c r="C5" s="162">
        <f>'Διαχείριση Σταθμίσεων'!I6/'Τυπική Απόκλιση'!J3</f>
        <v>7.9965843503304042</v>
      </c>
      <c r="D5" s="21">
        <v>42122</v>
      </c>
      <c r="E5" s="162">
        <f>('Διαχείριση Αποδόσεων'!R6-0.025/360)/'Τυπική Απόκλιση'!L16</f>
        <v>0.54799866720790813</v>
      </c>
      <c r="F5" s="164">
        <f>('Διαχείριση Αποδόσεων'!S5-0.025*24/252)/'Τυπική Απόκλιση'!M3</f>
        <v>3.9851368113386627</v>
      </c>
      <c r="G5" s="165">
        <f>C5-F5</f>
        <v>4.0114475389917414</v>
      </c>
      <c r="H5" s="13">
        <v>42122</v>
      </c>
      <c r="I5" s="5">
        <f>'Διαχείριση Αποδόσεων'!D6/'Τυπική Απόκλιση'!I16</f>
        <v>0.42451869017349114</v>
      </c>
      <c r="J5" s="46"/>
      <c r="K5" s="77">
        <v>42122</v>
      </c>
      <c r="L5" s="5">
        <f>'Διαχείριση Αποδόσεων'!R6/'Τυπική Απόκλιση'!L16</f>
        <v>0.55072008339640166</v>
      </c>
      <c r="M5" s="46"/>
      <c r="N5" s="183" t="str">
        <f>IF(N4&gt;0,"ΆΡΑ ΕΙΧΑΜΕ ΜΕΓΑΛΥΤΕΡΗ ΑΠΟΔΟΣΗ ΑΝΑ ΜΟΝΑΔΑ ΚΙΝΔΥΝΟΥ","ΔΕΝ ΕΙΧΑΜΕ ΜΕΓΑΛΥΤΕΡΗ ΑΠΟΔΟΣΗ ΑΝΑ ΜΟΝΑΔΑ ΚΙΝΔΥΝΟΥ")</f>
        <v>ΆΡΑ ΕΙΧΑΜΕ ΜΕΓΑΛΥΤΕΡΗ ΑΠΟΔΟΣΗ ΑΝΑ ΜΟΝΑΔΑ ΚΙΝΔΥΝΟΥ</v>
      </c>
    </row>
    <row r="6" spans="1:15" x14ac:dyDescent="0.2">
      <c r="A6" s="21">
        <v>42123</v>
      </c>
      <c r="B6" s="162">
        <f>'Διαχείριση Αποδόσεων'!F7/'Τυπική Απόκλιση'!I17</f>
        <v>-0.47955174986461929</v>
      </c>
      <c r="C6" s="163"/>
      <c r="D6" s="21">
        <v>42123</v>
      </c>
      <c r="E6" s="162">
        <f>('Διαχείριση Αποδόσεων'!R7-0.025/360)/'Τυπική Απόκλιση'!L17</f>
        <v>-0.38914716441178265</v>
      </c>
      <c r="F6" s="50"/>
      <c r="G6" s="183" t="str">
        <f>IF(G5&gt;0,"ΤΟ ΧΑΡΤΟΦΥΛΑΚΙΟ ΕΊΝΑΙ ΠΙΟ ΑΠΟΤΕΛΕΣΜΑΤΙΚΟ ΑΠΌ ΤΟ Γ.Δ.","Ο Γ.Δ. ΕΊΝΑΙ ΠΙΟ ΑΠΟΤΕΛΕΣΜΑΤΙΚΟΣ ΑΠΌ ΤΟ ΧΑΡΤΟΦΥΛΑΚΙΟ")</f>
        <v>ΤΟ ΧΑΡΤΟΦΥΛΑΚΙΟ ΕΊΝΑΙ ΠΙΟ ΑΠΟΤΕΛΕΣΜΑΤΙΚΟ ΑΠΌ ΤΟ Γ.Δ.</v>
      </c>
      <c r="H6" s="13">
        <v>42123</v>
      </c>
      <c r="I6" s="5">
        <f>'Διαχείριση Αποδόσεων'!D7/'Τυπική Απόκλιση'!I17</f>
        <v>-0.46914933124330427</v>
      </c>
      <c r="J6" s="46"/>
      <c r="K6" s="21">
        <v>42123</v>
      </c>
      <c r="L6" s="5">
        <f>'Διαχείριση Αποδόσεων'!R7/'Τυπική Απόκλιση'!L17</f>
        <v>-0.38645006499980483</v>
      </c>
      <c r="M6" s="46"/>
      <c r="N6" s="183"/>
    </row>
    <row r="7" spans="1:15" x14ac:dyDescent="0.2">
      <c r="A7" s="21">
        <v>42124</v>
      </c>
      <c r="B7" s="162">
        <f>'Διαχείριση Αποδόσεων'!F8/'Τυπική Απόκλιση'!I18</f>
        <v>-9.0182106822575478E-2</v>
      </c>
      <c r="C7" s="163"/>
      <c r="D7" s="21">
        <v>42124</v>
      </c>
      <c r="E7" s="162">
        <f>('Διαχείριση Αποδόσεων'!R8-0.025/360)/'Τυπική Απόκλιση'!L18</f>
        <v>1.2128325802805597</v>
      </c>
      <c r="F7" s="50"/>
      <c r="G7" s="183"/>
      <c r="H7" s="13">
        <v>42124</v>
      </c>
      <c r="I7" s="5">
        <f>'Διαχείριση Αποδόσεων'!D8/'Τυπική Απόκλιση'!I18</f>
        <v>-7.9660934534882377E-2</v>
      </c>
      <c r="J7" s="46"/>
      <c r="K7" s="21">
        <v>42124</v>
      </c>
      <c r="L7" s="5">
        <f>'Διαχείριση Αποδόσεων'!R8/'Τυπική Απόκλιση'!L18</f>
        <v>1.2155388988765894</v>
      </c>
      <c r="M7" s="46"/>
      <c r="N7" s="183"/>
    </row>
    <row r="8" spans="1:15" x14ac:dyDescent="0.2">
      <c r="A8" s="21">
        <v>42128</v>
      </c>
      <c r="B8" s="162">
        <f>'Διαχείριση Αποδόσεων'!F9/'Τυπική Απόκλιση'!I19</f>
        <v>0.37639997828235627</v>
      </c>
      <c r="C8" s="163"/>
      <c r="D8" s="21">
        <v>42128</v>
      </c>
      <c r="E8" s="162">
        <f>('Διαχείριση Αποδόσεων'!R9-0.025/360)/'Τυπική Απόκλιση'!L19</f>
        <v>0.1550397865399209</v>
      </c>
      <c r="F8" s="50"/>
      <c r="G8" s="183"/>
      <c r="H8" s="13">
        <v>42128</v>
      </c>
      <c r="I8" s="5">
        <f>'Διαχείριση Αποδόσεων'!D9/'Τυπική Απόκλιση'!I19</f>
        <v>0.38725140305842798</v>
      </c>
      <c r="J8" s="46"/>
      <c r="K8" s="21">
        <v>42128</v>
      </c>
      <c r="L8" s="5">
        <f>'Διαχείριση Αποδόσεων'!R9/'Τυπική Απόκλιση'!L19</f>
        <v>0.15789511200060699</v>
      </c>
      <c r="M8" s="46"/>
      <c r="N8" s="183"/>
    </row>
    <row r="9" spans="1:15" x14ac:dyDescent="0.2">
      <c r="A9" s="21">
        <v>42129</v>
      </c>
      <c r="B9" s="162">
        <f>'Διαχείριση Αποδόσεων'!F10/'Τυπική Απόκλιση'!I20</f>
        <v>-0.68971185999084839</v>
      </c>
      <c r="D9" s="21">
        <v>42129</v>
      </c>
      <c r="E9" s="162">
        <f>('Διαχείριση Αποδόσεων'!R10-0.025/360)/'Τυπική Απόκλιση'!L20</f>
        <v>-1.3833898457187201</v>
      </c>
      <c r="F9" s="50"/>
      <c r="G9" s="183"/>
      <c r="H9" s="13">
        <v>42129</v>
      </c>
      <c r="I9" s="5">
        <f>'Διαχείριση Αποδόσεων'!D10/'Τυπική Απόκλιση'!I20</f>
        <v>-0.67925054141395291</v>
      </c>
      <c r="J9" s="46"/>
      <c r="K9" s="21">
        <v>42129</v>
      </c>
      <c r="L9" s="5">
        <f>'Διαχείριση Αποδόσεων'!R10/'Τυπική Απόκλιση'!L20</f>
        <v>-1.3808996296570304</v>
      </c>
      <c r="M9" s="46"/>
      <c r="N9" s="183"/>
    </row>
    <row r="10" spans="1:15" x14ac:dyDescent="0.2">
      <c r="A10" s="21">
        <v>42130</v>
      </c>
      <c r="B10" s="162">
        <f>'Διαχείριση Αποδόσεων'!F11/'Τυπική Απόκλιση'!I21</f>
        <v>-0.49820676414925824</v>
      </c>
      <c r="D10" s="21">
        <v>42130</v>
      </c>
      <c r="E10" s="162">
        <f>('Διαχείριση Αποδόσεων'!R11-0.025/360)/'Τυπική Απόκλιση'!L21</f>
        <v>1.0841564172316129</v>
      </c>
      <c r="F10" s="50"/>
      <c r="G10" s="183"/>
      <c r="H10" s="13">
        <v>42130</v>
      </c>
      <c r="I10" s="5">
        <f>'Διαχείριση Αποδόσεων'!D11/'Τυπική Απόκλιση'!I21</f>
        <v>-0.48765447921674199</v>
      </c>
      <c r="J10" s="46"/>
      <c r="K10" s="21">
        <v>42130</v>
      </c>
      <c r="L10" s="5">
        <f>'Διαχείριση Αποδόσεων'!R11/'Τυπική Απόκλιση'!L21</f>
        <v>1.0867958745418942</v>
      </c>
      <c r="M10" s="46"/>
      <c r="N10" s="46"/>
    </row>
    <row r="11" spans="1:15" x14ac:dyDescent="0.2">
      <c r="A11" s="21">
        <v>42131</v>
      </c>
      <c r="B11" s="162">
        <f>'Διαχείριση Αποδόσεων'!F12/'Τυπική Απόκλιση'!I22</f>
        <v>2.2847152225100231</v>
      </c>
      <c r="D11" s="21">
        <v>42131</v>
      </c>
      <c r="E11" s="162">
        <f>('Διαχείριση Αποδόσεων'!R12-0.025/360)/'Τυπική Απόκλιση'!L22</f>
        <v>1.1260824010588855</v>
      </c>
      <c r="F11" s="50"/>
      <c r="G11" s="183"/>
      <c r="H11" s="13">
        <v>42131</v>
      </c>
      <c r="I11" s="5">
        <f>'Διαχείριση Αποδόσεων'!D12/'Τυπική Απόκλιση'!I22</f>
        <v>2.2932405678161976</v>
      </c>
      <c r="J11" s="46"/>
      <c r="K11" s="21">
        <v>42131</v>
      </c>
      <c r="L11" s="5">
        <f>'Διαχείριση Αποδόσεων'!R12/'Τυπική Απόκλιση'!L22</f>
        <v>1.128685348802932</v>
      </c>
      <c r="M11" s="46"/>
      <c r="N11" s="46"/>
    </row>
    <row r="12" spans="1:15" x14ac:dyDescent="0.2">
      <c r="A12" s="21">
        <v>42132</v>
      </c>
      <c r="B12" s="162">
        <f>'Διαχείριση Αποδόσεων'!F13/'Τυπική Απόκλιση'!I23</f>
        <v>0.65646565006035662</v>
      </c>
      <c r="D12" s="21">
        <v>42132</v>
      </c>
      <c r="E12" s="162">
        <f>('Διαχείριση Αποδόσεων'!R13-0.025/360)/'Τυπική Απόκλιση'!L23</f>
        <v>-0.13581045926076091</v>
      </c>
      <c r="F12" s="50"/>
      <c r="H12" s="13">
        <v>42132</v>
      </c>
      <c r="I12" s="5">
        <f>'Διαχείριση Αποδόσεων'!D13/'Τυπική Απόκλιση'!I23</f>
        <v>0.6657381092235708</v>
      </c>
      <c r="J12" s="46"/>
      <c r="K12" s="21">
        <v>42132</v>
      </c>
      <c r="L12" s="5">
        <f>'Διαχείριση Αποδόσεων'!R13/'Τυπική Απόκλιση'!L23</f>
        <v>-0.13281367619907669</v>
      </c>
      <c r="M12" s="46"/>
      <c r="N12" s="46"/>
    </row>
    <row r="13" spans="1:15" x14ac:dyDescent="0.2">
      <c r="A13" s="21">
        <v>42135</v>
      </c>
      <c r="B13" s="162">
        <f>'Διαχείριση Αποδόσεων'!F14/'Τυπική Απόκλιση'!I24</f>
        <v>-0.70383069208414328</v>
      </c>
      <c r="D13" s="21">
        <v>42135</v>
      </c>
      <c r="E13" s="162">
        <f>('Διαχείριση Αποδόσεων'!R14-0.025/360)/'Τυπική Απόκλιση'!L24</f>
        <v>-0.97627273728064856</v>
      </c>
      <c r="F13" s="50"/>
      <c r="H13" s="13">
        <v>42135</v>
      </c>
      <c r="I13" s="5">
        <f>'Διαχείριση Αποδόσεων'!D14/'Τυπική Απόκλιση'!I24</f>
        <v>-0.69508853999693787</v>
      </c>
      <c r="J13" s="46"/>
      <c r="K13" s="21">
        <v>42135</v>
      </c>
      <c r="L13" s="5">
        <f>'Διαχείριση Αποδόσεων'!R14/'Τυπική Απόκλιση'!L24</f>
        <v>-0.97357559416260708</v>
      </c>
      <c r="M13" s="46"/>
      <c r="N13" s="46"/>
    </row>
    <row r="14" spans="1:15" x14ac:dyDescent="0.2">
      <c r="A14" s="21">
        <v>42136</v>
      </c>
      <c r="B14" s="162">
        <f>'Διαχείριση Αποδόσεων'!F15/'Τυπική Απόκλιση'!I25</f>
        <v>0.27815452276524544</v>
      </c>
      <c r="D14" s="21">
        <v>42136</v>
      </c>
      <c r="E14" s="162">
        <f>('Διαχείριση Αποδόσεων'!R15-0.025/360)/'Τυπική Απόκλιση'!L25</f>
        <v>0.53433211505931988</v>
      </c>
      <c r="F14" s="51"/>
      <c r="H14" s="13">
        <v>42136</v>
      </c>
      <c r="I14" s="5">
        <f>'Διαχείριση Αποδόσεων'!D15/'Τυπική Απόκλιση'!I25</f>
        <v>0.28690290120619122</v>
      </c>
      <c r="J14" s="46"/>
      <c r="K14" s="21">
        <v>42136</v>
      </c>
      <c r="L14" s="5">
        <f>'Διαχείριση Αποδόσεων'!R15/'Τυπική Απόκλιση'!L25</f>
        <v>0.53706065218311239</v>
      </c>
      <c r="M14" s="46"/>
      <c r="N14" s="46"/>
    </row>
    <row r="15" spans="1:15" x14ac:dyDescent="0.2">
      <c r="A15" s="21">
        <v>42137</v>
      </c>
      <c r="B15" s="162">
        <f>'Διαχείριση Αποδόσεων'!F16/'Τυπική Απόκλιση'!I26</f>
        <v>5.7985282678587401E-2</v>
      </c>
      <c r="D15" s="21">
        <v>42137</v>
      </c>
      <c r="E15" s="162">
        <f>('Διαχείριση Αποδόσεων'!R16-0.025/360)/'Τυπική Απόκλιση'!L26</f>
        <v>-1.4185586719988688E-2</v>
      </c>
      <c r="F15" s="51"/>
      <c r="H15" s="13">
        <v>42137</v>
      </c>
      <c r="I15" s="5">
        <f>'Διαχείριση Αποδόσεων'!D16/'Τυπική Απόκλιση'!I26</f>
        <v>6.7587845752637918E-2</v>
      </c>
      <c r="J15" s="46"/>
      <c r="K15" s="21">
        <v>42137</v>
      </c>
      <c r="L15" s="5">
        <f>'Διαχείριση Αποδόσεων'!R16/'Τυπική Απόκλιση'!L26</f>
        <v>-1.1345454883147782E-2</v>
      </c>
      <c r="M15" s="46"/>
      <c r="N15" s="46"/>
    </row>
    <row r="16" spans="1:15" x14ac:dyDescent="0.2">
      <c r="A16" s="21">
        <v>42138</v>
      </c>
      <c r="B16" s="162">
        <f>'Διαχείριση Αποδόσεων'!F17/'Τυπική Απόκλιση'!I27</f>
        <v>-0.48064967766013594</v>
      </c>
      <c r="D16" s="21">
        <v>42138</v>
      </c>
      <c r="E16" s="162">
        <f>('Διαχείριση Αποδόσεων'!R17-0.025/360)/'Τυπική Απόκλιση'!L27</f>
        <v>0.23146475684247905</v>
      </c>
      <c r="F16" s="51"/>
      <c r="H16" s="13">
        <v>42138</v>
      </c>
      <c r="I16" s="5">
        <f>'Διαχείριση Αποδόσεων'!D17/'Τυπική Απόκλιση'!I27</f>
        <v>-0.4708706644323809</v>
      </c>
      <c r="J16" s="46"/>
      <c r="K16" s="21">
        <v>42138</v>
      </c>
      <c r="L16" s="5">
        <f>'Διαχείριση Αποδόσεων'!R17/'Τυπική Απόκλιση'!L27</f>
        <v>0.2344304523405176</v>
      </c>
      <c r="M16" s="46"/>
      <c r="N16" s="46"/>
    </row>
    <row r="17" spans="1:14" x14ac:dyDescent="0.2">
      <c r="A17" s="21">
        <v>42139</v>
      </c>
      <c r="B17" s="162">
        <f>'Διαχείριση Αποδόσεων'!F18/'Τυπική Απόκλιση'!I28</f>
        <v>-0.12564249923321011</v>
      </c>
      <c r="D17" s="21">
        <v>42139</v>
      </c>
      <c r="E17" s="162">
        <f>('Διαχείριση Αποδόσεων'!R18-0.025/360)/'Τυπική Απόκλιση'!L28</f>
        <v>-1.0677408651272497</v>
      </c>
      <c r="F17" s="51"/>
      <c r="H17" s="13">
        <v>42139</v>
      </c>
      <c r="I17" s="5">
        <f>'Διαχείριση Αποδόσεων'!D18/'Τυπική Απόκλιση'!I28</f>
        <v>-0.11552056816781552</v>
      </c>
      <c r="J17" s="46"/>
      <c r="K17" s="21">
        <v>42139</v>
      </c>
      <c r="L17" s="5">
        <f>'Διαχείριση Αποδόσεων'!R18/'Τυπική Απόκλιση'!L28</f>
        <v>-1.0648663028018936</v>
      </c>
      <c r="M17" s="46"/>
      <c r="N17" s="46"/>
    </row>
    <row r="18" spans="1:14" x14ac:dyDescent="0.2">
      <c r="A18" s="21">
        <v>42142</v>
      </c>
      <c r="B18" s="162">
        <f>'Διαχείριση Αποδόσεων'!F19/'Τυπική Απόκλιση'!I29</f>
        <v>1.2559554463596148</v>
      </c>
      <c r="D18" s="21">
        <v>42142</v>
      </c>
      <c r="E18" s="162">
        <f>('Διαχείριση Αποδόσεων'!R19-0.025/360)/'Τυπική Απόκλιση'!L29</f>
        <v>0.68574293770422468</v>
      </c>
      <c r="F18" s="51"/>
      <c r="H18" s="13">
        <v>42142</v>
      </c>
      <c r="I18" s="5">
        <f>'Διαχείριση Αποδόσεων'!D19/'Τυπική Απόκλιση'!I29</f>
        <v>1.2660915667456023</v>
      </c>
      <c r="J18" s="46"/>
      <c r="K18" s="21">
        <v>42142</v>
      </c>
      <c r="L18" s="5">
        <f>'Διαχείριση Αποδόσεων'!R19/'Τυπική Απόκλιση'!L29</f>
        <v>0.68870286398034442</v>
      </c>
      <c r="M18" s="46"/>
      <c r="N18" s="46"/>
    </row>
    <row r="19" spans="1:14" x14ac:dyDescent="0.2">
      <c r="A19" s="21">
        <v>42143</v>
      </c>
      <c r="B19" s="162">
        <f>'Διαχείριση Αποδόσεων'!F20/'Τυπική Απόκλιση'!I30</f>
        <v>2.170664268019542</v>
      </c>
      <c r="D19" s="21">
        <v>42143</v>
      </c>
      <c r="E19" s="162">
        <f>('Διαχείριση Αποδόσεων'!R20-0.025/360)/'Τυπική Απόκλιση'!L30</f>
        <v>1.1101510653193569</v>
      </c>
      <c r="F19" s="51"/>
      <c r="H19" s="13">
        <v>42143</v>
      </c>
      <c r="I19" s="5">
        <f>'Διαχείριση Αποδόσεων'!D20/'Τυπική Απόκλιση'!I30</f>
        <v>2.179911069777928</v>
      </c>
      <c r="J19" s="46"/>
      <c r="K19" s="21">
        <v>42143</v>
      </c>
      <c r="L19" s="5">
        <f>'Διαχείριση Αποδόσεων'!R20/'Τυπική Απόκλιση'!L30</f>
        <v>1.1131412879997518</v>
      </c>
      <c r="M19" s="46"/>
      <c r="N19" s="46"/>
    </row>
    <row r="20" spans="1:14" x14ac:dyDescent="0.2">
      <c r="A20" s="21">
        <v>42144</v>
      </c>
      <c r="B20" s="162">
        <f>'Διαχείριση Αποδόσεων'!F21/'Τυπική Απόκλιση'!I31</f>
        <v>0.20389676200985282</v>
      </c>
      <c r="D20" s="21">
        <v>42144</v>
      </c>
      <c r="E20" s="162">
        <f>('Διαχείριση Αποδόσεων'!R21-0.025/360)/'Τυπική Απόκλιση'!L31</f>
        <v>-0.31631685466568343</v>
      </c>
      <c r="F20" s="51"/>
      <c r="H20" s="13">
        <v>42144</v>
      </c>
      <c r="I20" s="5">
        <f>'Διαχείριση Αποδόσεων'!D21/'Τυπική Απόκλιση'!I31</f>
        <v>0.21343472343441108</v>
      </c>
      <c r="J20" s="46"/>
      <c r="K20" s="21">
        <v>42144</v>
      </c>
      <c r="L20" s="5">
        <f>'Διαχείριση Αποδόσεων'!R21/'Τυπική Απόκλιση'!L31</f>
        <v>-0.31326319511344608</v>
      </c>
      <c r="M20" s="46"/>
      <c r="N20" s="46"/>
    </row>
    <row r="21" spans="1:14" x14ac:dyDescent="0.2">
      <c r="A21" s="21">
        <v>42145</v>
      </c>
      <c r="B21" s="162">
        <f>'Διαχείριση Αποδόσεων'!F22/'Τυπική Απόκλιση'!I32</f>
        <v>0.87305563637205796</v>
      </c>
      <c r="D21" s="21">
        <v>42145</v>
      </c>
      <c r="E21" s="162">
        <f>('Διαχείριση Αποδόσεων'!R22-0.025/360)/'Τυπική Απόκλιση'!L32</f>
        <v>0.28431851118632107</v>
      </c>
      <c r="F21" s="51"/>
      <c r="H21" s="13">
        <v>42145</v>
      </c>
      <c r="I21" s="5">
        <f>'Διαχείριση Αποδόσεων'!D22/'Τυπική Απόκλιση'!I32</f>
        <v>0.88282814098333062</v>
      </c>
      <c r="J21" s="46"/>
      <c r="K21" s="21">
        <v>42145</v>
      </c>
      <c r="L21" s="5">
        <f>'Διαχείριση Αποδόσεων'!R22/'Τυπική Απόκλιση'!L32</f>
        <v>0.28746613654003489</v>
      </c>
      <c r="M21" s="46"/>
      <c r="N21" s="46"/>
    </row>
    <row r="22" spans="1:14" x14ac:dyDescent="0.2">
      <c r="A22" s="21">
        <v>42146</v>
      </c>
      <c r="B22" s="162">
        <f>'Διαχείριση Αποδόσεων'!F23/'Τυπική Απόκλιση'!I33</f>
        <v>-0.15364762931028186</v>
      </c>
      <c r="D22" s="21">
        <v>42146</v>
      </c>
      <c r="E22" s="162">
        <f>('Διαχείριση Αποδόσεων'!R23-0.025/360)/'Τυπική Απόκλιση'!L33</f>
        <v>-0.30435415403495458</v>
      </c>
      <c r="F22" s="51"/>
      <c r="H22" s="13">
        <v>42146</v>
      </c>
      <c r="I22" s="5">
        <f>'Διαχείριση Αποδόσεων'!D23/'Τυπική Απόκλιση'!I33</f>
        <v>-0.14368649394021635</v>
      </c>
      <c r="J22" s="46"/>
      <c r="K22" s="21">
        <v>42146</v>
      </c>
      <c r="L22" s="5">
        <f>'Διαχείριση Αποδόσεων'!R23/'Τυπική Απόκλιση'!L33</f>
        <v>-0.30114424874294299</v>
      </c>
      <c r="M22" s="46"/>
      <c r="N22" s="46"/>
    </row>
    <row r="23" spans="1:14" x14ac:dyDescent="0.2">
      <c r="A23" s="21">
        <v>42149</v>
      </c>
      <c r="B23" s="162">
        <f>'Διαχείριση Αποδόσεων'!F24/'Τυπική Απόκλιση'!I34</f>
        <v>-1.265364735060174</v>
      </c>
      <c r="D23" s="21">
        <v>42149</v>
      </c>
      <c r="E23" s="162">
        <f>('Διαχείριση Αποδόσεων'!R24-0.025/360)/'Τυπική Απόκλιση'!L34</f>
        <v>-1.3814950570819013</v>
      </c>
      <c r="F23" s="51"/>
      <c r="H23" s="13">
        <v>42149</v>
      </c>
      <c r="I23" s="5">
        <f>'Διαχείριση Αποδόσεων'!D24/'Τυπική Απόκλιση'!I34</f>
        <v>-1.2558601479449987</v>
      </c>
      <c r="J23" s="46"/>
      <c r="K23" s="21">
        <v>42149</v>
      </c>
      <c r="L23" s="5">
        <f>'Διαχείριση Αποδόσεων'!R24/'Τυπική Απόκλιση'!L34</f>
        <v>-1.3784205568899468</v>
      </c>
      <c r="M23" s="46"/>
      <c r="N23" s="46"/>
    </row>
    <row r="24" spans="1:14" x14ac:dyDescent="0.2">
      <c r="A24" s="21">
        <v>42150</v>
      </c>
      <c r="B24" s="162">
        <f>'Διαχείριση Αποδόσεων'!F25/'Τυπική Απόκλιση'!I35</f>
        <v>1.7365345572088071</v>
      </c>
      <c r="D24" s="21">
        <v>42150</v>
      </c>
      <c r="E24" s="162">
        <f>('Διαχείριση Αποδόσεων'!R25-0.025/360)/'Τυπική Απόκλιση'!L35</f>
        <v>0.47280715995999212</v>
      </c>
      <c r="F24" s="51"/>
      <c r="H24" s="13">
        <v>42150</v>
      </c>
      <c r="I24" s="5">
        <f>'Διαχείριση Αποδόσεων'!D25/'Τυπική Απόκλιση'!I35</f>
        <v>1.7457959457215142</v>
      </c>
      <c r="J24" s="46"/>
      <c r="K24" s="21">
        <v>42150</v>
      </c>
      <c r="L24" s="5">
        <f>'Διαχείριση Αποδόσεων'!R25/'Τυπική Απόκλιση'!L35</f>
        <v>0.47595413218911714</v>
      </c>
      <c r="M24" s="46"/>
      <c r="N24" s="46"/>
    </row>
    <row r="25" spans="1:14" x14ac:dyDescent="0.2">
      <c r="A25" s="21">
        <v>42151</v>
      </c>
      <c r="B25" s="162">
        <f>'Διαχείριση Αποδόσεων'!F26/'Τυπική Απόκλιση'!I36</f>
        <v>0.15773327161164202</v>
      </c>
      <c r="D25" s="21">
        <v>42151</v>
      </c>
      <c r="E25" s="162">
        <f>('Διαχείριση Αποδόσεων'!R26-0.025/360)/'Τυπική Απόκλιση'!L36</f>
        <v>1.5701091151920152</v>
      </c>
      <c r="F25" s="51"/>
      <c r="H25" s="13">
        <v>42151</v>
      </c>
      <c r="I25" s="5">
        <f>'Διαχείριση Αποδόσεων'!D26/'Τυπική Απόκλιση'!I36</f>
        <v>0.16721280175627426</v>
      </c>
      <c r="J25" s="46"/>
      <c r="K25" s="21">
        <v>42151</v>
      </c>
      <c r="L25" s="5">
        <f>'Διαχείριση Αποδόσεων'!R26/'Τυπική Απόκλιση'!L36</f>
        <v>1.5731868340408315</v>
      </c>
      <c r="M25" s="46"/>
      <c r="N25" s="46"/>
    </row>
    <row r="26" spans="1:14" x14ac:dyDescent="0.2">
      <c r="A26" s="21">
        <v>42152</v>
      </c>
      <c r="B26" s="162">
        <f>'Διαχείριση Αποδόσεων'!F27/'Τυπική Απόκλιση'!I37</f>
        <v>-0.64538362862741128</v>
      </c>
      <c r="D26" s="21">
        <v>42152</v>
      </c>
      <c r="E26" s="162">
        <f>('Διαχείριση Αποδόσεων'!R27-0.025/360)/'Τυπική Απόκλιση'!L37</f>
        <v>-0.75349640184263611</v>
      </c>
      <c r="F26" s="51"/>
      <c r="H26" s="13">
        <v>42152</v>
      </c>
      <c r="I26" s="5">
        <f>'Διαχείριση Αποδόσεων'!D27/'Τυπική Απόκλιση'!I37</f>
        <v>-0.63590059114116659</v>
      </c>
      <c r="J26" s="46"/>
      <c r="K26" s="21">
        <v>42152</v>
      </c>
      <c r="L26" s="5">
        <f>'Διαχείριση Αποδόσεων'!R27/'Τυπική Απόκλιση'!L37</f>
        <v>-0.7504137920230799</v>
      </c>
      <c r="M26" s="46"/>
      <c r="N26" s="46"/>
    </row>
    <row r="27" spans="1:14" x14ac:dyDescent="0.2">
      <c r="A27" s="21">
        <v>42153</v>
      </c>
      <c r="B27" s="162">
        <f>'Διαχείριση Αποδόσεων'!F28/'Τυπική Απόκλιση'!I38</f>
        <v>0.15991160873682539</v>
      </c>
      <c r="D27" s="21">
        <v>42153</v>
      </c>
      <c r="E27" s="162">
        <f>('Διαχείριση Αποδόσεων'!R28-0.025/360)/'Τυπική Απόκλιση'!L38</f>
        <v>-0.64551070191240423</v>
      </c>
      <c r="F27" s="51"/>
      <c r="H27" s="13">
        <v>42153</v>
      </c>
      <c r="I27" s="5">
        <f>'Διαχείριση Αποδόσεων'!D28/'Τυπική Απόκλιση'!I38</f>
        <v>0.16960178346478125</v>
      </c>
      <c r="J27" s="46"/>
      <c r="K27" s="21">
        <v>42153</v>
      </c>
      <c r="L27" s="5">
        <f>'Διαχείριση Αποδόσεων'!R28/'Τυπική Απόκλιση'!L38</f>
        <v>-0.64240529058890705</v>
      </c>
      <c r="M27" s="46"/>
      <c r="N27" s="46"/>
    </row>
  </sheetData>
  <mergeCells count="9">
    <mergeCell ref="N5:N9"/>
    <mergeCell ref="F3:F4"/>
    <mergeCell ref="C3:C4"/>
    <mergeCell ref="D1:F2"/>
    <mergeCell ref="A1:C2"/>
    <mergeCell ref="H1:N2"/>
    <mergeCell ref="G1:G2"/>
    <mergeCell ref="G3:G4"/>
    <mergeCell ref="G6:G11"/>
  </mergeCells>
  <conditionalFormatting sqref="F5 C5 B4:B27 E4:E27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I4:I27 J4 L4:L27 M4:N4">
    <cfRule type="cellIs" dxfId="9" priority="4" operator="greaterThan">
      <formula>0</formula>
    </cfRule>
  </conditionalFormatting>
  <conditionalFormatting sqref="I4:I27 J4 L4:L27 M4:N4">
    <cfRule type="cellIs" dxfId="8" priority="3" operator="lessThan">
      <formula>0</formula>
    </cfRule>
  </conditionalFormatting>
  <conditionalFormatting sqref="G5">
    <cfRule type="cellIs" dxfId="7" priority="1" operator="lessThan">
      <formula>0</formula>
    </cfRule>
    <cfRule type="cellIs" dxfId="6" priority="2" operator="greaterThan">
      <formula>0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9"/>
  <sheetViews>
    <sheetView workbookViewId="0">
      <selection activeCell="G18" sqref="G18"/>
    </sheetView>
  </sheetViews>
  <sheetFormatPr baseColWidth="10" defaultColWidth="8.83203125" defaultRowHeight="15" x14ac:dyDescent="0.2"/>
  <cols>
    <col min="1" max="3" width="16.6640625" style="46" customWidth="1"/>
    <col min="4" max="4" width="8.83203125" style="46"/>
    <col min="5" max="5" width="28.33203125" style="46" bestFit="1" customWidth="1"/>
    <col min="6" max="6" width="16" style="46" bestFit="1" customWidth="1"/>
    <col min="7" max="7" width="15.1640625" style="46" bestFit="1" customWidth="1"/>
    <col min="8" max="16384" width="8.83203125" style="46"/>
  </cols>
  <sheetData>
    <row r="1" spans="1:9" x14ac:dyDescent="0.2">
      <c r="A1" s="216" t="s">
        <v>39</v>
      </c>
      <c r="B1" s="183" t="s">
        <v>41</v>
      </c>
      <c r="C1" s="183"/>
      <c r="E1" s="217" t="s">
        <v>149</v>
      </c>
      <c r="F1" s="156"/>
      <c r="G1" s="156"/>
      <c r="H1" s="156"/>
      <c r="I1" s="157"/>
    </row>
    <row r="2" spans="1:9" x14ac:dyDescent="0.2">
      <c r="A2" s="216"/>
      <c r="B2" s="143" t="s">
        <v>118</v>
      </c>
      <c r="C2" s="143" t="s">
        <v>99</v>
      </c>
      <c r="E2" s="218"/>
      <c r="F2" s="154"/>
      <c r="G2" s="154"/>
      <c r="H2" s="154"/>
      <c r="I2" s="155"/>
    </row>
    <row r="3" spans="1:9" ht="16" thickBot="1" x14ac:dyDescent="0.25">
      <c r="A3" s="13">
        <f>'Διαχείριση Αποδόσεων'!A5</f>
        <v>42121</v>
      </c>
      <c r="B3" s="5">
        <f>'Διαχείριση Αποδόσεων'!E5</f>
        <v>1.8811940649745788E-2</v>
      </c>
      <c r="C3" s="5">
        <f>LN('Διαχείριση Αποδόσεων'!P5/'Διαχείριση Αποδόσεων'!Q5)</f>
        <v>4.9848169183032053E-2</v>
      </c>
      <c r="E3" s="153"/>
      <c r="F3" s="154"/>
      <c r="G3" s="154"/>
      <c r="H3" s="154"/>
      <c r="I3" s="155"/>
    </row>
    <row r="4" spans="1:9" x14ac:dyDescent="0.2">
      <c r="A4" s="13">
        <f>'Διαχείριση Αποδόσεων'!A6</f>
        <v>42122</v>
      </c>
      <c r="B4" s="5">
        <f>'Διαχείριση Αποδόσεων'!E6</f>
        <v>4.0120931202773345E-3</v>
      </c>
      <c r="C4" s="5">
        <f>LN('Διαχείριση Αποδόσεων'!P6/'Διαχείριση Αποδόσεων'!Q6)</f>
        <v>1.3955312839938014E-2</v>
      </c>
      <c r="E4" s="147" t="s">
        <v>139</v>
      </c>
      <c r="F4" s="146"/>
      <c r="G4" s="154"/>
      <c r="H4" s="154"/>
      <c r="I4" s="155"/>
    </row>
    <row r="5" spans="1:9" x14ac:dyDescent="0.2">
      <c r="A5" s="13">
        <f>'Διαχείριση Αποδόσεων'!A7</f>
        <v>42123</v>
      </c>
      <c r="B5" s="5">
        <f>'Διαχείριση Αποδόσεων'!E7</f>
        <v>-4.4842479751972409E-3</v>
      </c>
      <c r="C5" s="5">
        <f>LN('Διαχείριση Αποδόσεων'!P7/'Διαχείριση Αποδόσεων'!Q7)</f>
        <v>-1.0000083334583311E-2</v>
      </c>
      <c r="E5" s="148" t="s">
        <v>140</v>
      </c>
      <c r="F5" s="171">
        <v>0.64634608269419302</v>
      </c>
      <c r="G5" s="154"/>
      <c r="H5" s="154"/>
      <c r="I5" s="155"/>
    </row>
    <row r="6" spans="1:9" x14ac:dyDescent="0.2">
      <c r="A6" s="13">
        <f>'Διαχείριση Αποδόσεων'!A8</f>
        <v>42124</v>
      </c>
      <c r="B6" s="5">
        <f>'Διαχείριση Αποδόσεων'!E8</f>
        <v>-7.5142197471164674E-4</v>
      </c>
      <c r="C6" s="5">
        <f>LN('Διαχείριση Αποδόσεων'!P8/'Διαχείριση Αποδόσεων'!Q8)</f>
        <v>3.0714315983635752E-2</v>
      </c>
      <c r="E6" s="148" t="s">
        <v>141</v>
      </c>
      <c r="F6" s="171">
        <v>0.41776325861412861</v>
      </c>
      <c r="G6" s="154"/>
      <c r="H6" s="154"/>
      <c r="I6" s="155"/>
    </row>
    <row r="7" spans="1:9" x14ac:dyDescent="0.2">
      <c r="A7" s="13">
        <f>'Διαχείριση Αποδόσεων'!A9</f>
        <v>42128</v>
      </c>
      <c r="B7" s="5">
        <f>'Διαχείριση Αποδόσεων'!E9</f>
        <v>3.5340936928665695E-3</v>
      </c>
      <c r="C7" s="5">
        <f>LN('Διαχείριση Αποδόσεων'!P9/'Διαχείριση Αποδόσεων'!Q9)</f>
        <v>3.8328164719847852E-3</v>
      </c>
      <c r="E7" s="148" t="s">
        <v>142</v>
      </c>
      <c r="F7" s="171">
        <v>0.39129795218749808</v>
      </c>
      <c r="G7" s="154"/>
      <c r="H7" s="154"/>
      <c r="I7" s="155"/>
    </row>
    <row r="8" spans="1:9" x14ac:dyDescent="0.2">
      <c r="A8" s="13">
        <f>'Διαχείριση Αποδόσεων'!A10</f>
        <v>42129</v>
      </c>
      <c r="B8" s="5">
        <f>'Διαχείριση Αποδόσεων'!E10</f>
        <v>-6.4622766049070033E-3</v>
      </c>
      <c r="C8" s="5">
        <f>LN('Διαχείριση Αποδόσεων'!P10/'Διαχείριση Αποδόσεων'!Q10)</f>
        <v>-3.927010665436563E-2</v>
      </c>
      <c r="E8" s="148" t="s">
        <v>143</v>
      </c>
      <c r="F8" s="171">
        <v>7.9900079139641009E-3</v>
      </c>
      <c r="G8" s="154"/>
      <c r="H8" s="154"/>
      <c r="I8" s="155"/>
    </row>
    <row r="9" spans="1:9" ht="16" thickBot="1" x14ac:dyDescent="0.25">
      <c r="A9" s="13">
        <f>'Διαχείριση Αποδόσεων'!A11</f>
        <v>42130</v>
      </c>
      <c r="B9" s="5">
        <f>'Διαχείριση Αποδόσεων'!E11</f>
        <v>-4.5951810243935048E-3</v>
      </c>
      <c r="C9" s="5">
        <f>LN('Διαχείριση Αποδόσεων'!P11/'Διαχείριση Αποδόσεων'!Q11)</f>
        <v>2.8192560906487286E-2</v>
      </c>
      <c r="E9" s="149" t="s">
        <v>144</v>
      </c>
      <c r="F9" s="144">
        <v>24</v>
      </c>
      <c r="G9" s="154"/>
      <c r="H9" s="154"/>
      <c r="I9" s="155"/>
    </row>
    <row r="10" spans="1:9" ht="16" thickBot="1" x14ac:dyDescent="0.25">
      <c r="A10" s="13">
        <f>'Διαχείριση Αποδόσεων'!A12</f>
        <v>42131</v>
      </c>
      <c r="B10" s="5">
        <f>'Διαχείριση Αποδόσεων'!E12</f>
        <v>2.6335757689740842E-2</v>
      </c>
      <c r="C10" s="5">
        <f>LN('Διαχείριση Αποδόσεων'!P12/'Διαχείριση Αποδόσεων'!Q12)</f>
        <v>2.9667893915616667E-2</v>
      </c>
      <c r="E10" s="153"/>
      <c r="F10" s="154"/>
      <c r="G10" s="154"/>
      <c r="H10" s="154"/>
      <c r="I10" s="155"/>
    </row>
    <row r="11" spans="1:9" x14ac:dyDescent="0.2">
      <c r="A11" s="13">
        <f>'Διαχείριση Αποδόσεων'!A13</f>
        <v>42132</v>
      </c>
      <c r="B11" s="5">
        <f>'Διαχείριση Αποδόσεων'!E13</f>
        <v>7.0975071895611613E-3</v>
      </c>
      <c r="C11" s="5">
        <f>LN('Διαχείριση Αποδόσεων'!P13/'Διαχείριση Αποδόσεων'!Q13)</f>
        <v>-3.0824367306225126E-3</v>
      </c>
      <c r="E11" s="150"/>
      <c r="F11" s="145" t="s">
        <v>146</v>
      </c>
      <c r="G11" s="145" t="s">
        <v>143</v>
      </c>
      <c r="H11" s="145" t="s">
        <v>147</v>
      </c>
      <c r="I11" s="151" t="s">
        <v>148</v>
      </c>
    </row>
    <row r="12" spans="1:9" x14ac:dyDescent="0.2">
      <c r="A12" s="13">
        <f>'Διαχείριση Αποδόσεων'!A14</f>
        <v>42135</v>
      </c>
      <c r="B12" s="5">
        <f>'Διαχείριση Αποδόσεων'!E14</f>
        <v>-7.9191711646845672E-3</v>
      </c>
      <c r="C12" s="5">
        <f>LN('Διαχείριση Αποδόσεων'!P14/'Διαχείριση Αποδόσεων'!Q14)</f>
        <v>-2.5386577626646145E-2</v>
      </c>
      <c r="E12" s="148" t="s">
        <v>145</v>
      </c>
      <c r="F12" s="171">
        <v>2.3508437025760642E-3</v>
      </c>
      <c r="G12" s="171">
        <v>1.6524236331891254E-3</v>
      </c>
      <c r="H12" s="171">
        <v>1.4226640525825756</v>
      </c>
      <c r="I12" s="172">
        <v>0.1688590883288297</v>
      </c>
    </row>
    <row r="13" spans="1:9" ht="16" thickBot="1" x14ac:dyDescent="0.25">
      <c r="A13" s="13">
        <f>'Διαχείριση Αποδόσεων'!A15</f>
        <v>42136</v>
      </c>
      <c r="B13" s="5">
        <f>'Διαχείριση Αποδόσεων'!E15</f>
        <v>3.2481892140737933E-3</v>
      </c>
      <c r="C13" s="5">
        <f>LN('Διαχείριση Αποδόσεων'!P15/'Διαχείριση Αποδόσεων'!Q15)</f>
        <v>1.3576242813112554E-2</v>
      </c>
      <c r="E13" s="152" t="s">
        <v>150</v>
      </c>
      <c r="F13" s="173">
        <v>0.2891699074259742</v>
      </c>
      <c r="G13" s="173">
        <v>7.2782411058063101E-2</v>
      </c>
      <c r="H13" s="173">
        <v>3.9730740328907928</v>
      </c>
      <c r="I13" s="174">
        <v>6.4404692104316481E-4</v>
      </c>
    </row>
    <row r="14" spans="1:9" x14ac:dyDescent="0.2">
      <c r="A14" s="13">
        <f>'Διαχείριση Αποδόσεων'!A16</f>
        <v>42137</v>
      </c>
      <c r="B14" s="5">
        <f>'Διαχείριση Αποδόσεων'!E16</f>
        <v>6.9802233825011592E-4</v>
      </c>
      <c r="C14" s="5">
        <f>LN('Διαχείριση Αποδόσεων'!P16/'Διαχείριση Αποδόσεων'!Q16)</f>
        <v>-2.7744772399431844E-4</v>
      </c>
      <c r="E14" s="158"/>
      <c r="F14" s="158"/>
      <c r="G14" s="158"/>
      <c r="H14" s="158"/>
      <c r="I14" s="158"/>
    </row>
    <row r="15" spans="1:9" x14ac:dyDescent="0.2">
      <c r="A15" s="13">
        <f>'Διαχείριση Αποδόσεων'!A17</f>
        <v>42138</v>
      </c>
      <c r="B15" s="5">
        <f>'Διαχείριση Αποδόσεων'!E17</f>
        <v>-4.7883449557277269E-3</v>
      </c>
      <c r="C15" s="5">
        <f>LN('Διαχείριση Αποδόσεων'!P17/'Διαχείριση Αποδόσεων'!Q17)</f>
        <v>5.474389382378651E-3</v>
      </c>
      <c r="E15" s="154"/>
      <c r="F15" s="154"/>
      <c r="G15" s="158"/>
      <c r="H15" s="158"/>
      <c r="I15" s="158"/>
    </row>
    <row r="16" spans="1:9" x14ac:dyDescent="0.2">
      <c r="A16" s="13">
        <f>'Διαχείριση Αποδόσεων'!A18</f>
        <v>42139</v>
      </c>
      <c r="B16" s="5">
        <f>'Διαχείριση Αποδόσεων'!E18</f>
        <v>-1.1328734165648275E-3</v>
      </c>
      <c r="C16" s="5">
        <f>LN('Διαχείριση Αποδόσεων'!P18/'Διαχείριση Αποδόσεων'!Q18)</f>
        <v>-2.6062007464087975E-2</v>
      </c>
      <c r="E16" s="154"/>
      <c r="F16" s="154"/>
      <c r="G16" s="43"/>
      <c r="H16" s="43"/>
      <c r="I16" s="43"/>
    </row>
    <row r="17" spans="1:9" x14ac:dyDescent="0.2">
      <c r="A17" s="13">
        <f>'Διαχείριση Αποδόσεων'!A19</f>
        <v>42142</v>
      </c>
      <c r="B17" s="5">
        <f>'Διαχείριση Αποδόσεων'!E19</f>
        <v>1.2315605799714802E-2</v>
      </c>
      <c r="C17" s="5">
        <f>LN('Διαχείριση Αποδόσεων'!P19/'Διαχείριση Αποδόσεων'!Q19)</f>
        <v>1.6028881793828362E-2</v>
      </c>
      <c r="E17" s="51"/>
      <c r="F17" s="51"/>
    </row>
    <row r="18" spans="1:9" x14ac:dyDescent="0.2">
      <c r="A18" s="13">
        <f>'Διαχείριση Αποδόσεων'!A20</f>
        <v>42143</v>
      </c>
      <c r="B18" s="5">
        <f>'Διαχείριση Αποδόσεων'!E20</f>
        <v>2.311835558250613E-2</v>
      </c>
      <c r="C18" s="5">
        <f>LN('Διαχείριση Αποδόσεων'!P20/'Διαχείριση Αποδόσεων'!Q20)</f>
        <v>2.5522913600009835E-2</v>
      </c>
      <c r="E18" s="159"/>
      <c r="F18" s="159"/>
    </row>
    <row r="19" spans="1:9" x14ac:dyDescent="0.2">
      <c r="A19" s="13">
        <f>'Διαχείριση Αποδόσεων'!A21</f>
        <v>42144</v>
      </c>
      <c r="B19" s="5">
        <f>'Διαχείριση Αποδόσεων'!E21</f>
        <v>2.2175190775312881E-3</v>
      </c>
      <c r="C19" s="5">
        <f>LN('Διαχείριση Αποδόσεων'!P21/'Διαχείριση Αποδόσεων'!Q21)</f>
        <v>-7.1495357394620578E-3</v>
      </c>
      <c r="E19" s="159"/>
      <c r="F19" s="159"/>
    </row>
    <row r="20" spans="1:9" x14ac:dyDescent="0.2">
      <c r="A20" s="13">
        <f>'Διαχείριση Αποδόσεων'!A22</f>
        <v>42145</v>
      </c>
      <c r="B20" s="5">
        <f>'Διαχείριση Αποδόσεων'!E22</f>
        <v>8.9221780406225793E-3</v>
      </c>
      <c r="C20" s="5">
        <f>LN('Διαχείριση Αποδόσεων'!P22/'Διαχείριση Αποδόσεων'!Q22)</f>
        <v>6.3221907603477423E-3</v>
      </c>
      <c r="E20" s="159"/>
      <c r="F20" s="159"/>
      <c r="G20" s="43"/>
      <c r="H20" s="43"/>
      <c r="I20" s="43"/>
    </row>
    <row r="21" spans="1:9" x14ac:dyDescent="0.2">
      <c r="A21" s="13">
        <f>'Διαχείριση Αποδόσεων'!A23</f>
        <v>42146</v>
      </c>
      <c r="B21" s="5">
        <f>'Διαχείριση Αποδόσεων'!E23</f>
        <v>-1.4320477579227251E-3</v>
      </c>
      <c r="C21" s="5">
        <f>LN('Διαχείριση Αποδόσεων'!P23/'Διαχείριση Αποδόσεων'!Q23)</f>
        <v>-6.5363974229938329E-3</v>
      </c>
      <c r="E21" s="159"/>
      <c r="F21" s="159"/>
      <c r="G21" s="43"/>
      <c r="H21" s="43"/>
      <c r="I21" s="43"/>
    </row>
    <row r="22" spans="1:9" x14ac:dyDescent="0.2">
      <c r="A22" s="13">
        <f>'Διαχείριση Αποδόσεων'!A24</f>
        <v>42149</v>
      </c>
      <c r="B22" s="5">
        <f>'Διαχείριση Αποδόσεων'!E24</f>
        <v>-1.3195006246242327E-2</v>
      </c>
      <c r="C22" s="5">
        <f>LN('Διαχείριση Αποδόσεων'!P24/'Διαχείριση Αποδόσεων'!Q24)</f>
        <v>-3.1629688948402797E-2</v>
      </c>
      <c r="E22" s="159"/>
      <c r="F22" s="159"/>
      <c r="G22" s="43"/>
      <c r="H22" s="43"/>
      <c r="I22" s="43"/>
    </row>
    <row r="23" spans="1:9" x14ac:dyDescent="0.2">
      <c r="A23" s="13">
        <f>'Διαχείριση Αποδόσεων'!A25</f>
        <v>42150</v>
      </c>
      <c r="B23" s="5">
        <f>'Διαχείριση Αποδόσεων'!E25</f>
        <v>1.8527948738684234E-2</v>
      </c>
      <c r="C23" s="5">
        <f>LN('Διαχείριση Αποδόσεων'!P25/'Διαχείριση Αποδόσεων'!Q25)</f>
        <v>1.0448138939344841E-2</v>
      </c>
      <c r="E23" s="159"/>
      <c r="F23" s="159"/>
      <c r="G23" s="43"/>
      <c r="H23" s="43"/>
      <c r="I23" s="43"/>
    </row>
    <row r="24" spans="1:9" x14ac:dyDescent="0.2">
      <c r="A24" s="13">
        <f>'Διαχείριση Αποδόσεων'!A26</f>
        <v>42151</v>
      </c>
      <c r="B24" s="5">
        <f>'Διαχείριση Αποδόσεων'!E26</f>
        <v>1.7484067027452716E-3</v>
      </c>
      <c r="C24" s="5">
        <f>LN('Διαχείριση Αποδόσεων'!P26/'Διαχείριση Αποδόσεων'!Q26)</f>
        <v>3.4881284966094495E-2</v>
      </c>
      <c r="E24" s="159"/>
      <c r="F24" s="159"/>
      <c r="G24" s="43"/>
      <c r="H24" s="43"/>
      <c r="I24" s="43"/>
    </row>
    <row r="25" spans="1:9" x14ac:dyDescent="0.2">
      <c r="A25" s="13">
        <f>'Διαχείριση Αποδόσεων'!A27</f>
        <v>42152</v>
      </c>
      <c r="B25" s="5">
        <f>'Διαχείριση Αποδόσεων'!E27</f>
        <v>-6.6746701620202676E-3</v>
      </c>
      <c r="C25" s="5">
        <f>LN('Διαχείριση Αποδόσεων'!P27/'Διαχείριση Αποδόσεων'!Q27)</f>
        <v>-1.7049702027109565E-2</v>
      </c>
      <c r="E25" s="159"/>
      <c r="F25" s="159"/>
      <c r="G25" s="43"/>
      <c r="H25" s="43"/>
      <c r="I25" s="43"/>
    </row>
    <row r="26" spans="1:9" x14ac:dyDescent="0.2">
      <c r="A26" s="13">
        <f>'Διαχείριση Αποδόσεων'!A28</f>
        <v>42153</v>
      </c>
      <c r="B26" s="5">
        <f>'Διαχείριση Αποδόσεων'!E28</f>
        <v>1.7348482911232106E-3</v>
      </c>
      <c r="C26" s="5">
        <f>LN('Διαχείριση Αποδόσεων'!P28/'Διαχείριση Αποδόσεων'!Q28)</f>
        <v>-1.4469908889248075E-2</v>
      </c>
      <c r="E26" s="159"/>
      <c r="F26" s="159"/>
      <c r="G26" s="43"/>
      <c r="H26" s="43"/>
      <c r="I26" s="43"/>
    </row>
    <row r="27" spans="1:9" x14ac:dyDescent="0.2">
      <c r="E27" s="159"/>
      <c r="F27" s="159"/>
      <c r="G27" s="43"/>
      <c r="H27" s="43"/>
      <c r="I27" s="43"/>
    </row>
    <row r="28" spans="1:9" x14ac:dyDescent="0.2">
      <c r="E28" s="159"/>
      <c r="F28" s="159"/>
      <c r="G28" s="43"/>
      <c r="H28" s="43"/>
      <c r="I28" s="43"/>
    </row>
    <row r="29" spans="1:9" x14ac:dyDescent="0.2">
      <c r="E29" s="159"/>
      <c r="F29" s="159"/>
      <c r="G29" s="43"/>
      <c r="H29" s="43"/>
      <c r="I29" s="43"/>
    </row>
    <row r="30" spans="1:9" x14ac:dyDescent="0.2">
      <c r="E30" s="159"/>
      <c r="F30" s="159"/>
      <c r="G30" s="43"/>
      <c r="H30" s="43"/>
      <c r="I30" s="43"/>
    </row>
    <row r="31" spans="1:9" x14ac:dyDescent="0.2">
      <c r="E31" s="159"/>
      <c r="F31" s="159"/>
      <c r="G31" s="43"/>
      <c r="H31" s="43"/>
      <c r="I31" s="43"/>
    </row>
    <row r="32" spans="1:9" x14ac:dyDescent="0.2">
      <c r="E32" s="159"/>
      <c r="F32" s="159"/>
      <c r="G32" s="43"/>
      <c r="H32" s="43"/>
      <c r="I32" s="43"/>
    </row>
    <row r="33" spans="5:9" x14ac:dyDescent="0.2">
      <c r="E33" s="159"/>
      <c r="F33" s="159"/>
      <c r="G33" s="43"/>
      <c r="H33" s="43"/>
      <c r="I33" s="43"/>
    </row>
    <row r="34" spans="5:9" x14ac:dyDescent="0.2">
      <c r="E34" s="159"/>
      <c r="F34" s="159"/>
      <c r="G34" s="43"/>
      <c r="H34" s="43"/>
      <c r="I34" s="43"/>
    </row>
    <row r="35" spans="5:9" x14ac:dyDescent="0.2">
      <c r="E35" s="159"/>
      <c r="F35" s="159"/>
      <c r="G35" s="43"/>
      <c r="H35" s="43"/>
      <c r="I35" s="43"/>
    </row>
    <row r="36" spans="5:9" x14ac:dyDescent="0.2">
      <c r="E36" s="159"/>
      <c r="F36" s="159"/>
      <c r="G36" s="43"/>
      <c r="H36" s="43"/>
      <c r="I36" s="43"/>
    </row>
    <row r="37" spans="5:9" x14ac:dyDescent="0.2">
      <c r="E37" s="159"/>
      <c r="F37" s="159"/>
      <c r="G37" s="43"/>
      <c r="H37" s="43"/>
      <c r="I37" s="43"/>
    </row>
    <row r="38" spans="5:9" x14ac:dyDescent="0.2">
      <c r="E38" s="159"/>
      <c r="F38" s="159"/>
      <c r="G38" s="43"/>
      <c r="H38" s="43"/>
      <c r="I38" s="43"/>
    </row>
    <row r="39" spans="5:9" x14ac:dyDescent="0.2">
      <c r="E39" s="159"/>
      <c r="F39" s="159"/>
      <c r="G39" s="43"/>
      <c r="H39" s="43"/>
      <c r="I39" s="43"/>
    </row>
    <row r="40" spans="5:9" x14ac:dyDescent="0.2">
      <c r="E40" s="159"/>
      <c r="F40" s="159"/>
      <c r="G40" s="43"/>
      <c r="H40" s="43"/>
      <c r="I40" s="43"/>
    </row>
    <row r="41" spans="5:9" x14ac:dyDescent="0.2">
      <c r="E41" s="159"/>
      <c r="F41" s="159"/>
      <c r="G41" s="43"/>
      <c r="H41" s="43"/>
      <c r="I41" s="43"/>
    </row>
    <row r="42" spans="5:9" x14ac:dyDescent="0.2">
      <c r="E42" s="56"/>
      <c r="F42" s="56"/>
      <c r="G42" s="43"/>
      <c r="H42" s="43"/>
      <c r="I42" s="43"/>
    </row>
    <row r="43" spans="5:9" x14ac:dyDescent="0.2">
      <c r="E43" s="56"/>
      <c r="F43" s="56"/>
      <c r="G43" s="43"/>
      <c r="H43" s="43"/>
      <c r="I43" s="43"/>
    </row>
    <row r="44" spans="5:9" x14ac:dyDescent="0.2">
      <c r="G44" s="43"/>
      <c r="H44" s="43"/>
      <c r="I44" s="43"/>
    </row>
    <row r="45" spans="5:9" x14ac:dyDescent="0.2">
      <c r="G45" s="43"/>
      <c r="H45" s="43"/>
      <c r="I45" s="43"/>
    </row>
    <row r="46" spans="5:9" x14ac:dyDescent="0.2">
      <c r="G46" s="43"/>
      <c r="H46" s="43"/>
      <c r="I46" s="43"/>
    </row>
    <row r="47" spans="5:9" x14ac:dyDescent="0.2">
      <c r="G47" s="43"/>
      <c r="H47" s="43"/>
      <c r="I47" s="43"/>
    </row>
    <row r="48" spans="5:9" x14ac:dyDescent="0.2">
      <c r="G48" s="43"/>
      <c r="H48" s="43"/>
      <c r="I48" s="43"/>
    </row>
    <row r="49" spans="7:9" x14ac:dyDescent="0.2">
      <c r="G49" s="43"/>
      <c r="H49" s="43"/>
      <c r="I49" s="43"/>
    </row>
  </sheetData>
  <sortState xmlns:xlrd2="http://schemas.microsoft.com/office/spreadsheetml/2017/richdata2" ref="F18:F41">
    <sortCondition ref="F26"/>
  </sortState>
  <mergeCells count="3">
    <mergeCell ref="B1:C1"/>
    <mergeCell ref="A1:A2"/>
    <mergeCell ref="E1:E2"/>
  </mergeCells>
  <conditionalFormatting sqref="B3:C26">
    <cfRule type="cellIs" dxfId="5" priority="1" operator="lessThan">
      <formula>0</formula>
    </cfRule>
    <cfRule type="cellIs" dxfId="4" priority="2" operator="greaterThan">
      <formula>0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4"/>
  <sheetViews>
    <sheetView workbookViewId="0">
      <selection activeCell="H27" sqref="H27"/>
    </sheetView>
  </sheetViews>
  <sheetFormatPr baseColWidth="10" defaultColWidth="8.83203125" defaultRowHeight="15" x14ac:dyDescent="0.2"/>
  <cols>
    <col min="1" max="4" width="14.6640625" style="43" customWidth="1"/>
    <col min="5" max="5" width="8.83203125" style="43"/>
    <col min="6" max="9" width="14.6640625" style="43" customWidth="1"/>
    <col min="10" max="16384" width="8.83203125" style="43"/>
  </cols>
  <sheetData>
    <row r="1" spans="1:9" ht="32" x14ac:dyDescent="0.2">
      <c r="A1" s="3" t="s">
        <v>34</v>
      </c>
      <c r="B1" s="11" t="s">
        <v>36</v>
      </c>
      <c r="C1" s="3" t="s">
        <v>25</v>
      </c>
      <c r="D1" s="3" t="s">
        <v>26</v>
      </c>
      <c r="F1" s="17" t="s">
        <v>39</v>
      </c>
      <c r="G1" s="16" t="s">
        <v>36</v>
      </c>
      <c r="H1" s="3" t="s">
        <v>25</v>
      </c>
      <c r="I1" s="3" t="s">
        <v>26</v>
      </c>
    </row>
    <row r="2" spans="1:9" x14ac:dyDescent="0.2">
      <c r="A2" s="4" t="s">
        <v>35</v>
      </c>
      <c r="B2" s="6">
        <f>'Διαχείριση Σταθμίσεων'!C9</f>
        <v>21912.240000000005</v>
      </c>
      <c r="C2" s="14"/>
      <c r="D2" s="14"/>
      <c r="E2" s="45"/>
      <c r="F2" s="13">
        <v>42137</v>
      </c>
      <c r="G2" s="6">
        <f>B18+H2-I2+B18*0.04/360</f>
        <v>10540.342392580014</v>
      </c>
      <c r="H2" s="6">
        <f>'Ημερολόγιο Συναλλαγών'!H18</f>
        <v>6335.36</v>
      </c>
      <c r="I2" s="6">
        <f>'Ημερολόγιο Συναλλαγών'!H19</f>
        <v>6336.09</v>
      </c>
    </row>
    <row r="3" spans="1:9" x14ac:dyDescent="0.2">
      <c r="A3" s="13">
        <v>42121</v>
      </c>
      <c r="B3" s="6">
        <f>(B2+C3-D3)</f>
        <v>19615.530000000006</v>
      </c>
      <c r="C3" s="6">
        <f>'Ημερολόγιο Συναλλαγών'!H5</f>
        <v>7707.21</v>
      </c>
      <c r="D3" s="6">
        <f>'Ημερολόγιο Συναλλαγών'!H3</f>
        <v>10003.92</v>
      </c>
      <c r="E3" s="45"/>
      <c r="F3" s="13">
        <v>42138</v>
      </c>
      <c r="G3" s="6">
        <f t="shared" ref="G3:G18" si="0">G2+H3-I3+G2*0.04/360</f>
        <v>5981.9935417347451</v>
      </c>
      <c r="H3" s="6">
        <f>'Ημερολόγιο Συναλλαγών'!H23</f>
        <v>3912.48</v>
      </c>
      <c r="I3" s="6">
        <f>'Ημερολόγιο Συναλλαγών'!H22</f>
        <v>8472</v>
      </c>
    </row>
    <row r="4" spans="1:9" x14ac:dyDescent="0.2">
      <c r="A4" s="13">
        <v>42122</v>
      </c>
      <c r="B4" s="6">
        <f t="shared" ref="B4:B14" si="1">(B3+C4-D4)+B3*0.04/360</f>
        <v>19617.709503333339</v>
      </c>
      <c r="C4" s="6">
        <v>0</v>
      </c>
      <c r="D4" s="6">
        <v>0</v>
      </c>
      <c r="E4" s="45"/>
      <c r="F4" s="13">
        <v>42139</v>
      </c>
      <c r="G4" s="6">
        <f t="shared" si="0"/>
        <v>5982.6582076838267</v>
      </c>
      <c r="H4" s="6">
        <v>0</v>
      </c>
      <c r="I4" s="6">
        <v>0</v>
      </c>
    </row>
    <row r="5" spans="1:9" x14ac:dyDescent="0.2">
      <c r="A5" s="13">
        <v>42123</v>
      </c>
      <c r="B5" s="6">
        <f t="shared" si="1"/>
        <v>29121.689248833703</v>
      </c>
      <c r="C5" s="6">
        <f>'Ημερολόγιο Συναλλαγών'!H9</f>
        <v>14504.199999999999</v>
      </c>
      <c r="D5" s="6">
        <f>'Ημερολόγιο Συναλλαγών'!H10</f>
        <v>5002.4000000000005</v>
      </c>
      <c r="E5" s="45"/>
      <c r="F5" s="13">
        <v>42140</v>
      </c>
      <c r="G5" s="6">
        <f t="shared" si="0"/>
        <v>5983.3229474846803</v>
      </c>
      <c r="H5" s="6">
        <v>0</v>
      </c>
      <c r="I5" s="6">
        <v>0</v>
      </c>
    </row>
    <row r="6" spans="1:9" x14ac:dyDescent="0.2">
      <c r="A6" s="13">
        <v>42124</v>
      </c>
      <c r="B6" s="6">
        <f t="shared" si="1"/>
        <v>29124.924992083575</v>
      </c>
      <c r="C6" s="6">
        <v>0</v>
      </c>
      <c r="D6" s="6">
        <v>0</v>
      </c>
      <c r="E6" s="45"/>
      <c r="F6" s="13">
        <v>42141</v>
      </c>
      <c r="G6" s="6">
        <f t="shared" si="0"/>
        <v>5983.9877611455122</v>
      </c>
      <c r="H6" s="6">
        <v>0</v>
      </c>
      <c r="I6" s="6">
        <v>0</v>
      </c>
    </row>
    <row r="7" spans="1:9" x14ac:dyDescent="0.2">
      <c r="A7" s="13">
        <v>42125</v>
      </c>
      <c r="B7" s="6">
        <f t="shared" si="1"/>
        <v>29128.161094860472</v>
      </c>
      <c r="C7" s="6">
        <v>0</v>
      </c>
      <c r="D7" s="6">
        <v>0</v>
      </c>
      <c r="E7" s="45"/>
      <c r="F7" s="13">
        <v>42142</v>
      </c>
      <c r="G7" s="6">
        <f t="shared" si="0"/>
        <v>5984.6526486745288</v>
      </c>
      <c r="H7" s="6">
        <v>0</v>
      </c>
      <c r="I7" s="6">
        <v>0</v>
      </c>
    </row>
    <row r="8" spans="1:9" x14ac:dyDescent="0.2">
      <c r="A8" s="13">
        <v>42126</v>
      </c>
      <c r="B8" s="6">
        <f t="shared" si="1"/>
        <v>29131.397557204346</v>
      </c>
      <c r="C8" s="6">
        <v>0</v>
      </c>
      <c r="D8" s="6">
        <v>0</v>
      </c>
      <c r="E8" s="45"/>
      <c r="F8" s="13">
        <v>42143</v>
      </c>
      <c r="G8" s="6">
        <f t="shared" si="0"/>
        <v>5981.3176100799365</v>
      </c>
      <c r="H8" s="6">
        <f>'Ημερολόγιο Συναλλαγών'!H27</f>
        <v>9500</v>
      </c>
      <c r="I8" s="6">
        <f>'Ημερολόγιο Συναλλαγών'!H28</f>
        <v>9504</v>
      </c>
    </row>
    <row r="9" spans="1:9" x14ac:dyDescent="0.2">
      <c r="A9" s="13">
        <v>42127</v>
      </c>
      <c r="B9" s="6">
        <f t="shared" si="1"/>
        <v>29134.634379155144</v>
      </c>
      <c r="C9" s="6">
        <v>0</v>
      </c>
      <c r="D9" s="6">
        <v>0</v>
      </c>
      <c r="E9" s="45"/>
      <c r="F9" s="13">
        <v>42144</v>
      </c>
      <c r="G9" s="6">
        <f t="shared" si="0"/>
        <v>7265.2922009255017</v>
      </c>
      <c r="H9" s="6">
        <f>'Ημερολόγιο Συναλλαγών'!H29</f>
        <v>1283.31</v>
      </c>
      <c r="I9" s="6">
        <v>0</v>
      </c>
    </row>
    <row r="10" spans="1:9" x14ac:dyDescent="0.2">
      <c r="A10" s="13">
        <v>42128</v>
      </c>
      <c r="B10" s="6">
        <f t="shared" si="1"/>
        <v>9137.5315607528319</v>
      </c>
      <c r="C10" s="6">
        <v>0</v>
      </c>
      <c r="D10" s="6">
        <f>'Ημερολόγιο Συναλλαγών'!H13</f>
        <v>20000.339999999997</v>
      </c>
      <c r="E10" s="45"/>
      <c r="F10" s="13">
        <v>42145</v>
      </c>
      <c r="G10" s="6">
        <f t="shared" si="0"/>
        <v>7266.0994556144933</v>
      </c>
      <c r="H10" s="6">
        <v>0</v>
      </c>
      <c r="I10" s="6">
        <v>0</v>
      </c>
    </row>
    <row r="11" spans="1:9" x14ac:dyDescent="0.2">
      <c r="A11" s="13">
        <v>42129</v>
      </c>
      <c r="B11" s="6">
        <f t="shared" si="1"/>
        <v>9138.54684203736</v>
      </c>
      <c r="C11" s="6">
        <v>0</v>
      </c>
      <c r="D11" s="6">
        <v>0</v>
      </c>
      <c r="E11" s="45"/>
      <c r="F11" s="13">
        <v>42146</v>
      </c>
      <c r="G11" s="6">
        <f t="shared" si="0"/>
        <v>7266.9067999984509</v>
      </c>
      <c r="H11" s="6">
        <v>0</v>
      </c>
      <c r="I11" s="6">
        <v>0</v>
      </c>
    </row>
    <row r="12" spans="1:9" x14ac:dyDescent="0.2">
      <c r="A12" s="13">
        <v>42130</v>
      </c>
      <c r="B12" s="6">
        <f t="shared" si="1"/>
        <v>9139.5622361309197</v>
      </c>
      <c r="C12" s="6">
        <v>0</v>
      </c>
      <c r="D12" s="6">
        <v>0</v>
      </c>
      <c r="E12" s="45"/>
      <c r="F12" s="13">
        <v>42147</v>
      </c>
      <c r="G12" s="6">
        <f t="shared" si="0"/>
        <v>7267.7142340873397</v>
      </c>
      <c r="H12" s="6">
        <v>0</v>
      </c>
      <c r="I12" s="6">
        <v>0</v>
      </c>
    </row>
    <row r="13" spans="1:9" x14ac:dyDescent="0.2">
      <c r="A13" s="13">
        <v>42131</v>
      </c>
      <c r="B13" s="6">
        <f t="shared" si="1"/>
        <v>10534.047743046045</v>
      </c>
      <c r="C13" s="6">
        <f>'Ημερολόγιο Συναλλαγών'!I15*'Ημερολόγιο Συναλλαγών'!H15</f>
        <v>1393.47</v>
      </c>
      <c r="D13" s="6">
        <v>0</v>
      </c>
      <c r="E13" s="45"/>
      <c r="F13" s="13">
        <v>42148</v>
      </c>
      <c r="G13" s="6">
        <f t="shared" si="0"/>
        <v>7268.521757891127</v>
      </c>
      <c r="H13" s="6">
        <v>0</v>
      </c>
      <c r="I13" s="6">
        <v>0</v>
      </c>
    </row>
    <row r="14" spans="1:9" x14ac:dyDescent="0.2">
      <c r="A14" s="13">
        <v>42132</v>
      </c>
      <c r="B14" s="6">
        <f t="shared" si="1"/>
        <v>10535.218192795272</v>
      </c>
      <c r="C14" s="6">
        <v>0</v>
      </c>
      <c r="D14" s="6">
        <v>0</v>
      </c>
      <c r="E14" s="45"/>
      <c r="F14" s="13">
        <v>42149</v>
      </c>
      <c r="G14" s="6">
        <f t="shared" si="0"/>
        <v>7269.3293714197816</v>
      </c>
      <c r="H14" s="6">
        <v>0</v>
      </c>
      <c r="I14" s="6">
        <v>0</v>
      </c>
    </row>
    <row r="15" spans="1:9" x14ac:dyDescent="0.2">
      <c r="A15" s="13">
        <v>42133</v>
      </c>
      <c r="B15" s="6">
        <f t="shared" ref="B15" si="2">(B14+C15-D15)+B14*0.04/360</f>
        <v>10536.388772594471</v>
      </c>
      <c r="C15" s="6">
        <v>0</v>
      </c>
      <c r="D15" s="6">
        <v>0</v>
      </c>
      <c r="E15" s="45"/>
      <c r="F15" s="13">
        <v>42150</v>
      </c>
      <c r="G15" s="6">
        <f t="shared" si="0"/>
        <v>8238.5370746832741</v>
      </c>
      <c r="H15" s="6">
        <f>'Ημερολόγιο Συναλλαγών'!H31</f>
        <v>968.4</v>
      </c>
      <c r="I15" s="6">
        <v>0</v>
      </c>
    </row>
    <row r="16" spans="1:9" x14ac:dyDescent="0.2">
      <c r="A16" s="13">
        <v>42134</v>
      </c>
      <c r="B16" s="6">
        <f>(B15+C16-D16)+B15*0.04/360</f>
        <v>10537.559482458093</v>
      </c>
      <c r="C16" s="6">
        <v>0</v>
      </c>
      <c r="D16" s="6">
        <v>0</v>
      </c>
      <c r="E16" s="45"/>
      <c r="F16" s="13">
        <v>42151</v>
      </c>
      <c r="G16" s="6">
        <f t="shared" si="0"/>
        <v>8239.4524676915717</v>
      </c>
      <c r="H16" s="6">
        <v>0</v>
      </c>
      <c r="I16" s="6">
        <v>0</v>
      </c>
    </row>
    <row r="17" spans="1:9" x14ac:dyDescent="0.2">
      <c r="A17" s="13">
        <v>42135</v>
      </c>
      <c r="B17" s="6">
        <f>(B16+C17-D17)+B16*0.04/360</f>
        <v>10538.730322400588</v>
      </c>
      <c r="C17" s="6">
        <v>0</v>
      </c>
      <c r="D17" s="6">
        <v>0</v>
      </c>
      <c r="E17" s="45"/>
      <c r="F17" s="13">
        <v>42152</v>
      </c>
      <c r="G17" s="6">
        <f t="shared" si="0"/>
        <v>8240.3679624102042</v>
      </c>
      <c r="H17" s="6">
        <v>0</v>
      </c>
      <c r="I17" s="6">
        <v>0</v>
      </c>
    </row>
    <row r="18" spans="1:9" x14ac:dyDescent="0.2">
      <c r="A18" s="13">
        <v>42136</v>
      </c>
      <c r="B18" s="6">
        <f>(B17+C18-D18)+B17*0.04/360</f>
        <v>10539.901292436411</v>
      </c>
      <c r="C18" s="6">
        <v>0</v>
      </c>
      <c r="D18" s="6">
        <v>0</v>
      </c>
      <c r="E18" s="45"/>
      <c r="F18" s="13">
        <v>42153</v>
      </c>
      <c r="G18" s="6">
        <f t="shared" si="0"/>
        <v>8241.2835588504713</v>
      </c>
      <c r="H18" s="6">
        <v>0</v>
      </c>
      <c r="I18" s="6">
        <v>0</v>
      </c>
    </row>
    <row r="21" spans="1:9" x14ac:dyDescent="0.2">
      <c r="F21" s="47"/>
      <c r="G21" s="47"/>
    </row>
    <row r="24" spans="1:9" x14ac:dyDescent="0.2">
      <c r="G24" s="47"/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1"/>
  <sheetViews>
    <sheetView topLeftCell="A12" zoomScale="70" zoomScaleNormal="70" zoomScalePageLayoutView="70" workbookViewId="0">
      <selection sqref="A1:C1"/>
    </sheetView>
  </sheetViews>
  <sheetFormatPr baseColWidth="10" defaultColWidth="8.83203125" defaultRowHeight="15" x14ac:dyDescent="0.2"/>
  <cols>
    <col min="1" max="6" width="8.83203125" style="43"/>
    <col min="7" max="10" width="28.6640625" style="43" customWidth="1"/>
    <col min="11" max="17" width="8.83203125" style="43"/>
    <col min="18" max="21" width="14.6640625" style="43" customWidth="1"/>
    <col min="22" max="22" width="8.83203125" style="43"/>
    <col min="23" max="26" width="14.6640625" style="43" customWidth="1"/>
    <col min="27" max="16384" width="8.83203125" style="43"/>
  </cols>
  <sheetData>
    <row r="1" spans="1:17" ht="30" customHeight="1" x14ac:dyDescent="0.2">
      <c r="A1" s="183" t="s">
        <v>108</v>
      </c>
      <c r="B1" s="183"/>
      <c r="C1" s="183"/>
      <c r="D1" s="183" t="s">
        <v>66</v>
      </c>
      <c r="E1" s="183"/>
      <c r="F1" s="183"/>
      <c r="G1" s="73" t="s">
        <v>21</v>
      </c>
      <c r="H1" s="73" t="s">
        <v>22</v>
      </c>
      <c r="I1" s="73" t="s">
        <v>10</v>
      </c>
      <c r="J1" s="73" t="s">
        <v>23</v>
      </c>
      <c r="K1" s="183" t="s">
        <v>24</v>
      </c>
      <c r="L1" s="183"/>
      <c r="M1" s="183"/>
      <c r="N1" s="183"/>
      <c r="O1" s="183"/>
      <c r="P1" s="183"/>
      <c r="Q1" s="52"/>
    </row>
    <row r="2" spans="1:17" s="45" customFormat="1" ht="30" customHeight="1" x14ac:dyDescent="0.2">
      <c r="A2" s="235" t="s">
        <v>109</v>
      </c>
      <c r="B2" s="235"/>
      <c r="C2" s="235"/>
      <c r="D2" s="221" t="s">
        <v>20</v>
      </c>
      <c r="E2" s="221"/>
      <c r="F2" s="221"/>
      <c r="G2" s="109" t="s">
        <v>27</v>
      </c>
      <c r="H2" s="110">
        <v>8.76</v>
      </c>
      <c r="I2" s="111">
        <v>1142</v>
      </c>
      <c r="J2" s="112">
        <v>42121.627083333333</v>
      </c>
      <c r="K2" s="222" t="s">
        <v>33</v>
      </c>
      <c r="L2" s="222"/>
      <c r="M2" s="222"/>
      <c r="N2" s="222"/>
      <c r="O2" s="222"/>
      <c r="P2" s="222"/>
      <c r="Q2" s="53"/>
    </row>
    <row r="3" spans="1:17" s="45" customFormat="1" ht="30" customHeight="1" x14ac:dyDescent="0.2">
      <c r="A3" s="235"/>
      <c r="B3" s="235"/>
      <c r="C3" s="235"/>
      <c r="D3" s="222" t="s">
        <v>17</v>
      </c>
      <c r="E3" s="222"/>
      <c r="F3" s="222"/>
      <c r="G3" s="109" t="s">
        <v>26</v>
      </c>
      <c r="H3" s="110">
        <f>H2*I2</f>
        <v>10003.92</v>
      </c>
      <c r="I3" s="111"/>
      <c r="J3" s="112">
        <v>42121.627083333333</v>
      </c>
      <c r="K3" s="222" t="s">
        <v>28</v>
      </c>
      <c r="L3" s="222"/>
      <c r="M3" s="222"/>
      <c r="N3" s="222"/>
      <c r="O3" s="222"/>
      <c r="P3" s="222"/>
      <c r="Q3" s="53"/>
    </row>
    <row r="4" spans="1:17" s="45" customFormat="1" ht="30" customHeight="1" x14ac:dyDescent="0.2">
      <c r="A4" s="235"/>
      <c r="B4" s="235"/>
      <c r="C4" s="235"/>
      <c r="D4" s="221" t="s">
        <v>11</v>
      </c>
      <c r="E4" s="221"/>
      <c r="F4" s="221"/>
      <c r="G4" s="109" t="s">
        <v>29</v>
      </c>
      <c r="H4" s="110">
        <v>7.49</v>
      </c>
      <c r="I4" s="111">
        <v>1029</v>
      </c>
      <c r="J4" s="112">
        <v>42121.729166666664</v>
      </c>
      <c r="K4" s="222" t="s">
        <v>30</v>
      </c>
      <c r="L4" s="222"/>
      <c r="M4" s="222"/>
      <c r="N4" s="222"/>
      <c r="O4" s="222"/>
      <c r="P4" s="222"/>
      <c r="Q4" s="53"/>
    </row>
    <row r="5" spans="1:17" s="45" customFormat="1" ht="30" customHeight="1" x14ac:dyDescent="0.2">
      <c r="A5" s="235"/>
      <c r="B5" s="235"/>
      <c r="C5" s="235"/>
      <c r="D5" s="222" t="s">
        <v>17</v>
      </c>
      <c r="E5" s="222"/>
      <c r="F5" s="222"/>
      <c r="G5" s="109" t="s">
        <v>31</v>
      </c>
      <c r="H5" s="110">
        <f>H4*I4</f>
        <v>7707.21</v>
      </c>
      <c r="I5" s="111"/>
      <c r="J5" s="112">
        <v>42121.729166666664</v>
      </c>
      <c r="K5" s="222" t="s">
        <v>32</v>
      </c>
      <c r="L5" s="222"/>
      <c r="M5" s="222"/>
      <c r="N5" s="222"/>
      <c r="O5" s="222"/>
      <c r="P5" s="222"/>
      <c r="Q5" s="53"/>
    </row>
    <row r="6" spans="1:17" s="45" customFormat="1" ht="30" customHeight="1" x14ac:dyDescent="0.2">
      <c r="A6" s="246" t="s">
        <v>110</v>
      </c>
      <c r="B6" s="246"/>
      <c r="C6" s="246"/>
      <c r="D6" s="219" t="s">
        <v>20</v>
      </c>
      <c r="E6" s="219"/>
      <c r="F6" s="219"/>
      <c r="G6" s="125" t="s">
        <v>29</v>
      </c>
      <c r="H6" s="126">
        <v>8.75</v>
      </c>
      <c r="I6" s="127">
        <v>686</v>
      </c>
      <c r="J6" s="128">
        <v>42123.729166666664</v>
      </c>
      <c r="K6" s="220" t="s">
        <v>43</v>
      </c>
      <c r="L6" s="220"/>
      <c r="M6" s="220"/>
      <c r="N6" s="220"/>
      <c r="O6" s="220"/>
      <c r="P6" s="220"/>
      <c r="Q6" s="53"/>
    </row>
    <row r="7" spans="1:17" s="45" customFormat="1" ht="30" customHeight="1" x14ac:dyDescent="0.2">
      <c r="A7" s="246"/>
      <c r="B7" s="246"/>
      <c r="C7" s="246"/>
      <c r="D7" s="219" t="s">
        <v>12</v>
      </c>
      <c r="E7" s="219"/>
      <c r="F7" s="219"/>
      <c r="G7" s="125" t="s">
        <v>29</v>
      </c>
      <c r="H7" s="126">
        <v>5.0999999999999996</v>
      </c>
      <c r="I7" s="127">
        <v>1667</v>
      </c>
      <c r="J7" s="128">
        <v>42123.729166666664</v>
      </c>
      <c r="K7" s="220" t="s">
        <v>43</v>
      </c>
      <c r="L7" s="220"/>
      <c r="M7" s="220"/>
      <c r="N7" s="220"/>
      <c r="O7" s="220"/>
      <c r="P7" s="220"/>
      <c r="Q7" s="53"/>
    </row>
    <row r="8" spans="1:17" s="45" customFormat="1" ht="30" customHeight="1" x14ac:dyDescent="0.2">
      <c r="A8" s="246"/>
      <c r="B8" s="246"/>
      <c r="C8" s="246"/>
      <c r="D8" s="219" t="s">
        <v>42</v>
      </c>
      <c r="E8" s="219"/>
      <c r="F8" s="219"/>
      <c r="G8" s="125" t="s">
        <v>27</v>
      </c>
      <c r="H8" s="126">
        <v>10.4</v>
      </c>
      <c r="I8" s="127">
        <v>481</v>
      </c>
      <c r="J8" s="128">
        <v>42123.729166666664</v>
      </c>
      <c r="K8" s="220" t="s">
        <v>44</v>
      </c>
      <c r="L8" s="220"/>
      <c r="M8" s="220"/>
      <c r="N8" s="220"/>
      <c r="O8" s="220"/>
      <c r="P8" s="220"/>
      <c r="Q8" s="53"/>
    </row>
    <row r="9" spans="1:17" s="45" customFormat="1" ht="30" customHeight="1" x14ac:dyDescent="0.2">
      <c r="A9" s="246"/>
      <c r="B9" s="246"/>
      <c r="C9" s="246"/>
      <c r="D9" s="220" t="s">
        <v>17</v>
      </c>
      <c r="E9" s="220"/>
      <c r="F9" s="220"/>
      <c r="G9" s="125" t="s">
        <v>31</v>
      </c>
      <c r="H9" s="126">
        <f>H6*I6+H7*I7</f>
        <v>14504.199999999999</v>
      </c>
      <c r="I9" s="127"/>
      <c r="J9" s="128">
        <v>42123.729166666664</v>
      </c>
      <c r="K9" s="220" t="s">
        <v>45</v>
      </c>
      <c r="L9" s="220"/>
      <c r="M9" s="220"/>
      <c r="N9" s="220"/>
      <c r="O9" s="220"/>
      <c r="P9" s="220"/>
      <c r="Q9" s="53"/>
    </row>
    <row r="10" spans="1:17" s="45" customFormat="1" ht="30" customHeight="1" x14ac:dyDescent="0.2">
      <c r="A10" s="246"/>
      <c r="B10" s="246"/>
      <c r="C10" s="246"/>
      <c r="D10" s="220" t="s">
        <v>17</v>
      </c>
      <c r="E10" s="220"/>
      <c r="F10" s="220"/>
      <c r="G10" s="125" t="s">
        <v>26</v>
      </c>
      <c r="H10" s="126">
        <f>H8*I8</f>
        <v>5002.4000000000005</v>
      </c>
      <c r="I10" s="127"/>
      <c r="J10" s="128">
        <v>42123.729166666664</v>
      </c>
      <c r="K10" s="220" t="s">
        <v>46</v>
      </c>
      <c r="L10" s="220"/>
      <c r="M10" s="220"/>
      <c r="N10" s="220"/>
      <c r="O10" s="220"/>
      <c r="P10" s="220"/>
      <c r="Q10" s="53"/>
    </row>
    <row r="11" spans="1:17" s="45" customFormat="1" ht="30" customHeight="1" x14ac:dyDescent="0.2">
      <c r="A11" s="247" t="s">
        <v>111</v>
      </c>
      <c r="B11" s="247"/>
      <c r="C11" s="247"/>
      <c r="D11" s="225" t="s">
        <v>13</v>
      </c>
      <c r="E11" s="225"/>
      <c r="F11" s="225"/>
      <c r="G11" s="121" t="s">
        <v>27</v>
      </c>
      <c r="H11" s="122">
        <v>17.3</v>
      </c>
      <c r="I11" s="123">
        <v>578</v>
      </c>
      <c r="J11" s="124">
        <v>42128.480555555558</v>
      </c>
      <c r="K11" s="225" t="s">
        <v>47</v>
      </c>
      <c r="L11" s="225"/>
      <c r="M11" s="225"/>
      <c r="N11" s="225"/>
      <c r="O11" s="225"/>
      <c r="P11" s="225"/>
      <c r="Q11" s="53"/>
    </row>
    <row r="12" spans="1:17" s="45" customFormat="1" ht="30" customHeight="1" x14ac:dyDescent="0.2">
      <c r="A12" s="247"/>
      <c r="B12" s="247"/>
      <c r="C12" s="247"/>
      <c r="D12" s="225" t="s">
        <v>16</v>
      </c>
      <c r="E12" s="225"/>
      <c r="F12" s="225"/>
      <c r="G12" s="121" t="s">
        <v>27</v>
      </c>
      <c r="H12" s="122">
        <v>4.01</v>
      </c>
      <c r="I12" s="123">
        <v>2494</v>
      </c>
      <c r="J12" s="124">
        <v>42128.480555555558</v>
      </c>
      <c r="K12" s="225" t="s">
        <v>47</v>
      </c>
      <c r="L12" s="225"/>
      <c r="M12" s="225"/>
      <c r="N12" s="225"/>
      <c r="O12" s="225"/>
      <c r="P12" s="225"/>
      <c r="Q12" s="53"/>
    </row>
    <row r="13" spans="1:17" s="45" customFormat="1" ht="30" customHeight="1" x14ac:dyDescent="0.2">
      <c r="A13" s="247"/>
      <c r="B13" s="247"/>
      <c r="C13" s="247"/>
      <c r="D13" s="225" t="s">
        <v>17</v>
      </c>
      <c r="E13" s="225"/>
      <c r="F13" s="225"/>
      <c r="G13" s="121" t="s">
        <v>26</v>
      </c>
      <c r="H13" s="122">
        <f>H12*I12+I11*H11</f>
        <v>20000.339999999997</v>
      </c>
      <c r="I13" s="123"/>
      <c r="J13" s="124">
        <v>42128.480555555558</v>
      </c>
      <c r="K13" s="225" t="s">
        <v>48</v>
      </c>
      <c r="L13" s="225"/>
      <c r="M13" s="225"/>
      <c r="N13" s="225"/>
      <c r="O13" s="225"/>
      <c r="P13" s="225"/>
      <c r="Q13" s="53"/>
    </row>
    <row r="14" spans="1:17" s="45" customFormat="1" ht="30" customHeight="1" x14ac:dyDescent="0.2">
      <c r="A14" s="249" t="s">
        <v>117</v>
      </c>
      <c r="B14" s="249"/>
      <c r="C14" s="249"/>
      <c r="D14" s="224" t="s">
        <v>84</v>
      </c>
      <c r="E14" s="224"/>
      <c r="F14" s="224"/>
      <c r="G14" s="92" t="s">
        <v>31</v>
      </c>
      <c r="H14" s="93">
        <f>1.755*'Περιεχόμενο Χαρτοφυλακίου'!J6</f>
        <v>1393.47</v>
      </c>
      <c r="I14" s="94"/>
      <c r="J14" s="95">
        <v>42129</v>
      </c>
      <c r="K14" s="224" t="s">
        <v>104</v>
      </c>
      <c r="L14" s="224"/>
      <c r="M14" s="224"/>
      <c r="N14" s="224"/>
      <c r="O14" s="224"/>
      <c r="P14" s="224"/>
      <c r="Q14" s="53"/>
    </row>
    <row r="15" spans="1:17" s="45" customFormat="1" ht="30" customHeight="1" x14ac:dyDescent="0.2">
      <c r="A15" s="249"/>
      <c r="B15" s="249"/>
      <c r="C15" s="249"/>
      <c r="D15" s="224" t="s">
        <v>17</v>
      </c>
      <c r="E15" s="224"/>
      <c r="F15" s="224"/>
      <c r="G15" s="92" t="s">
        <v>31</v>
      </c>
      <c r="H15" s="129">
        <v>1.7549999999999999</v>
      </c>
      <c r="I15" s="94">
        <f>'Περιεχόμενο Χαρτοφυλακίου'!J6</f>
        <v>794</v>
      </c>
      <c r="J15" s="95">
        <v>42131.395833333336</v>
      </c>
      <c r="K15" s="224" t="s">
        <v>65</v>
      </c>
      <c r="L15" s="224"/>
      <c r="M15" s="224"/>
      <c r="N15" s="224"/>
      <c r="O15" s="224"/>
      <c r="P15" s="224"/>
      <c r="Q15" s="53"/>
    </row>
    <row r="16" spans="1:17" s="45" customFormat="1" ht="30" customHeight="1" x14ac:dyDescent="0.2">
      <c r="A16" s="248" t="s">
        <v>112</v>
      </c>
      <c r="B16" s="248"/>
      <c r="C16" s="248"/>
      <c r="D16" s="223" t="s">
        <v>12</v>
      </c>
      <c r="E16" s="223"/>
      <c r="F16" s="223"/>
      <c r="G16" s="96" t="s">
        <v>29</v>
      </c>
      <c r="H16" s="97">
        <v>5.21</v>
      </c>
      <c r="I16" s="98">
        <v>1216</v>
      </c>
      <c r="J16" s="99">
        <v>42136.456944444442</v>
      </c>
      <c r="K16" s="223" t="s">
        <v>78</v>
      </c>
      <c r="L16" s="223"/>
      <c r="M16" s="223"/>
      <c r="N16" s="223"/>
      <c r="O16" s="223"/>
      <c r="P16" s="223"/>
      <c r="Q16" s="53"/>
    </row>
    <row r="17" spans="1:17" s="45" customFormat="1" ht="30" customHeight="1" x14ac:dyDescent="0.2">
      <c r="A17" s="248"/>
      <c r="B17" s="248"/>
      <c r="C17" s="248"/>
      <c r="D17" s="223" t="s">
        <v>11</v>
      </c>
      <c r="E17" s="223"/>
      <c r="F17" s="223"/>
      <c r="G17" s="96" t="s">
        <v>27</v>
      </c>
      <c r="H17" s="97">
        <v>7.57</v>
      </c>
      <c r="I17" s="98">
        <v>837</v>
      </c>
      <c r="J17" s="99">
        <v>42136.456944444442</v>
      </c>
      <c r="K17" s="223" t="s">
        <v>79</v>
      </c>
      <c r="L17" s="223"/>
      <c r="M17" s="223"/>
      <c r="N17" s="223"/>
      <c r="O17" s="223"/>
      <c r="P17" s="223"/>
      <c r="Q17" s="53"/>
    </row>
    <row r="18" spans="1:17" s="45" customFormat="1" ht="30" customHeight="1" x14ac:dyDescent="0.2">
      <c r="A18" s="248"/>
      <c r="B18" s="248"/>
      <c r="C18" s="248"/>
      <c r="D18" s="223" t="s">
        <v>17</v>
      </c>
      <c r="E18" s="223"/>
      <c r="F18" s="223"/>
      <c r="G18" s="96" t="s">
        <v>31</v>
      </c>
      <c r="H18" s="97">
        <f>H16*I16</f>
        <v>6335.36</v>
      </c>
      <c r="I18" s="98"/>
      <c r="J18" s="99">
        <v>42136.456944444442</v>
      </c>
      <c r="K18" s="223" t="s">
        <v>80</v>
      </c>
      <c r="L18" s="223"/>
      <c r="M18" s="223"/>
      <c r="N18" s="223"/>
      <c r="O18" s="223"/>
      <c r="P18" s="223"/>
      <c r="Q18" s="53"/>
    </row>
    <row r="19" spans="1:17" s="45" customFormat="1" ht="30" customHeight="1" x14ac:dyDescent="0.2">
      <c r="A19" s="248"/>
      <c r="B19" s="248"/>
      <c r="C19" s="248"/>
      <c r="D19" s="223" t="s">
        <v>17</v>
      </c>
      <c r="E19" s="223"/>
      <c r="F19" s="223"/>
      <c r="G19" s="96" t="s">
        <v>26</v>
      </c>
      <c r="H19" s="97">
        <f>H17*I17</f>
        <v>6336.09</v>
      </c>
      <c r="I19" s="98"/>
      <c r="J19" s="99">
        <v>42136.456944444442</v>
      </c>
      <c r="K19" s="223" t="s">
        <v>81</v>
      </c>
      <c r="L19" s="223"/>
      <c r="M19" s="223"/>
      <c r="N19" s="223"/>
      <c r="O19" s="223"/>
      <c r="P19" s="223"/>
      <c r="Q19" s="53"/>
    </row>
    <row r="20" spans="1:17" s="45" customFormat="1" ht="30" customHeight="1" x14ac:dyDescent="0.2">
      <c r="A20" s="235" t="s">
        <v>114</v>
      </c>
      <c r="B20" s="235"/>
      <c r="C20" s="235"/>
      <c r="D20" s="222" t="s">
        <v>11</v>
      </c>
      <c r="E20" s="222"/>
      <c r="F20" s="222"/>
      <c r="G20" s="109" t="s">
        <v>27</v>
      </c>
      <c r="H20" s="110">
        <v>7.06</v>
      </c>
      <c r="I20" s="111">
        <v>1200</v>
      </c>
      <c r="J20" s="112">
        <v>42138.451388888891</v>
      </c>
      <c r="K20" s="222"/>
      <c r="L20" s="222"/>
      <c r="M20" s="222"/>
      <c r="N20" s="222"/>
      <c r="O20" s="222"/>
      <c r="P20" s="222"/>
      <c r="Q20" s="53"/>
    </row>
    <row r="21" spans="1:17" s="45" customFormat="1" ht="30" customHeight="1" x14ac:dyDescent="0.2">
      <c r="A21" s="235"/>
      <c r="B21" s="235"/>
      <c r="C21" s="235"/>
      <c r="D21" s="222" t="s">
        <v>20</v>
      </c>
      <c r="E21" s="222"/>
      <c r="F21" s="222"/>
      <c r="G21" s="109" t="s">
        <v>29</v>
      </c>
      <c r="H21" s="110">
        <v>8.58</v>
      </c>
      <c r="I21" s="111">
        <v>456</v>
      </c>
      <c r="J21" s="112">
        <v>42138.451388888891</v>
      </c>
      <c r="K21" s="222"/>
      <c r="L21" s="222"/>
      <c r="M21" s="222"/>
      <c r="N21" s="222"/>
      <c r="O21" s="222"/>
      <c r="P21" s="222"/>
      <c r="Q21" s="53"/>
    </row>
    <row r="22" spans="1:17" s="45" customFormat="1" ht="30" customHeight="1" x14ac:dyDescent="0.2">
      <c r="A22" s="235"/>
      <c r="B22" s="235"/>
      <c r="C22" s="235"/>
      <c r="D22" s="232" t="s">
        <v>17</v>
      </c>
      <c r="E22" s="233"/>
      <c r="F22" s="233"/>
      <c r="G22" s="113" t="s">
        <v>26</v>
      </c>
      <c r="H22" s="114">
        <f>H20*I20</f>
        <v>8472</v>
      </c>
      <c r="I22" s="115"/>
      <c r="J22" s="116">
        <v>42138.451388888891</v>
      </c>
      <c r="K22" s="233" t="s">
        <v>81</v>
      </c>
      <c r="L22" s="233"/>
      <c r="M22" s="233"/>
      <c r="N22" s="233"/>
      <c r="O22" s="233"/>
      <c r="P22" s="233"/>
      <c r="Q22" s="53"/>
    </row>
    <row r="23" spans="1:17" ht="30" customHeight="1" x14ac:dyDescent="0.2">
      <c r="A23" s="235"/>
      <c r="B23" s="235"/>
      <c r="C23" s="235"/>
      <c r="D23" s="234" t="s">
        <v>17</v>
      </c>
      <c r="E23" s="235"/>
      <c r="F23" s="235"/>
      <c r="G23" s="117" t="s">
        <v>31</v>
      </c>
      <c r="H23" s="118">
        <f>H21*I21</f>
        <v>3912.48</v>
      </c>
      <c r="I23" s="119"/>
      <c r="J23" s="120">
        <v>42138.451388888891</v>
      </c>
      <c r="K23" s="235" t="s">
        <v>83</v>
      </c>
      <c r="L23" s="235"/>
      <c r="M23" s="235"/>
      <c r="N23" s="235"/>
      <c r="O23" s="235"/>
      <c r="P23" s="235"/>
    </row>
    <row r="24" spans="1:17" ht="30" customHeight="1" x14ac:dyDescent="0.2">
      <c r="A24" s="250" t="s">
        <v>115</v>
      </c>
      <c r="B24" s="250"/>
      <c r="C24" s="250"/>
      <c r="D24" s="236" t="s">
        <v>84</v>
      </c>
      <c r="E24" s="237"/>
      <c r="F24" s="237"/>
      <c r="G24" s="85" t="s">
        <v>31</v>
      </c>
      <c r="H24" s="108">
        <f>'Περιεχόμενο Χαρτοφυλακίου'!H27*0.63</f>
        <v>1283.31</v>
      </c>
      <c r="I24" s="86"/>
      <c r="J24" s="87">
        <v>42139</v>
      </c>
      <c r="K24" s="237" t="s">
        <v>85</v>
      </c>
      <c r="L24" s="237"/>
      <c r="M24" s="237"/>
      <c r="N24" s="237"/>
      <c r="O24" s="237"/>
      <c r="P24" s="237"/>
    </row>
    <row r="25" spans="1:17" ht="30" customHeight="1" x14ac:dyDescent="0.2">
      <c r="A25" s="251" t="s">
        <v>113</v>
      </c>
      <c r="B25" s="252"/>
      <c r="C25" s="253"/>
      <c r="D25" s="226" t="s">
        <v>13</v>
      </c>
      <c r="E25" s="227"/>
      <c r="F25" s="228"/>
      <c r="G25" s="100" t="s">
        <v>29</v>
      </c>
      <c r="H25" s="101">
        <v>19</v>
      </c>
      <c r="I25" s="102">
        <v>500</v>
      </c>
      <c r="J25" s="103">
        <v>42143.506944444445</v>
      </c>
      <c r="K25" s="226" t="s">
        <v>86</v>
      </c>
      <c r="L25" s="227"/>
      <c r="M25" s="227"/>
      <c r="N25" s="227"/>
      <c r="O25" s="227"/>
      <c r="P25" s="228"/>
    </row>
    <row r="26" spans="1:17" ht="30" customHeight="1" x14ac:dyDescent="0.2">
      <c r="A26" s="254"/>
      <c r="B26" s="255"/>
      <c r="C26" s="256"/>
      <c r="D26" s="226" t="s">
        <v>42</v>
      </c>
      <c r="E26" s="227"/>
      <c r="F26" s="228"/>
      <c r="G26" s="100" t="s">
        <v>27</v>
      </c>
      <c r="H26" s="101">
        <v>11</v>
      </c>
      <c r="I26" s="102">
        <v>864</v>
      </c>
      <c r="J26" s="103">
        <v>42143.506944444445</v>
      </c>
      <c r="K26" s="226" t="s">
        <v>87</v>
      </c>
      <c r="L26" s="227"/>
      <c r="M26" s="227"/>
      <c r="N26" s="227"/>
      <c r="O26" s="227"/>
      <c r="P26" s="228"/>
    </row>
    <row r="27" spans="1:17" ht="30" customHeight="1" x14ac:dyDescent="0.2">
      <c r="A27" s="254"/>
      <c r="B27" s="255"/>
      <c r="C27" s="256"/>
      <c r="D27" s="226" t="s">
        <v>17</v>
      </c>
      <c r="E27" s="227"/>
      <c r="F27" s="228"/>
      <c r="G27" s="100" t="s">
        <v>31</v>
      </c>
      <c r="H27" s="101">
        <f>H25*I25</f>
        <v>9500</v>
      </c>
      <c r="I27" s="102"/>
      <c r="J27" s="103">
        <v>42143.506944444445</v>
      </c>
      <c r="K27" s="226" t="s">
        <v>88</v>
      </c>
      <c r="L27" s="227"/>
      <c r="M27" s="227"/>
      <c r="N27" s="227"/>
      <c r="O27" s="227"/>
      <c r="P27" s="228"/>
    </row>
    <row r="28" spans="1:17" ht="30" customHeight="1" x14ac:dyDescent="0.2">
      <c r="A28" s="257"/>
      <c r="B28" s="258"/>
      <c r="C28" s="259"/>
      <c r="D28" s="226" t="s">
        <v>17</v>
      </c>
      <c r="E28" s="227"/>
      <c r="F28" s="228"/>
      <c r="G28" s="100" t="s">
        <v>26</v>
      </c>
      <c r="H28" s="101">
        <f>H26*I26</f>
        <v>9504</v>
      </c>
      <c r="I28" s="102"/>
      <c r="J28" s="103">
        <v>42143.506944444445</v>
      </c>
      <c r="K28" s="226" t="s">
        <v>46</v>
      </c>
      <c r="L28" s="227"/>
      <c r="M28" s="227"/>
      <c r="N28" s="227"/>
      <c r="O28" s="227"/>
      <c r="P28" s="228"/>
    </row>
    <row r="29" spans="1:17" ht="30" customHeight="1" x14ac:dyDescent="0.2">
      <c r="A29" s="260" t="s">
        <v>115</v>
      </c>
      <c r="B29" s="260"/>
      <c r="C29" s="260"/>
      <c r="D29" s="238" t="s">
        <v>17</v>
      </c>
      <c r="E29" s="239"/>
      <c r="F29" s="239"/>
      <c r="G29" s="88" t="s">
        <v>31</v>
      </c>
      <c r="H29" s="89">
        <f>H24</f>
        <v>1283.31</v>
      </c>
      <c r="I29" s="90"/>
      <c r="J29" s="91">
        <v>42144</v>
      </c>
      <c r="K29" s="239" t="s">
        <v>90</v>
      </c>
      <c r="L29" s="239"/>
      <c r="M29" s="239"/>
      <c r="N29" s="239"/>
      <c r="O29" s="239"/>
      <c r="P29" s="239"/>
    </row>
    <row r="30" spans="1:17" ht="30" customHeight="1" x14ac:dyDescent="0.2">
      <c r="A30" s="240" t="s">
        <v>116</v>
      </c>
      <c r="B30" s="241"/>
      <c r="C30" s="242"/>
      <c r="D30" s="229" t="s">
        <v>84</v>
      </c>
      <c r="E30" s="230"/>
      <c r="F30" s="231"/>
      <c r="G30" s="104" t="s">
        <v>31</v>
      </c>
      <c r="H30" s="105">
        <f>0.72*'Περιεχόμενο Χαρτοφυλακίου'!P28</f>
        <v>968.4</v>
      </c>
      <c r="I30" s="106"/>
      <c r="J30" s="107">
        <v>42144</v>
      </c>
      <c r="K30" s="229" t="s">
        <v>91</v>
      </c>
      <c r="L30" s="230"/>
      <c r="M30" s="230"/>
      <c r="N30" s="230"/>
      <c r="O30" s="230"/>
      <c r="P30" s="231"/>
    </row>
    <row r="31" spans="1:17" ht="30" customHeight="1" x14ac:dyDescent="0.2">
      <c r="A31" s="243"/>
      <c r="B31" s="244"/>
      <c r="C31" s="245"/>
      <c r="D31" s="229" t="s">
        <v>17</v>
      </c>
      <c r="E31" s="230"/>
      <c r="F31" s="231"/>
      <c r="G31" s="104" t="s">
        <v>31</v>
      </c>
      <c r="H31" s="105">
        <f>H30</f>
        <v>968.4</v>
      </c>
      <c r="I31" s="106"/>
      <c r="J31" s="107">
        <v>42150</v>
      </c>
      <c r="K31" s="229" t="s">
        <v>106</v>
      </c>
      <c r="L31" s="230"/>
      <c r="M31" s="230"/>
      <c r="N31" s="230"/>
      <c r="O31" s="230"/>
      <c r="P31" s="231"/>
    </row>
  </sheetData>
  <mergeCells count="73">
    <mergeCell ref="A30:C31"/>
    <mergeCell ref="A1:C1"/>
    <mergeCell ref="A6:C10"/>
    <mergeCell ref="A11:C13"/>
    <mergeCell ref="A16:C19"/>
    <mergeCell ref="A14:C15"/>
    <mergeCell ref="A20:C23"/>
    <mergeCell ref="A24:C24"/>
    <mergeCell ref="A25:C28"/>
    <mergeCell ref="A29:C29"/>
    <mergeCell ref="A2:C5"/>
    <mergeCell ref="K31:P31"/>
    <mergeCell ref="D31:F31"/>
    <mergeCell ref="D30:F30"/>
    <mergeCell ref="K30:P30"/>
    <mergeCell ref="D22:F22"/>
    <mergeCell ref="K22:P22"/>
    <mergeCell ref="D23:F23"/>
    <mergeCell ref="K23:P23"/>
    <mergeCell ref="D24:F24"/>
    <mergeCell ref="K24:P24"/>
    <mergeCell ref="D25:F25"/>
    <mergeCell ref="K25:P25"/>
    <mergeCell ref="D26:F26"/>
    <mergeCell ref="K26:P26"/>
    <mergeCell ref="D29:F29"/>
    <mergeCell ref="K29:P29"/>
    <mergeCell ref="D27:F27"/>
    <mergeCell ref="K27:P27"/>
    <mergeCell ref="D28:F28"/>
    <mergeCell ref="K28:P28"/>
    <mergeCell ref="D21:F21"/>
    <mergeCell ref="K21:P21"/>
    <mergeCell ref="D20:F20"/>
    <mergeCell ref="K20:P20"/>
    <mergeCell ref="D19:F19"/>
    <mergeCell ref="K19:P19"/>
    <mergeCell ref="D18:F18"/>
    <mergeCell ref="K18:P18"/>
    <mergeCell ref="D17:F17"/>
    <mergeCell ref="K17:P17"/>
    <mergeCell ref="D16:F16"/>
    <mergeCell ref="K16:P16"/>
    <mergeCell ref="D9:F9"/>
    <mergeCell ref="K9:P9"/>
    <mergeCell ref="D15:F15"/>
    <mergeCell ref="K15:P15"/>
    <mergeCell ref="D13:F13"/>
    <mergeCell ref="K13:P13"/>
    <mergeCell ref="D12:F12"/>
    <mergeCell ref="K12:P12"/>
    <mergeCell ref="D14:F14"/>
    <mergeCell ref="K14:P14"/>
    <mergeCell ref="D11:F11"/>
    <mergeCell ref="K11:P11"/>
    <mergeCell ref="D1:F1"/>
    <mergeCell ref="K1:P1"/>
    <mergeCell ref="D3:F3"/>
    <mergeCell ref="K3:P3"/>
    <mergeCell ref="D2:F2"/>
    <mergeCell ref="K2:P2"/>
    <mergeCell ref="D6:F6"/>
    <mergeCell ref="K6:P6"/>
    <mergeCell ref="D10:F10"/>
    <mergeCell ref="K10:P10"/>
    <mergeCell ref="D4:F4"/>
    <mergeCell ref="K4:P4"/>
    <mergeCell ref="D5:F5"/>
    <mergeCell ref="K5:P5"/>
    <mergeCell ref="D8:F8"/>
    <mergeCell ref="K8:P8"/>
    <mergeCell ref="D7:F7"/>
    <mergeCell ref="K7:P7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0"/>
  <sheetViews>
    <sheetView workbookViewId="0">
      <selection activeCell="C7" sqref="C7"/>
    </sheetView>
  </sheetViews>
  <sheetFormatPr baseColWidth="10" defaultColWidth="8.83203125" defaultRowHeight="15" x14ac:dyDescent="0.2"/>
  <cols>
    <col min="1" max="1" width="14.6640625" style="43" customWidth="1"/>
    <col min="2" max="2" width="17.5" style="43" bestFit="1" customWidth="1"/>
    <col min="3" max="3" width="78.83203125" style="43" customWidth="1"/>
    <col min="4" max="16384" width="8.83203125" style="43"/>
  </cols>
  <sheetData>
    <row r="1" spans="1:10" s="81" customFormat="1" ht="30" customHeight="1" x14ac:dyDescent="0.2">
      <c r="A1" s="261" t="s">
        <v>175</v>
      </c>
      <c r="B1" s="261"/>
      <c r="C1" s="261"/>
    </row>
    <row r="2" spans="1:10" s="81" customFormat="1" ht="30" customHeight="1" x14ac:dyDescent="0.2">
      <c r="A2" s="167" t="s">
        <v>39</v>
      </c>
      <c r="B2" s="167" t="s">
        <v>178</v>
      </c>
      <c r="C2" s="167" t="s">
        <v>152</v>
      </c>
      <c r="D2" s="176"/>
      <c r="E2" s="176"/>
      <c r="F2" s="176"/>
      <c r="G2" s="176"/>
      <c r="H2" s="176"/>
      <c r="I2" s="176"/>
      <c r="J2" s="176"/>
    </row>
    <row r="3" spans="1:10" s="81" customFormat="1" ht="30" customHeight="1" x14ac:dyDescent="0.2">
      <c r="A3" s="168">
        <v>42121</v>
      </c>
      <c r="B3" s="169" t="s">
        <v>92</v>
      </c>
      <c r="C3" s="169" t="s">
        <v>156</v>
      </c>
    </row>
    <row r="4" spans="1:10" s="81" customFormat="1" ht="30" customHeight="1" x14ac:dyDescent="0.2">
      <c r="A4" s="168">
        <v>42123</v>
      </c>
      <c r="B4" s="170" t="s">
        <v>163</v>
      </c>
      <c r="C4" s="170" t="s">
        <v>170</v>
      </c>
    </row>
    <row r="5" spans="1:10" s="81" customFormat="1" ht="30" customHeight="1" x14ac:dyDescent="0.2">
      <c r="A5" s="168">
        <v>42123</v>
      </c>
      <c r="B5" s="169" t="s">
        <v>169</v>
      </c>
      <c r="C5" s="169" t="s">
        <v>171</v>
      </c>
    </row>
    <row r="6" spans="1:10" s="81" customFormat="1" ht="30" customHeight="1" x14ac:dyDescent="0.2">
      <c r="A6" s="168">
        <v>42136</v>
      </c>
      <c r="B6" s="169" t="s">
        <v>11</v>
      </c>
      <c r="C6" s="170" t="s">
        <v>153</v>
      </c>
    </row>
    <row r="7" spans="1:10" s="81" customFormat="1" ht="30" customHeight="1" x14ac:dyDescent="0.2">
      <c r="A7" s="168">
        <v>42136</v>
      </c>
      <c r="B7" s="169" t="s">
        <v>157</v>
      </c>
      <c r="C7" s="170" t="s">
        <v>153</v>
      </c>
    </row>
    <row r="8" spans="1:10" s="81" customFormat="1" ht="30" customHeight="1" x14ac:dyDescent="0.2">
      <c r="A8" s="168">
        <v>42137</v>
      </c>
      <c r="B8" s="169" t="s">
        <v>163</v>
      </c>
      <c r="C8" s="169" t="s">
        <v>164</v>
      </c>
    </row>
    <row r="9" spans="1:10" s="81" customFormat="1" ht="30" customHeight="1" x14ac:dyDescent="0.2">
      <c r="A9" s="168">
        <v>42139</v>
      </c>
      <c r="B9" s="169" t="s">
        <v>167</v>
      </c>
      <c r="C9" s="170" t="s">
        <v>168</v>
      </c>
    </row>
    <row r="10" spans="1:10" s="81" customFormat="1" ht="30" customHeight="1" x14ac:dyDescent="0.2">
      <c r="A10" s="168">
        <v>42143</v>
      </c>
      <c r="B10" s="170" t="s">
        <v>14</v>
      </c>
      <c r="C10" s="170" t="s">
        <v>158</v>
      </c>
    </row>
    <row r="11" spans="1:10" s="81" customFormat="1" ht="30" customHeight="1" x14ac:dyDescent="0.2">
      <c r="A11" s="168">
        <v>42143</v>
      </c>
      <c r="B11" s="170" t="s">
        <v>54</v>
      </c>
      <c r="C11" s="170" t="s">
        <v>161</v>
      </c>
    </row>
    <row r="12" spans="1:10" s="81" customFormat="1" ht="30" customHeight="1" x14ac:dyDescent="0.2">
      <c r="A12" s="168">
        <v>42143</v>
      </c>
      <c r="B12" s="169" t="s">
        <v>172</v>
      </c>
      <c r="C12" s="170" t="s">
        <v>173</v>
      </c>
    </row>
    <row r="13" spans="1:10" s="81" customFormat="1" ht="30" customHeight="1" x14ac:dyDescent="0.2">
      <c r="A13" s="168">
        <v>42144</v>
      </c>
      <c r="B13" s="169" t="s">
        <v>58</v>
      </c>
      <c r="C13" s="170" t="s">
        <v>166</v>
      </c>
    </row>
    <row r="14" spans="1:10" s="81" customFormat="1" ht="30" customHeight="1" x14ac:dyDescent="0.2">
      <c r="A14" s="168">
        <v>42145</v>
      </c>
      <c r="B14" s="169" t="s">
        <v>16</v>
      </c>
      <c r="C14" s="170" t="s">
        <v>174</v>
      </c>
    </row>
    <row r="15" spans="1:10" s="81" customFormat="1" ht="30" customHeight="1" x14ac:dyDescent="0.2">
      <c r="A15" s="168">
        <v>42146</v>
      </c>
      <c r="B15" s="170" t="s">
        <v>55</v>
      </c>
      <c r="C15" s="170" t="s">
        <v>159</v>
      </c>
    </row>
    <row r="16" spans="1:10" s="81" customFormat="1" ht="30" customHeight="1" x14ac:dyDescent="0.2">
      <c r="A16" s="168">
        <v>42146</v>
      </c>
      <c r="B16" s="170" t="s">
        <v>58</v>
      </c>
      <c r="C16" s="170" t="s">
        <v>165</v>
      </c>
    </row>
    <row r="17" spans="1:3" s="81" customFormat="1" ht="30" customHeight="1" x14ac:dyDescent="0.2">
      <c r="A17" s="168">
        <v>42146</v>
      </c>
      <c r="B17" s="169" t="s">
        <v>92</v>
      </c>
      <c r="C17" s="170" t="s">
        <v>155</v>
      </c>
    </row>
    <row r="18" spans="1:3" s="81" customFormat="1" ht="30" customHeight="1" x14ac:dyDescent="0.2">
      <c r="A18" s="168">
        <v>42148</v>
      </c>
      <c r="B18" s="169" t="s">
        <v>176</v>
      </c>
      <c r="C18" s="170" t="s">
        <v>160</v>
      </c>
    </row>
    <row r="19" spans="1:3" s="81" customFormat="1" ht="30" customHeight="1" x14ac:dyDescent="0.2">
      <c r="A19" s="168">
        <v>42149</v>
      </c>
      <c r="B19" s="169" t="s">
        <v>20</v>
      </c>
      <c r="C19" s="170" t="s">
        <v>162</v>
      </c>
    </row>
    <row r="20" spans="1:3" s="81" customFormat="1" ht="30" customHeight="1" x14ac:dyDescent="0.2">
      <c r="A20" s="168">
        <v>42151</v>
      </c>
      <c r="B20" s="169" t="s">
        <v>11</v>
      </c>
      <c r="C20" s="170" t="s">
        <v>154</v>
      </c>
    </row>
  </sheetData>
  <mergeCells count="1">
    <mergeCell ref="A1:C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Αποτελέσματα</vt:lpstr>
      <vt:lpstr>Διαχείριση Σταθμίσεων</vt:lpstr>
      <vt:lpstr>Διαχείριση Αποδόσεων</vt:lpstr>
      <vt:lpstr>Τυπική Απόκλιση</vt:lpstr>
      <vt:lpstr>Sharp Ratio</vt:lpstr>
      <vt:lpstr>Βήτα Χαρτοφυλακίου</vt:lpstr>
      <vt:lpstr>Διαχείριση Μετρητών</vt:lpstr>
      <vt:lpstr>Ημερολόγιο Συναλλαγών</vt:lpstr>
      <vt:lpstr>Ημερολόγιο Ειδήσεων</vt:lpstr>
      <vt:lpstr>Περιεχόμενο Χαρτοφυλακίου</vt:lpstr>
      <vt:lpstr>Ανάλυση Μετοχών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Nasmis</dc:creator>
  <cp:lastModifiedBy>Microsoft Office User</cp:lastModifiedBy>
  <cp:lastPrinted>2015-05-19T08:31:20Z</cp:lastPrinted>
  <dcterms:created xsi:type="dcterms:W3CDTF">2015-04-27T17:14:08Z</dcterms:created>
  <dcterms:modified xsi:type="dcterms:W3CDTF">2021-04-05T07:57:16Z</dcterms:modified>
</cp:coreProperties>
</file>