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defaultThemeVersion="166925"/>
  <mc:AlternateContent xmlns:mc="http://schemas.openxmlformats.org/markup-compatibility/2006">
    <mc:Choice Requires="x15">
      <x15ac:absPath xmlns:x15ac="http://schemas.microsoft.com/office/spreadsheetml/2010/11/ac" url="/Users/a.a.drakos/Desktop/ACADEMIC CONTEMPORARY FILES/ACADEMIC COURSES/INVESTMENTS MANAGEMENT/2020-2021/ΕΡΓΑΣΙΑ/"/>
    </mc:Choice>
  </mc:AlternateContent>
  <xr:revisionPtr revIDLastSave="0" documentId="8_{39AB4E4F-C6EF-9B40-AA9D-695611A70BBE}" xr6:coauthVersionLast="46" xr6:coauthVersionMax="46" xr10:uidLastSave="{00000000-0000-0000-0000-000000000000}"/>
  <bookViews>
    <workbookView xWindow="0" yWindow="460" windowWidth="28800" windowHeight="15980" firstSheet="12" activeTab="18" xr2:uid="{F4B63C07-98D5-42B4-95A8-CC4E60DF61ED}"/>
  </bookViews>
  <sheets>
    <sheet name="2.ΚΛΑΔΟΙ-ΚΕΦΑΛΑΙΟΠΟΙΗΣΗ" sheetId="2" r:id="rId1"/>
    <sheet name="2.ΤΙΜΕΣ ΚΛΕΙΣΙΜΑΤΟΣ" sheetId="10" r:id="rId2"/>
    <sheet name="2.ΑΠΟΔΟΣΕΙΣ" sheetId="6" r:id="rId3"/>
    <sheet name="2.ΣΥΣΧΕΤΙΣΗ" sheetId="12" r:id="rId4"/>
    <sheet name="3.ΕΙΣΑΓΩΓΗ" sheetId="13" r:id="rId5"/>
    <sheet name="3.ΚΕΦΑΛΑΙΟΠΟΙΗΣΗ" sheetId="15" r:id="rId6"/>
    <sheet name="3.BETA" sheetId="16" r:id="rId7"/>
    <sheet name="3.ΠΑΛΙΝΔΡΟΜΗΣΕΙΣ" sheetId="21" r:id="rId8"/>
    <sheet name="3.ΡΕΥΣΤΟΤΗΤΑ" sheetId="17" r:id="rId9"/>
    <sheet name="3.ΤΥΠΙΚΗ ΑΠΟΚΛΙΣΗ" sheetId="18" r:id="rId10"/>
    <sheet name="3.ΔΕΙΚΤΗΣ ΡΕΥΣΤΟΤΗΤΑΣ" sheetId="19" r:id="rId11"/>
    <sheet name="3.ΔΕΙΚΤΗΣ ΚΕΦΑΛΑΙΑΚΗΣ ΔΙΑΡΘ." sheetId="20" r:id="rId12"/>
    <sheet name="3.SCORING" sheetId="22" r:id="rId13"/>
    <sheet name="4.ΣΥΝΘΕΣΗ ΧΑΡΤΟΦΥΛΑΚΙΟΥ" sheetId="24" r:id="rId14"/>
    <sheet name="4.ΤΕΛΙΚΗ ΣΥΝΘΕΣΗ ΧΑΡΤΟΦΥΛΑΚΙΟΥ" sheetId="26" r:id="rId15"/>
    <sheet name="5.ΤΙΜΕΣ" sheetId="27" r:id="rId16"/>
    <sheet name="5.ΠΑΡΑΚΟΛΟΥΘΗΣΗ" sheetId="28" r:id="rId17"/>
    <sheet name="5.ΣΥΝΑΛΛΑΓΕΣ" sheetId="29" r:id="rId18"/>
    <sheet name="6.ΑΠΟΤΕΛΕΣΜΑΤΑ" sheetId="31" r:id="rId19"/>
  </sheets>
  <externalReferences>
    <externalReference r:id="rId20"/>
  </externalReferences>
  <definedNames>
    <definedName name="_xlnm._FilterDatabase" localSheetId="1" hidden="1">'2.ΤΙΜΕΣ ΚΛΕΙΣΙΜΑΤΟΣ'!$A$1:$AU$249</definedName>
    <definedName name="_xlnm.Extract" localSheetId="1">'2.ΤΙΜΕΣ ΚΛΕΙΣΙΜΑΤΟΣ'!$B$1:$AU$1</definedName>
    <definedName name="_xlnm.Extract" localSheetId="4">'3.ΕΙΣΑΓΩΓΗ'!$B$5:$C$20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Q29" i="29" l="1"/>
  <c r="BZ20" i="29"/>
  <c r="BZ21" i="29"/>
  <c r="BZ22" i="29"/>
  <c r="BZ23" i="29"/>
  <c r="BZ24" i="29"/>
  <c r="BZ25" i="29"/>
  <c r="BZ26" i="29"/>
  <c r="BZ19" i="29"/>
  <c r="BT20" i="29"/>
  <c r="BT21" i="29"/>
  <c r="BT22" i="29"/>
  <c r="BT23" i="29"/>
  <c r="BT24" i="29"/>
  <c r="BT25" i="29"/>
  <c r="BT26" i="29"/>
  <c r="BT19" i="29"/>
  <c r="K13" i="31" l="1"/>
  <c r="K12" i="31"/>
  <c r="K11" i="31"/>
  <c r="K9" i="31"/>
  <c r="K10" i="31"/>
  <c r="K7" i="31"/>
  <c r="K6" i="31"/>
  <c r="K5" i="31"/>
  <c r="K4" i="31"/>
  <c r="G26" i="31"/>
  <c r="G25" i="31"/>
  <c r="G24" i="31"/>
  <c r="G23" i="31"/>
  <c r="G22" i="31"/>
  <c r="G21" i="31"/>
  <c r="G20" i="31"/>
  <c r="G19" i="31"/>
  <c r="G18" i="31"/>
  <c r="G17" i="31"/>
  <c r="G16" i="31"/>
  <c r="G15" i="31"/>
  <c r="G14" i="31"/>
  <c r="G13" i="31"/>
  <c r="G12" i="31"/>
  <c r="G11" i="31"/>
  <c r="G10" i="31"/>
  <c r="G9" i="31"/>
  <c r="G8" i="31"/>
  <c r="G7" i="31"/>
  <c r="G6" i="31"/>
  <c r="G5" i="31"/>
  <c r="G4" i="31"/>
  <c r="G3" i="31"/>
  <c r="F18" i="31"/>
  <c r="F17" i="31"/>
  <c r="F14" i="31"/>
  <c r="F15" i="31" s="1"/>
  <c r="F16" i="31" s="1"/>
  <c r="F9" i="31"/>
  <c r="F19" i="31"/>
  <c r="F20" i="31" s="1"/>
  <c r="F21" i="31" s="1"/>
  <c r="F22" i="31" s="1"/>
  <c r="F23" i="31" s="1"/>
  <c r="F24" i="31" s="1"/>
  <c r="F25" i="31" s="1"/>
  <c r="F26" i="31" s="1"/>
  <c r="F10" i="31"/>
  <c r="F11" i="31" s="1"/>
  <c r="F12" i="31" s="1"/>
  <c r="F13" i="31" s="1"/>
  <c r="F8" i="31"/>
  <c r="F7" i="31"/>
  <c r="F6" i="31"/>
  <c r="F5" i="31"/>
  <c r="F4" i="31"/>
  <c r="F3" i="31"/>
  <c r="E26" i="31"/>
  <c r="E25" i="31"/>
  <c r="E24" i="31"/>
  <c r="E23" i="31"/>
  <c r="E22" i="31"/>
  <c r="E21" i="31"/>
  <c r="E20" i="31"/>
  <c r="E19" i="31"/>
  <c r="E18" i="31"/>
  <c r="E17" i="31"/>
  <c r="E16" i="31"/>
  <c r="E15" i="31"/>
  <c r="E14" i="31"/>
  <c r="E13" i="31"/>
  <c r="E12" i="31"/>
  <c r="E11" i="31"/>
  <c r="E10" i="31"/>
  <c r="E9" i="31"/>
  <c r="E8" i="31"/>
  <c r="E7" i="31"/>
  <c r="E6" i="31"/>
  <c r="E5" i="31"/>
  <c r="E4" i="31"/>
  <c r="E3" i="31"/>
  <c r="D26" i="31"/>
  <c r="D25" i="31"/>
  <c r="D24" i="31"/>
  <c r="D23" i="31"/>
  <c r="D22" i="31"/>
  <c r="D21" i="31"/>
  <c r="D20" i="31"/>
  <c r="D19" i="31"/>
  <c r="D18" i="31"/>
  <c r="D17" i="31"/>
  <c r="D16" i="31"/>
  <c r="D15" i="31"/>
  <c r="D14" i="31"/>
  <c r="D13" i="31"/>
  <c r="D12" i="31"/>
  <c r="D11" i="31"/>
  <c r="D10" i="31"/>
  <c r="D9" i="31"/>
  <c r="D8" i="31"/>
  <c r="D7" i="31"/>
  <c r="D6" i="31"/>
  <c r="D5" i="31"/>
  <c r="D4" i="31"/>
  <c r="D3" i="31"/>
  <c r="EM31" i="29" l="1"/>
  <c r="EG30" i="29"/>
  <c r="EA30" i="29"/>
  <c r="DU30" i="29"/>
  <c r="DO30" i="29"/>
  <c r="DI30" i="29"/>
  <c r="DC30" i="29"/>
  <c r="CW30" i="29"/>
  <c r="CQ30" i="29"/>
  <c r="CK30" i="29"/>
  <c r="CE30" i="29"/>
  <c r="BY30" i="29"/>
  <c r="BS30" i="29"/>
  <c r="BM30" i="29"/>
  <c r="BG30" i="29"/>
  <c r="BA30" i="29"/>
  <c r="AU30" i="29"/>
  <c r="AO30" i="29"/>
  <c r="AI30" i="29"/>
  <c r="AC30" i="29"/>
  <c r="W30" i="29"/>
  <c r="Q30" i="29"/>
  <c r="AQ69" i="28"/>
  <c r="AQ70" i="28"/>
  <c r="AQ71" i="28"/>
  <c r="AQ72" i="28"/>
  <c r="AQ73" i="28"/>
  <c r="AQ74" i="28"/>
  <c r="AQ75" i="28"/>
  <c r="AQ76" i="28"/>
  <c r="AQ77" i="28"/>
  <c r="AQ78" i="28"/>
  <c r="AQ79" i="28"/>
  <c r="AQ80" i="28"/>
  <c r="AQ81" i="28"/>
  <c r="AQ82" i="28"/>
  <c r="AQ83" i="28"/>
  <c r="AQ84" i="28"/>
  <c r="AQ85" i="28"/>
  <c r="AQ86" i="28"/>
  <c r="AQ87" i="28"/>
  <c r="AQ88" i="28"/>
  <c r="AQ89" i="28"/>
  <c r="AQ90" i="28"/>
  <c r="AQ91" i="28"/>
  <c r="AQ68" i="28"/>
  <c r="AP69" i="28"/>
  <c r="AP70" i="28"/>
  <c r="AP71" i="28"/>
  <c r="AP72" i="28"/>
  <c r="AP73" i="28"/>
  <c r="AP74" i="28"/>
  <c r="AP75" i="28"/>
  <c r="AP76" i="28"/>
  <c r="AP77" i="28"/>
  <c r="AP78" i="28"/>
  <c r="AP79" i="28"/>
  <c r="AP80" i="28"/>
  <c r="AP81" i="28"/>
  <c r="AP82" i="28"/>
  <c r="AP83" i="28"/>
  <c r="AP84" i="28"/>
  <c r="AP85" i="28"/>
  <c r="AP86" i="28"/>
  <c r="AP87" i="28"/>
  <c r="AP88" i="28"/>
  <c r="AP89" i="28"/>
  <c r="AP90" i="28"/>
  <c r="AP91" i="28"/>
  <c r="AP68" i="28"/>
  <c r="AO69" i="28"/>
  <c r="AO70" i="28"/>
  <c r="AO71" i="28"/>
  <c r="AO72" i="28"/>
  <c r="AO73" i="28"/>
  <c r="AO74" i="28"/>
  <c r="AO75" i="28"/>
  <c r="AO76" i="28"/>
  <c r="AO77" i="28"/>
  <c r="AO78" i="28"/>
  <c r="AO79" i="28"/>
  <c r="AO80" i="28"/>
  <c r="AO81" i="28"/>
  <c r="AO82" i="28"/>
  <c r="AO83" i="28"/>
  <c r="AO84" i="28"/>
  <c r="AO85" i="28"/>
  <c r="AO86" i="28"/>
  <c r="AO87" i="28"/>
  <c r="AO88" i="28"/>
  <c r="AO89" i="28"/>
  <c r="AO90" i="28"/>
  <c r="AO91" i="28"/>
  <c r="AO68" i="28"/>
  <c r="AI69" i="28"/>
  <c r="AI70" i="28"/>
  <c r="AI71" i="28"/>
  <c r="AI72" i="28"/>
  <c r="AI73" i="28"/>
  <c r="AI74" i="28"/>
  <c r="AI75" i="28"/>
  <c r="AI76" i="28"/>
  <c r="AI77" i="28"/>
  <c r="AI78" i="28"/>
  <c r="AI79" i="28"/>
  <c r="AI80" i="28"/>
  <c r="AI81" i="28"/>
  <c r="AI82" i="28"/>
  <c r="AI83" i="28"/>
  <c r="AI84" i="28"/>
  <c r="AI85" i="28"/>
  <c r="AI86" i="28"/>
  <c r="AI87" i="28"/>
  <c r="AI88" i="28"/>
  <c r="AI89" i="28"/>
  <c r="AI90" i="28"/>
  <c r="AI91" i="28"/>
  <c r="AI68" i="28"/>
  <c r="AH69" i="28"/>
  <c r="AH70" i="28"/>
  <c r="AH71" i="28"/>
  <c r="AH72" i="28"/>
  <c r="AH73" i="28"/>
  <c r="AH74" i="28"/>
  <c r="AH75" i="28"/>
  <c r="AH76" i="28"/>
  <c r="AH77" i="28"/>
  <c r="AH78" i="28"/>
  <c r="AH79" i="28"/>
  <c r="AH80" i="28"/>
  <c r="AH81" i="28"/>
  <c r="AH82" i="28"/>
  <c r="AH83" i="28"/>
  <c r="AH84" i="28"/>
  <c r="AH85" i="28"/>
  <c r="AH86" i="28"/>
  <c r="AH87" i="28"/>
  <c r="AH88" i="28"/>
  <c r="AH89" i="28"/>
  <c r="AH90" i="28"/>
  <c r="AH91" i="28"/>
  <c r="AH68" i="28"/>
  <c r="AG69" i="28"/>
  <c r="AG70" i="28"/>
  <c r="AG71" i="28"/>
  <c r="AG72" i="28"/>
  <c r="AG73" i="28"/>
  <c r="AG74" i="28"/>
  <c r="AG75" i="28"/>
  <c r="AG76" i="28"/>
  <c r="AG77" i="28"/>
  <c r="AG78" i="28"/>
  <c r="AG79" i="28"/>
  <c r="AG80" i="28"/>
  <c r="AG81" i="28"/>
  <c r="AG82" i="28"/>
  <c r="AG83" i="28"/>
  <c r="AG84" i="28"/>
  <c r="AG85" i="28"/>
  <c r="AG86" i="28"/>
  <c r="AG87" i="28"/>
  <c r="AG88" i="28"/>
  <c r="AG89" i="28"/>
  <c r="AG90" i="28"/>
  <c r="AG91" i="28"/>
  <c r="AG68" i="28"/>
  <c r="Z69" i="28"/>
  <c r="Z70" i="28"/>
  <c r="Z71" i="28"/>
  <c r="Z72" i="28"/>
  <c r="Z73" i="28"/>
  <c r="Z74" i="28"/>
  <c r="Z75" i="28"/>
  <c r="Z76" i="28"/>
  <c r="Z77" i="28"/>
  <c r="Z78" i="28"/>
  <c r="Z79" i="28"/>
  <c r="Z80" i="28"/>
  <c r="Z81" i="28"/>
  <c r="Z82" i="28"/>
  <c r="Z83" i="28"/>
  <c r="Z84" i="28"/>
  <c r="Z85" i="28"/>
  <c r="Z86" i="28"/>
  <c r="Z87" i="28"/>
  <c r="Z88" i="28"/>
  <c r="Z89" i="28"/>
  <c r="Z90" i="28"/>
  <c r="Z91" i="28"/>
  <c r="Z68" i="28"/>
  <c r="Y69" i="28"/>
  <c r="Y70" i="28"/>
  <c r="Y71" i="28"/>
  <c r="Y72" i="28"/>
  <c r="Y73" i="28"/>
  <c r="Y74" i="28"/>
  <c r="Y75" i="28"/>
  <c r="Y76" i="28"/>
  <c r="Y77" i="28"/>
  <c r="Y78" i="28"/>
  <c r="Y79" i="28"/>
  <c r="Y80" i="28"/>
  <c r="Y81" i="28"/>
  <c r="Y82" i="28"/>
  <c r="Y83" i="28"/>
  <c r="Y84" i="28"/>
  <c r="Y85" i="28"/>
  <c r="Y86" i="28"/>
  <c r="Y87" i="28"/>
  <c r="Y88" i="28"/>
  <c r="Y89" i="28"/>
  <c r="Y90" i="28"/>
  <c r="Y91" i="28"/>
  <c r="Y68" i="28"/>
  <c r="X69" i="28"/>
  <c r="X70" i="28"/>
  <c r="X71" i="28"/>
  <c r="X72" i="28"/>
  <c r="X73" i="28"/>
  <c r="X74" i="28"/>
  <c r="X75" i="28"/>
  <c r="X76" i="28"/>
  <c r="X77" i="28"/>
  <c r="X78" i="28"/>
  <c r="X79" i="28"/>
  <c r="X80" i="28"/>
  <c r="X81" i="28"/>
  <c r="X82" i="28"/>
  <c r="X83" i="28"/>
  <c r="X84" i="28"/>
  <c r="X85" i="28"/>
  <c r="X86" i="28"/>
  <c r="X87" i="28"/>
  <c r="X88" i="28"/>
  <c r="X89" i="28"/>
  <c r="X90" i="28"/>
  <c r="X91" i="28"/>
  <c r="X68" i="28"/>
  <c r="Q69" i="28"/>
  <c r="Q70" i="28"/>
  <c r="Q71" i="28"/>
  <c r="Q72" i="28"/>
  <c r="Q73" i="28"/>
  <c r="Q74" i="28"/>
  <c r="Q75" i="28"/>
  <c r="Q76" i="28"/>
  <c r="Q77" i="28"/>
  <c r="Q78" i="28"/>
  <c r="Q79" i="28"/>
  <c r="Q80" i="28"/>
  <c r="Q81" i="28"/>
  <c r="Q82" i="28"/>
  <c r="Q83" i="28"/>
  <c r="Q84" i="28"/>
  <c r="Q85" i="28"/>
  <c r="Q86" i="28"/>
  <c r="Q87" i="28"/>
  <c r="Q88" i="28"/>
  <c r="Q89" i="28"/>
  <c r="Q90" i="28"/>
  <c r="Q91" i="28"/>
  <c r="Q68" i="28"/>
  <c r="P69" i="28"/>
  <c r="P70" i="28"/>
  <c r="P71" i="28"/>
  <c r="P72" i="28"/>
  <c r="P73" i="28"/>
  <c r="P74" i="28"/>
  <c r="P75" i="28"/>
  <c r="P76" i="28"/>
  <c r="P77" i="28"/>
  <c r="P78" i="28"/>
  <c r="P79" i="28"/>
  <c r="P80" i="28"/>
  <c r="P81" i="28"/>
  <c r="P82" i="28"/>
  <c r="P83" i="28"/>
  <c r="P84" i="28"/>
  <c r="P85" i="28"/>
  <c r="P86" i="28"/>
  <c r="P87" i="28"/>
  <c r="P88" i="28"/>
  <c r="P89" i="28"/>
  <c r="P90" i="28"/>
  <c r="P91" i="28"/>
  <c r="P68" i="28"/>
  <c r="O69" i="28"/>
  <c r="O70" i="28"/>
  <c r="O71" i="28"/>
  <c r="O72" i="28"/>
  <c r="O73" i="28"/>
  <c r="O74" i="28"/>
  <c r="O75" i="28"/>
  <c r="O76" i="28"/>
  <c r="O77" i="28"/>
  <c r="O78" i="28"/>
  <c r="O79" i="28"/>
  <c r="O80" i="28"/>
  <c r="O81" i="28"/>
  <c r="O82" i="28"/>
  <c r="O83" i="28"/>
  <c r="O84" i="28"/>
  <c r="O85" i="28"/>
  <c r="O86" i="28"/>
  <c r="O87" i="28"/>
  <c r="O88" i="28"/>
  <c r="O89" i="28"/>
  <c r="O90" i="28"/>
  <c r="O91" i="28"/>
  <c r="O68" i="28"/>
  <c r="H69" i="28"/>
  <c r="H70" i="28"/>
  <c r="H71" i="28"/>
  <c r="H72" i="28"/>
  <c r="H73" i="28"/>
  <c r="H74" i="28"/>
  <c r="H75" i="28"/>
  <c r="H76" i="28"/>
  <c r="H77" i="28"/>
  <c r="H78" i="28"/>
  <c r="H79" i="28"/>
  <c r="H80" i="28"/>
  <c r="H81" i="28"/>
  <c r="H82" i="28"/>
  <c r="H83" i="28"/>
  <c r="H84" i="28"/>
  <c r="H85" i="28"/>
  <c r="H86" i="28"/>
  <c r="H87" i="28"/>
  <c r="H88" i="28"/>
  <c r="H89" i="28"/>
  <c r="H90" i="28"/>
  <c r="H91" i="28"/>
  <c r="H68" i="28"/>
  <c r="G69" i="28"/>
  <c r="G70" i="28"/>
  <c r="G71" i="28"/>
  <c r="G72" i="28"/>
  <c r="G73" i="28"/>
  <c r="G74" i="28"/>
  <c r="G75" i="28"/>
  <c r="G76" i="28"/>
  <c r="G77" i="28"/>
  <c r="G78" i="28"/>
  <c r="G79" i="28"/>
  <c r="G80" i="28"/>
  <c r="G81" i="28"/>
  <c r="G82" i="28"/>
  <c r="G83" i="28"/>
  <c r="G84" i="28"/>
  <c r="G85" i="28"/>
  <c r="G86" i="28"/>
  <c r="G87" i="28"/>
  <c r="G88" i="28"/>
  <c r="G89" i="28"/>
  <c r="G90" i="28"/>
  <c r="G91" i="28"/>
  <c r="G68" i="28"/>
  <c r="F69" i="28"/>
  <c r="F70" i="28"/>
  <c r="F71" i="28"/>
  <c r="F72" i="28"/>
  <c r="F73" i="28"/>
  <c r="F74" i="28"/>
  <c r="F75" i="28"/>
  <c r="F76" i="28"/>
  <c r="F77" i="28"/>
  <c r="F78" i="28"/>
  <c r="F79" i="28"/>
  <c r="F80" i="28"/>
  <c r="F81" i="28"/>
  <c r="F82" i="28"/>
  <c r="F83" i="28"/>
  <c r="F84" i="28"/>
  <c r="F85" i="28"/>
  <c r="F86" i="28"/>
  <c r="F87" i="28"/>
  <c r="F88" i="28"/>
  <c r="F89" i="28"/>
  <c r="F90" i="28"/>
  <c r="F91" i="28"/>
  <c r="F68" i="28"/>
  <c r="AQ37" i="28"/>
  <c r="AQ38" i="28"/>
  <c r="AQ39" i="28"/>
  <c r="AQ40" i="28"/>
  <c r="AQ41" i="28"/>
  <c r="AQ42" i="28"/>
  <c r="AQ43" i="28"/>
  <c r="AQ44" i="28"/>
  <c r="AQ45" i="28"/>
  <c r="AQ46" i="28"/>
  <c r="AQ47" i="28"/>
  <c r="AQ48" i="28"/>
  <c r="AQ49" i="28"/>
  <c r="AQ50" i="28"/>
  <c r="AQ51" i="28"/>
  <c r="AQ52" i="28"/>
  <c r="AQ53" i="28"/>
  <c r="AQ54" i="28"/>
  <c r="AQ55" i="28"/>
  <c r="AQ56" i="28"/>
  <c r="AQ57" i="28"/>
  <c r="AQ58" i="28"/>
  <c r="AQ59" i="28"/>
  <c r="AQ36" i="28"/>
  <c r="AP37" i="28"/>
  <c r="AP38" i="28"/>
  <c r="AP39" i="28"/>
  <c r="AP40" i="28"/>
  <c r="AP41" i="28"/>
  <c r="AP42" i="28"/>
  <c r="AP43" i="28"/>
  <c r="AP44" i="28"/>
  <c r="AP45" i="28"/>
  <c r="AP46" i="28"/>
  <c r="AP47" i="28"/>
  <c r="AP48" i="28"/>
  <c r="AP49" i="28"/>
  <c r="AP50" i="28"/>
  <c r="AP51" i="28"/>
  <c r="AP52" i="28"/>
  <c r="AP53" i="28"/>
  <c r="AP54" i="28"/>
  <c r="AP55" i="28"/>
  <c r="AP56" i="28"/>
  <c r="AP57" i="28"/>
  <c r="AP58" i="28"/>
  <c r="AP59" i="28"/>
  <c r="AP36" i="28"/>
  <c r="AO37" i="28"/>
  <c r="AO38" i="28"/>
  <c r="AO39" i="28"/>
  <c r="AO40" i="28"/>
  <c r="AO41" i="28"/>
  <c r="AO42" i="28"/>
  <c r="AO43" i="28"/>
  <c r="AO44" i="28"/>
  <c r="AO45" i="28"/>
  <c r="AO46" i="28"/>
  <c r="AO47" i="28"/>
  <c r="AO48" i="28"/>
  <c r="AO49" i="28"/>
  <c r="AO50" i="28"/>
  <c r="AO51" i="28"/>
  <c r="AO52" i="28"/>
  <c r="AO53" i="28"/>
  <c r="AO54" i="28"/>
  <c r="AO55" i="28"/>
  <c r="AO56" i="28"/>
  <c r="AO57" i="28"/>
  <c r="AO58" i="28"/>
  <c r="AO59" i="28"/>
  <c r="AO36" i="28"/>
  <c r="AI37" i="28"/>
  <c r="AI38" i="28"/>
  <c r="AI39" i="28"/>
  <c r="AI40" i="28"/>
  <c r="AI41" i="28"/>
  <c r="AI42" i="28"/>
  <c r="AI43" i="28"/>
  <c r="AI44" i="28"/>
  <c r="AI45" i="28"/>
  <c r="AI46" i="28"/>
  <c r="AI47" i="28"/>
  <c r="AI48" i="28"/>
  <c r="AI49" i="28"/>
  <c r="AI50" i="28"/>
  <c r="AI51" i="28"/>
  <c r="AI52" i="28"/>
  <c r="AI53" i="28"/>
  <c r="AI54" i="28"/>
  <c r="AI55" i="28"/>
  <c r="AI56" i="28"/>
  <c r="AI57" i="28"/>
  <c r="AI58" i="28"/>
  <c r="AI59" i="28"/>
  <c r="AI36" i="28"/>
  <c r="AH37" i="28"/>
  <c r="AH38" i="28"/>
  <c r="AH39" i="28"/>
  <c r="AH40" i="28"/>
  <c r="AH41" i="28"/>
  <c r="AH42" i="28"/>
  <c r="AH43" i="28"/>
  <c r="AH44" i="28"/>
  <c r="AH45" i="28"/>
  <c r="AH46" i="28"/>
  <c r="AH47" i="28"/>
  <c r="AH48" i="28"/>
  <c r="AH49" i="28"/>
  <c r="AH50" i="28"/>
  <c r="AH51" i="28"/>
  <c r="AH52" i="28"/>
  <c r="AH53" i="28"/>
  <c r="AH54" i="28"/>
  <c r="AH55" i="28"/>
  <c r="AH56" i="28"/>
  <c r="AH57" i="28"/>
  <c r="AH58" i="28"/>
  <c r="AH59" i="28"/>
  <c r="AH36" i="28"/>
  <c r="AG37" i="28"/>
  <c r="AG38" i="28"/>
  <c r="AG39" i="28"/>
  <c r="AG40" i="28"/>
  <c r="AG41" i="28"/>
  <c r="AG42" i="28"/>
  <c r="AG43" i="28"/>
  <c r="AG44" i="28"/>
  <c r="AG45" i="28"/>
  <c r="AG46" i="28"/>
  <c r="AG47" i="28"/>
  <c r="AG48" i="28"/>
  <c r="AG49" i="28"/>
  <c r="AG50" i="28"/>
  <c r="AG51" i="28"/>
  <c r="AG52" i="28"/>
  <c r="AG53" i="28"/>
  <c r="AG54" i="28"/>
  <c r="AG55" i="28"/>
  <c r="AG56" i="28"/>
  <c r="AG57" i="28"/>
  <c r="AG58" i="28"/>
  <c r="AG59" i="28"/>
  <c r="AG36" i="28"/>
  <c r="Z37" i="28"/>
  <c r="Z38" i="28"/>
  <c r="Z39" i="28"/>
  <c r="Z40" i="28"/>
  <c r="Z41" i="28"/>
  <c r="Z42" i="28"/>
  <c r="Z43" i="28"/>
  <c r="Z44" i="28"/>
  <c r="Z45" i="28"/>
  <c r="Z46" i="28"/>
  <c r="Z47" i="28"/>
  <c r="Z48" i="28"/>
  <c r="Z49" i="28"/>
  <c r="Z50" i="28"/>
  <c r="Z51" i="28"/>
  <c r="Z52" i="28"/>
  <c r="Z53" i="28"/>
  <c r="Z54" i="28"/>
  <c r="Z55" i="28"/>
  <c r="Z56" i="28"/>
  <c r="Z57" i="28"/>
  <c r="Z58" i="28"/>
  <c r="Z59" i="28"/>
  <c r="Z36" i="28"/>
  <c r="Y37" i="28"/>
  <c r="Y38" i="28"/>
  <c r="Y39" i="28"/>
  <c r="Y40" i="28"/>
  <c r="Y41" i="28"/>
  <c r="Y42" i="28"/>
  <c r="Y43" i="28"/>
  <c r="Y44" i="28"/>
  <c r="Y45" i="28"/>
  <c r="Y46" i="28"/>
  <c r="Y47" i="28"/>
  <c r="Y48" i="28"/>
  <c r="Y49" i="28"/>
  <c r="Y50" i="28"/>
  <c r="Y51" i="28"/>
  <c r="Y52" i="28"/>
  <c r="Y53" i="28"/>
  <c r="Y54" i="28"/>
  <c r="Y55" i="28"/>
  <c r="Y56" i="28"/>
  <c r="Y57" i="28"/>
  <c r="Y58" i="28"/>
  <c r="Y59" i="28"/>
  <c r="Y36" i="28"/>
  <c r="X37" i="28"/>
  <c r="X38" i="28"/>
  <c r="X39" i="28"/>
  <c r="X40" i="28"/>
  <c r="X41" i="28"/>
  <c r="X42" i="28"/>
  <c r="X43" i="28"/>
  <c r="X44" i="28"/>
  <c r="X45" i="28"/>
  <c r="X46" i="28"/>
  <c r="X47" i="28"/>
  <c r="X48" i="28"/>
  <c r="X49" i="28"/>
  <c r="X50" i="28"/>
  <c r="X51" i="28"/>
  <c r="X52" i="28"/>
  <c r="X53" i="28"/>
  <c r="X54" i="28"/>
  <c r="X55" i="28"/>
  <c r="X56" i="28"/>
  <c r="X57" i="28"/>
  <c r="X58" i="28"/>
  <c r="X59" i="28"/>
  <c r="X36" i="28"/>
  <c r="H4" i="28"/>
  <c r="H5" i="28"/>
  <c r="H6" i="28"/>
  <c r="H7" i="28"/>
  <c r="H8" i="28"/>
  <c r="H9" i="28"/>
  <c r="H10" i="28"/>
  <c r="H11" i="28"/>
  <c r="H12" i="28"/>
  <c r="H13" i="28"/>
  <c r="H14" i="28"/>
  <c r="H15" i="28"/>
  <c r="H16" i="28"/>
  <c r="H17" i="28"/>
  <c r="H18" i="28"/>
  <c r="H19" i="28"/>
  <c r="H20" i="28"/>
  <c r="H21" i="28"/>
  <c r="H22" i="28"/>
  <c r="H23" i="28"/>
  <c r="H24" i="28"/>
  <c r="H25" i="28"/>
  <c r="H26" i="28"/>
  <c r="H3" i="28"/>
  <c r="EN20" i="29" l="1"/>
  <c r="EN21" i="29"/>
  <c r="EN22" i="29"/>
  <c r="EN23" i="29"/>
  <c r="EN24" i="29"/>
  <c r="EN25" i="29"/>
  <c r="EN26" i="29"/>
  <c r="EN27" i="29"/>
  <c r="EN19" i="29"/>
  <c r="Q37" i="28"/>
  <c r="Q38" i="28"/>
  <c r="Q39" i="28"/>
  <c r="Q40" i="28"/>
  <c r="Q41" i="28"/>
  <c r="Q42" i="28"/>
  <c r="Q43" i="28"/>
  <c r="Q44" i="28"/>
  <c r="Q45" i="28"/>
  <c r="Q46" i="28"/>
  <c r="Q47" i="28"/>
  <c r="Q48" i="28"/>
  <c r="Q49" i="28"/>
  <c r="Q50" i="28"/>
  <c r="Q51" i="28"/>
  <c r="Q52" i="28"/>
  <c r="Q53" i="28"/>
  <c r="Q54" i="28"/>
  <c r="Q55" i="28"/>
  <c r="Q56" i="28"/>
  <c r="Q57" i="28"/>
  <c r="Q58" i="28"/>
  <c r="Q59" i="28"/>
  <c r="Q36" i="28"/>
  <c r="P37" i="28"/>
  <c r="P38" i="28"/>
  <c r="P39" i="28"/>
  <c r="P40" i="28"/>
  <c r="P41" i="28"/>
  <c r="P42" i="28"/>
  <c r="P43" i="28"/>
  <c r="P44" i="28"/>
  <c r="P45" i="28"/>
  <c r="P46" i="28"/>
  <c r="P47" i="28"/>
  <c r="P48" i="28"/>
  <c r="P49" i="28"/>
  <c r="P50" i="28"/>
  <c r="P51" i="28"/>
  <c r="P52" i="28"/>
  <c r="P53" i="28"/>
  <c r="P54" i="28"/>
  <c r="P55" i="28"/>
  <c r="P56" i="28"/>
  <c r="P57" i="28"/>
  <c r="P58" i="28"/>
  <c r="P36" i="28"/>
  <c r="O37" i="28"/>
  <c r="O38" i="28"/>
  <c r="O39" i="28"/>
  <c r="O40" i="28"/>
  <c r="O41" i="28"/>
  <c r="O42" i="28"/>
  <c r="O43" i="28"/>
  <c r="O44" i="28"/>
  <c r="O45" i="28"/>
  <c r="O46" i="28"/>
  <c r="O47" i="28"/>
  <c r="O48" i="28"/>
  <c r="O49" i="28"/>
  <c r="O50" i="28"/>
  <c r="O51" i="28"/>
  <c r="O52" i="28"/>
  <c r="O53" i="28"/>
  <c r="O54" i="28"/>
  <c r="O55" i="28"/>
  <c r="O56" i="28"/>
  <c r="O57" i="28"/>
  <c r="O58" i="28"/>
  <c r="O36" i="28"/>
  <c r="EL26" i="29"/>
  <c r="EL21" i="29"/>
  <c r="EM26" i="29"/>
  <c r="EM25" i="29"/>
  <c r="EM24" i="29"/>
  <c r="EM23" i="29"/>
  <c r="EM22" i="29"/>
  <c r="EM20" i="29"/>
  <c r="EM19" i="29"/>
  <c r="EM16" i="29"/>
  <c r="EL14" i="29"/>
  <c r="EM21" i="29" s="1"/>
  <c r="EM10" i="29"/>
  <c r="EM11" i="29" l="1"/>
  <c r="EM12" i="29"/>
  <c r="EG25" i="29"/>
  <c r="EG24" i="29"/>
  <c r="EG23" i="29"/>
  <c r="EG22" i="29"/>
  <c r="EG21" i="29"/>
  <c r="EG20" i="29"/>
  <c r="EG19" i="29"/>
  <c r="E30" i="29" l="1"/>
  <c r="K30" i="29"/>
  <c r="H36" i="28"/>
  <c r="EA25" i="29"/>
  <c r="EA24" i="29"/>
  <c r="EA23" i="29"/>
  <c r="EA22" i="29"/>
  <c r="EA21" i="29"/>
  <c r="EA20" i="29"/>
  <c r="EA19" i="29"/>
  <c r="DU25" i="29" l="1"/>
  <c r="DU24" i="29"/>
  <c r="DU23" i="29"/>
  <c r="DU22" i="29"/>
  <c r="DU21" i="29"/>
  <c r="DU20" i="29"/>
  <c r="DU19" i="29"/>
  <c r="DO8" i="29" l="1"/>
  <c r="DO11" i="29"/>
  <c r="DO7" i="29"/>
  <c r="DO10" i="29" s="1"/>
  <c r="DO25" i="29"/>
  <c r="DO24" i="29"/>
  <c r="DO23" i="29"/>
  <c r="DO22" i="29"/>
  <c r="DO21" i="29"/>
  <c r="DO20" i="29"/>
  <c r="DO19" i="29"/>
  <c r="DO12" i="29" l="1"/>
  <c r="DO16" i="29" s="1"/>
  <c r="DI25" i="29"/>
  <c r="DI24" i="29"/>
  <c r="DI23" i="29"/>
  <c r="DI22" i="29"/>
  <c r="DI21" i="29"/>
  <c r="DI20" i="29"/>
  <c r="DI19" i="29"/>
  <c r="DC25" i="29"/>
  <c r="DC24" i="29"/>
  <c r="DC23" i="29"/>
  <c r="DC22" i="29"/>
  <c r="DC21" i="29"/>
  <c r="DC20" i="29"/>
  <c r="DC19" i="29"/>
  <c r="CW25" i="29" l="1"/>
  <c r="CW24" i="29"/>
  <c r="CW23" i="29"/>
  <c r="CW22" i="29"/>
  <c r="CW21" i="29"/>
  <c r="CW20" i="29"/>
  <c r="CW19" i="29"/>
  <c r="CQ25" i="29" l="1"/>
  <c r="CQ24" i="29"/>
  <c r="CQ23" i="29"/>
  <c r="CQ22" i="29"/>
  <c r="CQ21" i="29"/>
  <c r="CQ20" i="29"/>
  <c r="CQ19" i="29"/>
  <c r="BG26" i="29" l="1"/>
  <c r="BM26" i="29" l="1"/>
  <c r="BS26" i="29" s="1"/>
  <c r="BY26" i="29" s="1"/>
  <c r="CK8" i="29"/>
  <c r="CK25" i="29"/>
  <c r="CK24" i="29"/>
  <c r="CK23" i="29"/>
  <c r="CK22" i="29"/>
  <c r="CK21" i="29"/>
  <c r="CK20" i="29"/>
  <c r="CK19" i="29"/>
  <c r="CK7" i="29"/>
  <c r="CK10" i="29" l="1"/>
  <c r="CE8" i="29"/>
  <c r="CE10" i="29" s="1"/>
  <c r="CE7" i="29"/>
  <c r="CE25" i="29"/>
  <c r="CE24" i="29"/>
  <c r="CE23" i="29"/>
  <c r="CE22" i="29"/>
  <c r="CE21" i="29"/>
  <c r="CE20" i="29"/>
  <c r="CE19" i="29"/>
  <c r="CK11" i="29" l="1"/>
  <c r="CK12" i="29" s="1"/>
  <c r="CE12" i="29"/>
  <c r="CE16" i="29" s="1"/>
  <c r="CE26" i="29" s="1"/>
  <c r="CE27" i="29"/>
  <c r="BY25" i="29"/>
  <c r="BY24" i="29"/>
  <c r="BY23" i="29"/>
  <c r="BY22" i="29"/>
  <c r="BY21" i="29"/>
  <c r="BY20" i="29"/>
  <c r="BY19" i="29"/>
  <c r="BS25" i="29"/>
  <c r="BS24" i="29"/>
  <c r="BS23" i="29"/>
  <c r="BS22" i="29"/>
  <c r="BS21" i="29"/>
  <c r="BS20" i="29"/>
  <c r="BS19" i="29"/>
  <c r="BM25" i="29"/>
  <c r="BM24" i="29"/>
  <c r="BM23" i="29"/>
  <c r="BM22" i="29"/>
  <c r="BM21" i="29"/>
  <c r="BM20" i="29"/>
  <c r="BM19" i="29"/>
  <c r="BM27" i="29" l="1"/>
  <c r="BM28" i="29" s="1"/>
  <c r="BM29" i="29" s="1"/>
  <c r="BS27" i="29"/>
  <c r="BS28" i="29" s="1"/>
  <c r="BS29" i="29" s="1"/>
  <c r="CK16" i="29"/>
  <c r="CL16" i="29" s="1"/>
  <c r="CK26" i="29" s="1"/>
  <c r="CJ14" i="29"/>
  <c r="CE28" i="29"/>
  <c r="CE29" i="29" s="1"/>
  <c r="CF20" i="29"/>
  <c r="CF24" i="29"/>
  <c r="CF19" i="29"/>
  <c r="CF21" i="29"/>
  <c r="CF25" i="29"/>
  <c r="CF22" i="29"/>
  <c r="CF26" i="29"/>
  <c r="CF23" i="29"/>
  <c r="BY27" i="29"/>
  <c r="BY28" i="29" s="1"/>
  <c r="BY29" i="29" s="1"/>
  <c r="H37" i="28"/>
  <c r="H38" i="28"/>
  <c r="H39" i="28"/>
  <c r="H40" i="28"/>
  <c r="H41" i="28"/>
  <c r="H42" i="28"/>
  <c r="H43" i="28"/>
  <c r="H44" i="28"/>
  <c r="H45" i="28"/>
  <c r="H46" i="28"/>
  <c r="H47" i="28"/>
  <c r="H48" i="28"/>
  <c r="H49" i="28"/>
  <c r="H50" i="28"/>
  <c r="H51" i="28"/>
  <c r="H52" i="28"/>
  <c r="H53" i="28"/>
  <c r="H54" i="28"/>
  <c r="H55" i="28"/>
  <c r="H56" i="28"/>
  <c r="H57" i="28"/>
  <c r="H58" i="28"/>
  <c r="H59" i="28"/>
  <c r="G37" i="28"/>
  <c r="G36" i="28"/>
  <c r="F37" i="28"/>
  <c r="F36" i="28"/>
  <c r="AQ4" i="28"/>
  <c r="AQ5" i="28"/>
  <c r="AQ6" i="28"/>
  <c r="AQ7" i="28"/>
  <c r="AQ8" i="28"/>
  <c r="AQ9" i="28"/>
  <c r="AQ10" i="28"/>
  <c r="AQ11" i="28"/>
  <c r="AQ12" i="28"/>
  <c r="AQ13" i="28"/>
  <c r="AQ14" i="28"/>
  <c r="AQ15" i="28"/>
  <c r="AQ16" i="28"/>
  <c r="AQ17" i="28"/>
  <c r="AQ18" i="28"/>
  <c r="AQ19" i="28"/>
  <c r="AQ20" i="28"/>
  <c r="AQ21" i="28"/>
  <c r="AQ22" i="28"/>
  <c r="AQ23" i="28"/>
  <c r="AQ24" i="28"/>
  <c r="AQ25" i="28"/>
  <c r="AQ26" i="28"/>
  <c r="AQ3" i="28"/>
  <c r="AP4" i="28"/>
  <c r="AP3" i="28"/>
  <c r="AO4" i="28"/>
  <c r="AO3" i="28"/>
  <c r="AI4" i="28"/>
  <c r="AI5" i="28"/>
  <c r="AI6" i="28"/>
  <c r="AI7" i="28"/>
  <c r="AI8" i="28"/>
  <c r="AI9" i="28"/>
  <c r="AI10" i="28"/>
  <c r="AI11" i="28"/>
  <c r="AI12" i="28"/>
  <c r="AI13" i="28"/>
  <c r="AI14" i="28"/>
  <c r="AI15" i="28"/>
  <c r="AI16" i="28"/>
  <c r="AI17" i="28"/>
  <c r="AI18" i="28"/>
  <c r="AI19" i="28"/>
  <c r="AI20" i="28"/>
  <c r="AI21" i="28"/>
  <c r="AI22" i="28"/>
  <c r="AI23" i="28"/>
  <c r="AI24" i="28"/>
  <c r="AI25" i="28"/>
  <c r="AI26" i="28"/>
  <c r="AI3" i="28"/>
  <c r="AH4" i="28"/>
  <c r="AH3" i="28"/>
  <c r="AG4" i="28"/>
  <c r="AG3" i="28"/>
  <c r="Z4" i="28"/>
  <c r="Z5" i="28"/>
  <c r="Z6" i="28"/>
  <c r="Z7" i="28"/>
  <c r="Z8" i="28"/>
  <c r="Z9" i="28"/>
  <c r="Z10" i="28"/>
  <c r="Z11" i="28"/>
  <c r="Z12" i="28"/>
  <c r="Z13" i="28"/>
  <c r="Z14" i="28"/>
  <c r="Z15" i="28"/>
  <c r="Z16" i="28"/>
  <c r="Z17" i="28"/>
  <c r="Z18" i="28"/>
  <c r="Z19" i="28"/>
  <c r="Z20" i="28"/>
  <c r="Z21" i="28"/>
  <c r="Z22" i="28"/>
  <c r="Z23" i="28"/>
  <c r="Z24" i="28"/>
  <c r="Z25" i="28"/>
  <c r="Z26" i="28"/>
  <c r="Z3" i="28"/>
  <c r="Y4" i="28"/>
  <c r="Y3" i="28"/>
  <c r="X4" i="28"/>
  <c r="X3" i="28"/>
  <c r="P4" i="28"/>
  <c r="Q4" i="28"/>
  <c r="Q5" i="28"/>
  <c r="Q6" i="28"/>
  <c r="Q7" i="28"/>
  <c r="Q8" i="28"/>
  <c r="Q9" i="28"/>
  <c r="Q10" i="28"/>
  <c r="Q11" i="28"/>
  <c r="Q12" i="28"/>
  <c r="Q13" i="28"/>
  <c r="Q14" i="28"/>
  <c r="Q15" i="28"/>
  <c r="Q16" i="28"/>
  <c r="Q17" i="28"/>
  <c r="Q18" i="28"/>
  <c r="Q19" i="28"/>
  <c r="Q20" i="28"/>
  <c r="Q21" i="28"/>
  <c r="Q22" i="28"/>
  <c r="Q23" i="28"/>
  <c r="Q24" i="28"/>
  <c r="Q25" i="28"/>
  <c r="Q26" i="28"/>
  <c r="Q3" i="28"/>
  <c r="P3" i="28"/>
  <c r="O4" i="28"/>
  <c r="O3" i="28"/>
  <c r="Q108" i="27"/>
  <c r="Q109" i="27"/>
  <c r="Q110" i="27"/>
  <c r="Q111" i="27"/>
  <c r="Q112" i="27"/>
  <c r="Q113" i="27"/>
  <c r="Q114" i="27"/>
  <c r="Q115" i="27"/>
  <c r="Q116" i="27"/>
  <c r="Q117" i="27"/>
  <c r="Q118" i="27"/>
  <c r="Q119" i="27"/>
  <c r="Q120" i="27"/>
  <c r="Q121" i="27"/>
  <c r="Q122" i="27"/>
  <c r="Q123" i="27"/>
  <c r="Q124" i="27"/>
  <c r="Q125" i="27"/>
  <c r="Q126" i="27"/>
  <c r="Q127" i="27"/>
  <c r="Q128" i="27"/>
  <c r="Q129" i="27"/>
  <c r="Q130" i="27"/>
  <c r="Q107" i="27"/>
  <c r="P108" i="27"/>
  <c r="P109" i="27"/>
  <c r="P110" i="27"/>
  <c r="P111" i="27"/>
  <c r="P112" i="27"/>
  <c r="P113" i="27"/>
  <c r="P114" i="27"/>
  <c r="P115" i="27"/>
  <c r="P116" i="27"/>
  <c r="P117" i="27"/>
  <c r="P118" i="27"/>
  <c r="P119" i="27"/>
  <c r="P120" i="27"/>
  <c r="P121" i="27"/>
  <c r="P122" i="27"/>
  <c r="P123" i="27"/>
  <c r="P124" i="27"/>
  <c r="P125" i="27"/>
  <c r="P126" i="27"/>
  <c r="P127" i="27"/>
  <c r="P128" i="27"/>
  <c r="P129" i="27"/>
  <c r="P130" i="27"/>
  <c r="P107" i="27"/>
  <c r="O108" i="27"/>
  <c r="O109" i="27"/>
  <c r="O110" i="27"/>
  <c r="O111" i="27"/>
  <c r="O112" i="27"/>
  <c r="O113" i="27"/>
  <c r="O114" i="27"/>
  <c r="O115" i="27"/>
  <c r="O116" i="27"/>
  <c r="O117" i="27"/>
  <c r="O118" i="27"/>
  <c r="O119" i="27"/>
  <c r="O120" i="27"/>
  <c r="O121" i="27"/>
  <c r="O122" i="27"/>
  <c r="O123" i="27"/>
  <c r="O124" i="27"/>
  <c r="O125" i="27"/>
  <c r="O126" i="27"/>
  <c r="O127" i="27"/>
  <c r="O128" i="27"/>
  <c r="O129" i="27"/>
  <c r="O130" i="27"/>
  <c r="O107" i="27"/>
  <c r="N108" i="27"/>
  <c r="N109" i="27"/>
  <c r="N110" i="27"/>
  <c r="N111" i="27"/>
  <c r="N112" i="27"/>
  <c r="N113" i="27"/>
  <c r="N114" i="27"/>
  <c r="N115" i="27"/>
  <c r="N116" i="27"/>
  <c r="N117" i="27"/>
  <c r="N118" i="27"/>
  <c r="N119" i="27"/>
  <c r="N120" i="27"/>
  <c r="N121" i="27"/>
  <c r="N122" i="27"/>
  <c r="N123" i="27"/>
  <c r="N124" i="27"/>
  <c r="N125" i="27"/>
  <c r="N126" i="27"/>
  <c r="N127" i="27"/>
  <c r="N128" i="27"/>
  <c r="N129" i="27"/>
  <c r="N130" i="27"/>
  <c r="N107" i="27"/>
  <c r="M108" i="27"/>
  <c r="M109" i="27"/>
  <c r="M110" i="27"/>
  <c r="M111" i="27"/>
  <c r="M112" i="27"/>
  <c r="M113" i="27"/>
  <c r="M114" i="27"/>
  <c r="M115" i="27"/>
  <c r="M116" i="27"/>
  <c r="M117" i="27"/>
  <c r="M118" i="27"/>
  <c r="M119" i="27"/>
  <c r="M120" i="27"/>
  <c r="M121" i="27"/>
  <c r="M122" i="27"/>
  <c r="M123" i="27"/>
  <c r="M124" i="27"/>
  <c r="M125" i="27"/>
  <c r="M126" i="27"/>
  <c r="M127" i="27"/>
  <c r="M128" i="27"/>
  <c r="M129" i="27"/>
  <c r="M130" i="27"/>
  <c r="M107" i="27"/>
  <c r="L108" i="27"/>
  <c r="L109" i="27"/>
  <c r="L110" i="27"/>
  <c r="L111" i="27"/>
  <c r="L112" i="27"/>
  <c r="L113" i="27"/>
  <c r="L114" i="27"/>
  <c r="L115" i="27"/>
  <c r="L116" i="27"/>
  <c r="L117" i="27"/>
  <c r="L118" i="27"/>
  <c r="L119" i="27"/>
  <c r="L120" i="27"/>
  <c r="L121" i="27"/>
  <c r="L122" i="27"/>
  <c r="L123" i="27"/>
  <c r="L124" i="27"/>
  <c r="L125" i="27"/>
  <c r="L126" i="27"/>
  <c r="L127" i="27"/>
  <c r="L128" i="27"/>
  <c r="L129" i="27"/>
  <c r="L130" i="27"/>
  <c r="L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07" i="27"/>
  <c r="J108" i="27"/>
  <c r="J109" i="27"/>
  <c r="J110" i="27"/>
  <c r="J111" i="27"/>
  <c r="J112" i="27"/>
  <c r="J113" i="27"/>
  <c r="J114" i="27"/>
  <c r="J115" i="27"/>
  <c r="J116" i="27"/>
  <c r="J117" i="27"/>
  <c r="J118" i="27"/>
  <c r="J119" i="27"/>
  <c r="J120" i="27"/>
  <c r="J121" i="27"/>
  <c r="J122" i="27"/>
  <c r="J123" i="27"/>
  <c r="J124" i="27"/>
  <c r="J125" i="27"/>
  <c r="J126" i="27"/>
  <c r="J127" i="27"/>
  <c r="J128" i="27"/>
  <c r="J129" i="27"/>
  <c r="J130" i="27"/>
  <c r="J107" i="27"/>
  <c r="I108" i="27"/>
  <c r="I109" i="27"/>
  <c r="I110" i="27"/>
  <c r="I111" i="27"/>
  <c r="I112" i="27"/>
  <c r="I113" i="27"/>
  <c r="I114" i="27"/>
  <c r="I115" i="27"/>
  <c r="I116" i="27"/>
  <c r="I117" i="27"/>
  <c r="I118" i="27"/>
  <c r="I119" i="27"/>
  <c r="I120" i="27"/>
  <c r="I121" i="27"/>
  <c r="I122" i="27"/>
  <c r="I123" i="27"/>
  <c r="I124" i="27"/>
  <c r="I125" i="27"/>
  <c r="I126" i="27"/>
  <c r="I127" i="27"/>
  <c r="I128" i="27"/>
  <c r="I129" i="27"/>
  <c r="I130" i="27"/>
  <c r="I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E108" i="27"/>
  <c r="E109" i="27"/>
  <c r="E110" i="27"/>
  <c r="E111" i="27"/>
  <c r="E112" i="27"/>
  <c r="E113" i="27"/>
  <c r="E114" i="27"/>
  <c r="E115" i="27"/>
  <c r="E116" i="27"/>
  <c r="E117" i="27"/>
  <c r="E118" i="27"/>
  <c r="E119" i="27"/>
  <c r="E120" i="27"/>
  <c r="E121" i="27"/>
  <c r="E122" i="27"/>
  <c r="E123" i="27"/>
  <c r="E124" i="27"/>
  <c r="E125" i="27"/>
  <c r="E126" i="27"/>
  <c r="E127" i="27"/>
  <c r="E128" i="27"/>
  <c r="E129" i="27"/>
  <c r="E130" i="27"/>
  <c r="G107" i="27"/>
  <c r="F107" i="27"/>
  <c r="E107" i="27"/>
  <c r="D108" i="27"/>
  <c r="D109" i="27"/>
  <c r="D110" i="27"/>
  <c r="D111" i="27"/>
  <c r="D112" i="27"/>
  <c r="D113" i="27"/>
  <c r="D114" i="27"/>
  <c r="D115" i="27"/>
  <c r="D116" i="27"/>
  <c r="D117" i="27"/>
  <c r="D118" i="27"/>
  <c r="D119" i="27"/>
  <c r="D120" i="27"/>
  <c r="D121" i="27"/>
  <c r="D122" i="27"/>
  <c r="D123" i="27"/>
  <c r="D124" i="27"/>
  <c r="D125" i="27"/>
  <c r="D126" i="27"/>
  <c r="D127" i="27"/>
  <c r="D128" i="27"/>
  <c r="D129" i="27"/>
  <c r="D130" i="27"/>
  <c r="D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07" i="27"/>
  <c r="CQ26" i="29" l="1"/>
  <c r="CK27" i="29"/>
  <c r="CL26" i="29"/>
  <c r="CF27" i="29"/>
  <c r="BG25" i="29"/>
  <c r="BG24" i="29"/>
  <c r="BG23" i="29"/>
  <c r="BG22" i="29"/>
  <c r="BG21" i="29"/>
  <c r="BG20" i="29"/>
  <c r="BG19" i="29"/>
  <c r="CL19" i="29" l="1"/>
  <c r="CL22" i="29"/>
  <c r="CX23" i="29"/>
  <c r="CR22" i="29"/>
  <c r="CR25" i="29"/>
  <c r="CL23" i="29"/>
  <c r="CL20" i="29"/>
  <c r="CX19" i="29"/>
  <c r="CX24" i="29"/>
  <c r="CR19" i="29"/>
  <c r="CL21" i="29"/>
  <c r="CL24" i="29"/>
  <c r="CK28" i="29"/>
  <c r="CK29" i="29" s="1"/>
  <c r="CX20" i="29"/>
  <c r="CX25" i="29"/>
  <c r="CR21" i="29"/>
  <c r="CR24" i="29"/>
  <c r="CL25" i="29"/>
  <c r="CX21" i="29"/>
  <c r="CX22" i="29"/>
  <c r="CR20" i="29"/>
  <c r="CR23" i="29"/>
  <c r="CW26" i="29"/>
  <c r="CQ27" i="29"/>
  <c r="CQ28" i="29" s="1"/>
  <c r="CR26" i="29"/>
  <c r="BH23" i="29"/>
  <c r="BH21" i="29"/>
  <c r="BG27" i="29"/>
  <c r="BH24" i="29" s="1"/>
  <c r="BA11" i="29"/>
  <c r="BA7" i="29"/>
  <c r="BA10" i="29" s="1"/>
  <c r="BA12" i="29" s="1"/>
  <c r="BA14" i="29" s="1"/>
  <c r="BA25" i="29"/>
  <c r="BA24" i="29"/>
  <c r="BA22" i="29"/>
  <c r="BA21" i="29"/>
  <c r="BA20" i="29"/>
  <c r="BA19" i="29"/>
  <c r="DC26" i="29" l="1"/>
  <c r="CW27" i="29"/>
  <c r="CW28" i="29" s="1"/>
  <c r="CW29" i="29" s="1"/>
  <c r="CX26" i="29"/>
  <c r="CX27" i="29" s="1"/>
  <c r="CL27" i="29"/>
  <c r="BH19" i="29"/>
  <c r="CR27" i="29"/>
  <c r="BH25" i="29"/>
  <c r="BG28" i="29"/>
  <c r="BG29" i="29" s="1"/>
  <c r="BH26" i="29"/>
  <c r="BH20" i="29"/>
  <c r="BH22" i="29"/>
  <c r="BA16" i="29"/>
  <c r="AZ14" i="29"/>
  <c r="BH27" i="29" l="1"/>
  <c r="DI26" i="29"/>
  <c r="DC27" i="29"/>
  <c r="DC28" i="29" l="1"/>
  <c r="DC29" i="29" s="1"/>
  <c r="DD19" i="29"/>
  <c r="DD21" i="29"/>
  <c r="DD23" i="29"/>
  <c r="DD25" i="29"/>
  <c r="DD20" i="29"/>
  <c r="DD22" i="29"/>
  <c r="DD24" i="29"/>
  <c r="DO26" i="29"/>
  <c r="DI27" i="29"/>
  <c r="DJ26" i="29"/>
  <c r="DD26" i="29"/>
  <c r="AU25" i="29"/>
  <c r="AU24" i="29"/>
  <c r="AU23" i="29"/>
  <c r="AU22" i="29"/>
  <c r="AU21" i="29"/>
  <c r="AU20" i="29"/>
  <c r="AU19" i="29"/>
  <c r="AO25" i="29"/>
  <c r="AO22" i="29"/>
  <c r="AO21" i="29"/>
  <c r="AO20" i="29"/>
  <c r="AO19" i="29"/>
  <c r="AI25" i="29"/>
  <c r="AI24" i="29"/>
  <c r="AI23" i="29"/>
  <c r="AI22" i="29"/>
  <c r="AI21" i="29"/>
  <c r="AI20" i="29"/>
  <c r="AI19" i="29"/>
  <c r="AC25" i="29"/>
  <c r="AC24" i="29"/>
  <c r="AC23" i="29"/>
  <c r="AC22" i="29"/>
  <c r="AC21" i="29"/>
  <c r="AC20" i="29"/>
  <c r="AC19" i="29"/>
  <c r="DI28" i="29" l="1"/>
  <c r="DI29" i="29" s="1"/>
  <c r="DJ22" i="29"/>
  <c r="DJ20" i="29"/>
  <c r="DJ24" i="29"/>
  <c r="DJ25" i="29"/>
  <c r="DJ23" i="29"/>
  <c r="DJ21" i="29"/>
  <c r="DJ19" i="29"/>
  <c r="DJ27" i="29" s="1"/>
  <c r="DD27" i="29"/>
  <c r="DU26" i="29"/>
  <c r="DO27" i="29"/>
  <c r="DP26" i="29"/>
  <c r="AV21" i="29"/>
  <c r="AU27" i="29"/>
  <c r="AV25" i="29" s="1"/>
  <c r="AI27" i="29"/>
  <c r="AC27" i="29"/>
  <c r="AD25" i="29" s="1"/>
  <c r="W25" i="29"/>
  <c r="W24" i="29"/>
  <c r="W23" i="29"/>
  <c r="W22" i="29"/>
  <c r="W21" i="29"/>
  <c r="W20" i="29"/>
  <c r="W19" i="29"/>
  <c r="C75" i="27"/>
  <c r="Q25" i="29"/>
  <c r="Q24" i="29"/>
  <c r="Q23" i="29"/>
  <c r="Q22" i="29"/>
  <c r="Q21" i="29"/>
  <c r="Q20" i="29"/>
  <c r="Q19" i="29"/>
  <c r="Q55" i="27"/>
  <c r="Q56" i="27"/>
  <c r="Q57" i="27"/>
  <c r="Q58" i="27"/>
  <c r="Q59" i="27"/>
  <c r="Q60" i="27"/>
  <c r="Q61" i="27"/>
  <c r="Q62" i="27"/>
  <c r="Q63" i="27"/>
  <c r="Q64" i="27"/>
  <c r="Q65" i="27"/>
  <c r="Q66" i="27"/>
  <c r="Q67" i="27"/>
  <c r="Q68" i="27"/>
  <c r="Q69" i="27"/>
  <c r="Q70" i="27"/>
  <c r="Q71" i="27"/>
  <c r="Q72" i="27"/>
  <c r="Q73" i="27"/>
  <c r="Q74" i="27"/>
  <c r="Q75" i="27"/>
  <c r="Q76" i="27"/>
  <c r="Q77" i="27"/>
  <c r="Q78" i="27"/>
  <c r="Q79" i="27"/>
  <c r="Q80" i="27"/>
  <c r="Q81" i="27"/>
  <c r="Q82" i="27"/>
  <c r="Q83" i="27"/>
  <c r="Q84" i="27"/>
  <c r="Q85" i="27"/>
  <c r="Q86" i="27"/>
  <c r="Q87" i="27"/>
  <c r="Q88" i="27"/>
  <c r="Q89" i="27"/>
  <c r="Q90" i="27"/>
  <c r="Q91" i="27"/>
  <c r="Q92" i="27"/>
  <c r="Q93" i="27"/>
  <c r="Q94" i="27"/>
  <c r="Q95" i="27"/>
  <c r="Q96" i="27"/>
  <c r="Q97" i="27"/>
  <c r="P55" i="27"/>
  <c r="P56" i="27"/>
  <c r="P57" i="27"/>
  <c r="P58" i="27"/>
  <c r="P59" i="27"/>
  <c r="P60" i="27"/>
  <c r="P61" i="27"/>
  <c r="P62" i="27"/>
  <c r="P63" i="27"/>
  <c r="P64" i="27"/>
  <c r="P65" i="27"/>
  <c r="P66" i="27"/>
  <c r="P67" i="27"/>
  <c r="P68" i="27"/>
  <c r="P69" i="27"/>
  <c r="P70" i="27"/>
  <c r="P71" i="27"/>
  <c r="P72" i="27"/>
  <c r="P73" i="27"/>
  <c r="P74" i="27"/>
  <c r="P75" i="27"/>
  <c r="P76" i="27"/>
  <c r="P77" i="27"/>
  <c r="P78" i="27"/>
  <c r="P79" i="27"/>
  <c r="P80" i="27"/>
  <c r="P81" i="27"/>
  <c r="P82" i="27"/>
  <c r="P83" i="27"/>
  <c r="P84" i="27"/>
  <c r="P85" i="27"/>
  <c r="P86" i="27"/>
  <c r="P87" i="27"/>
  <c r="P88" i="27"/>
  <c r="P89" i="27"/>
  <c r="P90" i="27"/>
  <c r="P91" i="27"/>
  <c r="P92" i="27"/>
  <c r="P93" i="27"/>
  <c r="P94" i="27"/>
  <c r="P95" i="27"/>
  <c r="P96" i="27"/>
  <c r="P97"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O86" i="27"/>
  <c r="O87" i="27"/>
  <c r="O88" i="27"/>
  <c r="O89" i="27"/>
  <c r="O90" i="27"/>
  <c r="O91" i="27"/>
  <c r="O92" i="27"/>
  <c r="O93" i="27"/>
  <c r="O94" i="27"/>
  <c r="O95" i="27"/>
  <c r="O96" i="27"/>
  <c r="O97"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86" i="27"/>
  <c r="M87" i="27"/>
  <c r="M88" i="27"/>
  <c r="M89" i="27"/>
  <c r="M90" i="27"/>
  <c r="M91" i="27"/>
  <c r="M92" i="27"/>
  <c r="M93" i="27"/>
  <c r="M94" i="27"/>
  <c r="M95" i="27"/>
  <c r="M96" i="27"/>
  <c r="M97"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J55" i="27"/>
  <c r="J56" i="27"/>
  <c r="J57" i="27"/>
  <c r="J58" i="27"/>
  <c r="J59" i="27"/>
  <c r="J60" i="27"/>
  <c r="J61" i="27"/>
  <c r="J62" i="27"/>
  <c r="J63" i="27"/>
  <c r="J64" i="27"/>
  <c r="J65" i="27"/>
  <c r="J66" i="27"/>
  <c r="J67" i="27"/>
  <c r="J68" i="27"/>
  <c r="J69" i="27"/>
  <c r="J70" i="27"/>
  <c r="J71" i="27"/>
  <c r="J72" i="27"/>
  <c r="J73" i="27"/>
  <c r="J74" i="27"/>
  <c r="J75" i="27"/>
  <c r="J76" i="27"/>
  <c r="J77" i="27"/>
  <c r="J78" i="27"/>
  <c r="J79" i="27"/>
  <c r="J80" i="27"/>
  <c r="J81" i="27"/>
  <c r="J82" i="27"/>
  <c r="J83" i="27"/>
  <c r="J84" i="27"/>
  <c r="J85" i="27"/>
  <c r="J86" i="27"/>
  <c r="J87" i="27"/>
  <c r="J88" i="27"/>
  <c r="J89" i="27"/>
  <c r="J90" i="27"/>
  <c r="J91" i="27"/>
  <c r="J92" i="27"/>
  <c r="J93" i="27"/>
  <c r="J94" i="27"/>
  <c r="J95" i="27"/>
  <c r="J96" i="27"/>
  <c r="J97" i="27"/>
  <c r="I55" i="27"/>
  <c r="I56" i="27"/>
  <c r="I57" i="27"/>
  <c r="I58" i="27"/>
  <c r="I59" i="27"/>
  <c r="I60" i="27"/>
  <c r="I61" i="27"/>
  <c r="I62" i="27"/>
  <c r="I63" i="27"/>
  <c r="I64" i="27"/>
  <c r="I65" i="27"/>
  <c r="I66" i="27"/>
  <c r="I67" i="27"/>
  <c r="I68" i="27"/>
  <c r="I69" i="27"/>
  <c r="I70" i="27"/>
  <c r="I71" i="27"/>
  <c r="I72" i="27"/>
  <c r="I73" i="27"/>
  <c r="I74" i="27"/>
  <c r="I75" i="27"/>
  <c r="I76" i="27"/>
  <c r="I77" i="27"/>
  <c r="I78" i="27"/>
  <c r="I79" i="27"/>
  <c r="I80" i="27"/>
  <c r="I81" i="27"/>
  <c r="I82" i="27"/>
  <c r="I83" i="27"/>
  <c r="I84" i="27"/>
  <c r="I85" i="27"/>
  <c r="I86" i="27"/>
  <c r="I87" i="27"/>
  <c r="I88" i="27"/>
  <c r="I89" i="27"/>
  <c r="I90" i="27"/>
  <c r="I91" i="27"/>
  <c r="I92" i="27"/>
  <c r="I93" i="27"/>
  <c r="I94" i="27"/>
  <c r="I95" i="27"/>
  <c r="I96" i="27"/>
  <c r="I97"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D55" i="27"/>
  <c r="D56" i="27"/>
  <c r="D57" i="27"/>
  <c r="D58" i="27"/>
  <c r="D59" i="27"/>
  <c r="D60" i="27"/>
  <c r="D61" i="27"/>
  <c r="D62" i="27"/>
  <c r="D63" i="27"/>
  <c r="D64" i="27"/>
  <c r="D65" i="27"/>
  <c r="D66" i="27"/>
  <c r="D67" i="27"/>
  <c r="D68" i="27"/>
  <c r="D69" i="27"/>
  <c r="D70" i="27"/>
  <c r="D71" i="27"/>
  <c r="D72" i="27"/>
  <c r="D73" i="27"/>
  <c r="D74" i="27"/>
  <c r="D75" i="27"/>
  <c r="D76" i="27"/>
  <c r="D77" i="27"/>
  <c r="D78" i="27"/>
  <c r="D79" i="27"/>
  <c r="D80" i="27"/>
  <c r="D81" i="27"/>
  <c r="D82" i="27"/>
  <c r="D83" i="27"/>
  <c r="D84" i="27"/>
  <c r="D85" i="27"/>
  <c r="D86" i="27"/>
  <c r="D87" i="27"/>
  <c r="D88" i="27"/>
  <c r="D89" i="27"/>
  <c r="D90" i="27"/>
  <c r="D91" i="27"/>
  <c r="D92" i="27"/>
  <c r="D93" i="27"/>
  <c r="D94" i="27"/>
  <c r="D95" i="27"/>
  <c r="D96" i="27"/>
  <c r="D97" i="27"/>
  <c r="C55" i="27"/>
  <c r="C56" i="27"/>
  <c r="C57" i="27"/>
  <c r="C58" i="27"/>
  <c r="C59" i="27"/>
  <c r="C60" i="27"/>
  <c r="C61" i="27"/>
  <c r="C62" i="27"/>
  <c r="C63" i="27"/>
  <c r="C64" i="27"/>
  <c r="C65" i="27"/>
  <c r="C66" i="27"/>
  <c r="C67" i="27"/>
  <c r="C68" i="27"/>
  <c r="C69" i="27"/>
  <c r="C70" i="27"/>
  <c r="C71" i="27"/>
  <c r="C72" i="27"/>
  <c r="C73" i="27"/>
  <c r="C74" i="27"/>
  <c r="C76" i="27"/>
  <c r="C77" i="27"/>
  <c r="C78" i="27"/>
  <c r="C79" i="27"/>
  <c r="C80" i="27"/>
  <c r="C81" i="27"/>
  <c r="C82" i="27"/>
  <c r="C83" i="27"/>
  <c r="C84" i="27"/>
  <c r="C85" i="27"/>
  <c r="C86" i="27"/>
  <c r="C87" i="27"/>
  <c r="C88" i="27"/>
  <c r="C89" i="27"/>
  <c r="C90" i="27"/>
  <c r="C91" i="27"/>
  <c r="C92" i="27"/>
  <c r="C93" i="27"/>
  <c r="C94" i="27"/>
  <c r="C95" i="27"/>
  <c r="C96" i="27"/>
  <c r="C97" i="27"/>
  <c r="C54" i="27"/>
  <c r="D54" i="27"/>
  <c r="E54" i="27"/>
  <c r="F54" i="27"/>
  <c r="G54" i="27"/>
  <c r="H54" i="27"/>
  <c r="I54" i="27"/>
  <c r="J54" i="27"/>
  <c r="K54" i="27"/>
  <c r="L54" i="27"/>
  <c r="M54" i="27"/>
  <c r="N54" i="27"/>
  <c r="O54" i="27"/>
  <c r="P54" i="27"/>
  <c r="Q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54" i="27"/>
  <c r="K25" i="29"/>
  <c r="K24" i="29"/>
  <c r="K23" i="29"/>
  <c r="K22" i="29"/>
  <c r="K21" i="29"/>
  <c r="K20" i="29"/>
  <c r="K19" i="29"/>
  <c r="Z4" i="26"/>
  <c r="Z5" i="26"/>
  <c r="Z6" i="26"/>
  <c r="Z7" i="26"/>
  <c r="Z8" i="26"/>
  <c r="Z9" i="26"/>
  <c r="Z3" i="26"/>
  <c r="E20" i="29"/>
  <c r="E21" i="29"/>
  <c r="E22" i="29"/>
  <c r="E23" i="29"/>
  <c r="E24" i="29"/>
  <c r="E25" i="29"/>
  <c r="E19" i="29"/>
  <c r="P59" i="28" l="1"/>
  <c r="O59" i="28"/>
  <c r="E27" i="29"/>
  <c r="E28" i="29" s="1"/>
  <c r="E29" i="29" s="1"/>
  <c r="AD23" i="29"/>
  <c r="DP20" i="29"/>
  <c r="DP22" i="29"/>
  <c r="DP24" i="29"/>
  <c r="DP21" i="29"/>
  <c r="DP23" i="29"/>
  <c r="DO28" i="29"/>
  <c r="DO29" i="29" s="1"/>
  <c r="DP25" i="29"/>
  <c r="DP19" i="29"/>
  <c r="AD24" i="29"/>
  <c r="EA26" i="29"/>
  <c r="DU27" i="29"/>
  <c r="AD22" i="29"/>
  <c r="P8" i="28"/>
  <c r="P12" i="28"/>
  <c r="P16" i="28"/>
  <c r="P20" i="28"/>
  <c r="P24" i="28"/>
  <c r="O6" i="28"/>
  <c r="O10" i="28"/>
  <c r="O14" i="28"/>
  <c r="O18" i="28"/>
  <c r="O22" i="28"/>
  <c r="P5" i="28"/>
  <c r="P9" i="28"/>
  <c r="P13" i="28"/>
  <c r="P17" i="28"/>
  <c r="P21" i="28"/>
  <c r="O7" i="28"/>
  <c r="O11" i="28"/>
  <c r="O15" i="28"/>
  <c r="O19" i="28"/>
  <c r="O23" i="28"/>
  <c r="P6" i="28"/>
  <c r="P10" i="28"/>
  <c r="P14" i="28"/>
  <c r="P18" i="28"/>
  <c r="P22" i="28"/>
  <c r="O8" i="28"/>
  <c r="O12" i="28"/>
  <c r="O16" i="28"/>
  <c r="O20" i="28"/>
  <c r="O24" i="28"/>
  <c r="P7" i="28"/>
  <c r="P11" i="28"/>
  <c r="P15" i="28"/>
  <c r="P19" i="28"/>
  <c r="P23" i="28"/>
  <c r="O5" i="28"/>
  <c r="O9" i="28"/>
  <c r="O13" i="28"/>
  <c r="O17" i="28"/>
  <c r="O21" i="28"/>
  <c r="P25" i="28"/>
  <c r="O25" i="28"/>
  <c r="O26" i="28"/>
  <c r="P26" i="28"/>
  <c r="G5" i="28"/>
  <c r="G9" i="28"/>
  <c r="G13" i="28"/>
  <c r="G17" i="28"/>
  <c r="G21" i="28"/>
  <c r="F8" i="28"/>
  <c r="F12" i="28"/>
  <c r="F16" i="28"/>
  <c r="F20" i="28"/>
  <c r="F24" i="28"/>
  <c r="G6" i="28"/>
  <c r="G10" i="28"/>
  <c r="G14" i="28"/>
  <c r="G18" i="28"/>
  <c r="G22" i="28"/>
  <c r="F5" i="28"/>
  <c r="F9" i="28"/>
  <c r="F13" i="28"/>
  <c r="F17" i="28"/>
  <c r="F21" i="28"/>
  <c r="G7" i="28"/>
  <c r="G11" i="28"/>
  <c r="G15" i="28"/>
  <c r="G19" i="28"/>
  <c r="G23" i="28"/>
  <c r="F6" i="28"/>
  <c r="F10" i="28"/>
  <c r="F14" i="28"/>
  <c r="F18" i="28"/>
  <c r="F22" i="28"/>
  <c r="G8" i="28"/>
  <c r="G12" i="28"/>
  <c r="G16" i="28"/>
  <c r="G20" i="28"/>
  <c r="G24" i="28"/>
  <c r="F7" i="28"/>
  <c r="F11" i="28"/>
  <c r="F15" i="28"/>
  <c r="F19" i="28"/>
  <c r="F23" i="28"/>
  <c r="G25" i="28"/>
  <c r="F25" i="28"/>
  <c r="G26" i="28"/>
  <c r="F26" i="28"/>
  <c r="G58" i="28"/>
  <c r="F58" i="28"/>
  <c r="G38" i="28"/>
  <c r="G42" i="28"/>
  <c r="G46" i="28"/>
  <c r="G50" i="28"/>
  <c r="G54" i="28"/>
  <c r="F39" i="28"/>
  <c r="F43" i="28"/>
  <c r="F47" i="28"/>
  <c r="F51" i="28"/>
  <c r="F55" i="28"/>
  <c r="G39" i="28"/>
  <c r="G43" i="28"/>
  <c r="G47" i="28"/>
  <c r="G51" i="28"/>
  <c r="G55" i="28"/>
  <c r="F40" i="28"/>
  <c r="F44" i="28"/>
  <c r="F48" i="28"/>
  <c r="F52" i="28"/>
  <c r="F56" i="28"/>
  <c r="G45" i="28"/>
  <c r="G49" i="28"/>
  <c r="G53" i="28"/>
  <c r="G57" i="28"/>
  <c r="F38" i="28"/>
  <c r="F42" i="28"/>
  <c r="F46" i="28"/>
  <c r="F50" i="28"/>
  <c r="F54" i="28"/>
  <c r="G40" i="28"/>
  <c r="G44" i="28"/>
  <c r="G48" i="28"/>
  <c r="G52" i="28"/>
  <c r="G56" i="28"/>
  <c r="F41" i="28"/>
  <c r="F45" i="28"/>
  <c r="F49" i="28"/>
  <c r="F53" i="28"/>
  <c r="F57" i="28"/>
  <c r="G41" i="28"/>
  <c r="F59" i="28"/>
  <c r="G59" i="28"/>
  <c r="AP8" i="28"/>
  <c r="AP12" i="28"/>
  <c r="AP16" i="28"/>
  <c r="AP20" i="28"/>
  <c r="AP24" i="28"/>
  <c r="AO5" i="28"/>
  <c r="AO9" i="28"/>
  <c r="AO13" i="28"/>
  <c r="AO17" i="28"/>
  <c r="AO21" i="28"/>
  <c r="AP5" i="28"/>
  <c r="AP9" i="28"/>
  <c r="AP13" i="28"/>
  <c r="AP17" i="28"/>
  <c r="AP21" i="28"/>
  <c r="AO6" i="28"/>
  <c r="AO10" i="28"/>
  <c r="AO14" i="28"/>
  <c r="AO18" i="28"/>
  <c r="AO22" i="28"/>
  <c r="AP6" i="28"/>
  <c r="AP10" i="28"/>
  <c r="AP14" i="28"/>
  <c r="AP18" i="28"/>
  <c r="AP22" i="28"/>
  <c r="AO7" i="28"/>
  <c r="AO11" i="28"/>
  <c r="AO15" i="28"/>
  <c r="AO19" i="28"/>
  <c r="AO23" i="28"/>
  <c r="AP7" i="28"/>
  <c r="AP11" i="28"/>
  <c r="AP15" i="28"/>
  <c r="AP19" i="28"/>
  <c r="AP23" i="28"/>
  <c r="AO8" i="28"/>
  <c r="AO12" i="28"/>
  <c r="AO16" i="28"/>
  <c r="AO20" i="28"/>
  <c r="AO24" i="28"/>
  <c r="AO25" i="28"/>
  <c r="AP25" i="28"/>
  <c r="AP26" i="28"/>
  <c r="AO26" i="28"/>
  <c r="AG25" i="28"/>
  <c r="AH25" i="28"/>
  <c r="AH7" i="28"/>
  <c r="AH11" i="28"/>
  <c r="AH15" i="28"/>
  <c r="AH19" i="28"/>
  <c r="AH23" i="28"/>
  <c r="AG8" i="28"/>
  <c r="AG12" i="28"/>
  <c r="AG16" i="28"/>
  <c r="AG20" i="28"/>
  <c r="AG24" i="28"/>
  <c r="AG6" i="28"/>
  <c r="AH10" i="28"/>
  <c r="AG15" i="28"/>
  <c r="AH8" i="28"/>
  <c r="AH12" i="28"/>
  <c r="AH16" i="28"/>
  <c r="AH20" i="28"/>
  <c r="AH24" i="28"/>
  <c r="AG5" i="28"/>
  <c r="AG9" i="28"/>
  <c r="AG13" i="28"/>
  <c r="AG17" i="28"/>
  <c r="AG21" i="28"/>
  <c r="AH5" i="28"/>
  <c r="AH9" i="28"/>
  <c r="AH13" i="28"/>
  <c r="AH17" i="28"/>
  <c r="AH21" i="28"/>
  <c r="AG10" i="28"/>
  <c r="AG14" i="28"/>
  <c r="AG18" i="28"/>
  <c r="AG22" i="28"/>
  <c r="AH6" i="28"/>
  <c r="AH14" i="28"/>
  <c r="AH18" i="28"/>
  <c r="AH22" i="28"/>
  <c r="AG7" i="28"/>
  <c r="AG11" i="28"/>
  <c r="AG19" i="28"/>
  <c r="AG23" i="28"/>
  <c r="AG26" i="28"/>
  <c r="AH26" i="28"/>
  <c r="Y25" i="28"/>
  <c r="X25" i="28"/>
  <c r="Y6" i="28"/>
  <c r="Y10" i="28"/>
  <c r="Y14" i="28"/>
  <c r="Y18" i="28"/>
  <c r="Y22" i="28"/>
  <c r="X7" i="28"/>
  <c r="X11" i="28"/>
  <c r="X15" i="28"/>
  <c r="X19" i="28"/>
  <c r="X23" i="28"/>
  <c r="Y8" i="28"/>
  <c r="Y16" i="28"/>
  <c r="Y20" i="28"/>
  <c r="Y24" i="28"/>
  <c r="X9" i="28"/>
  <c r="X13" i="28"/>
  <c r="X17" i="28"/>
  <c r="X21" i="28"/>
  <c r="Y9" i="28"/>
  <c r="Y13" i="28"/>
  <c r="Y17" i="28"/>
  <c r="X6" i="28"/>
  <c r="X14" i="28"/>
  <c r="X18" i="28"/>
  <c r="X22" i="28"/>
  <c r="Y7" i="28"/>
  <c r="Y11" i="28"/>
  <c r="Y15" i="28"/>
  <c r="Y19" i="28"/>
  <c r="Y23" i="28"/>
  <c r="X8" i="28"/>
  <c r="X12" i="28"/>
  <c r="X16" i="28"/>
  <c r="X20" i="28"/>
  <c r="X24" i="28"/>
  <c r="Y12" i="28"/>
  <c r="X5" i="28"/>
  <c r="Y5" i="28"/>
  <c r="Y21" i="28"/>
  <c r="X10" i="28"/>
  <c r="Y26" i="28"/>
  <c r="X26" i="28"/>
  <c r="X20" i="29"/>
  <c r="AU28" i="29"/>
  <c r="AU29" i="29" s="1"/>
  <c r="AV26" i="29"/>
  <c r="AV23" i="29"/>
  <c r="X25" i="29"/>
  <c r="AV24" i="29"/>
  <c r="AV19" i="29"/>
  <c r="AD19" i="29"/>
  <c r="X19" i="29"/>
  <c r="F20" i="29"/>
  <c r="AC28" i="29"/>
  <c r="AC29" i="29" s="1"/>
  <c r="AD26" i="29"/>
  <c r="AV20" i="29"/>
  <c r="AV22" i="29"/>
  <c r="AD21" i="29"/>
  <c r="AD20" i="29"/>
  <c r="AI28" i="29"/>
  <c r="AI29" i="29" s="1"/>
  <c r="AJ20" i="29"/>
  <c r="AJ24" i="29"/>
  <c r="AJ21" i="29"/>
  <c r="AJ25" i="29"/>
  <c r="AJ23" i="29"/>
  <c r="AJ22" i="29"/>
  <c r="AJ26" i="29"/>
  <c r="AJ19" i="29"/>
  <c r="G3" i="28"/>
  <c r="F3" i="28"/>
  <c r="G4" i="28"/>
  <c r="F4" i="28"/>
  <c r="W27" i="29"/>
  <c r="X21" i="29" s="1"/>
  <c r="Q27" i="29"/>
  <c r="K27" i="29"/>
  <c r="L21" i="29" s="1"/>
  <c r="F24" i="29"/>
  <c r="F26" i="29"/>
  <c r="F19" i="29"/>
  <c r="F22" i="29"/>
  <c r="F25" i="29"/>
  <c r="F21" i="29"/>
  <c r="F23" i="29"/>
  <c r="A3" i="27"/>
  <c r="A4" i="27"/>
  <c r="A5" i="27"/>
  <c r="A6" i="27"/>
  <c r="A7" i="27"/>
  <c r="A8" i="27"/>
  <c r="A9" i="27"/>
  <c r="A10" i="27"/>
  <c r="A11" i="27"/>
  <c r="A12" i="27"/>
  <c r="A13" i="27"/>
  <c r="A14" i="27"/>
  <c r="A15" i="27"/>
  <c r="A16" i="27"/>
  <c r="A17" i="27"/>
  <c r="A18" i="27"/>
  <c r="A19" i="27"/>
  <c r="A20" i="27"/>
  <c r="A21" i="27"/>
  <c r="A22" i="27"/>
  <c r="EG26" i="29" l="1"/>
  <c r="EA27" i="29"/>
  <c r="DU28" i="29"/>
  <c r="DU29" i="29" s="1"/>
  <c r="DV19" i="29"/>
  <c r="DV21" i="29"/>
  <c r="DV23" i="29"/>
  <c r="DV25" i="29"/>
  <c r="DV20" i="29"/>
  <c r="DV22" i="29"/>
  <c r="DV24" i="29"/>
  <c r="DP27" i="29"/>
  <c r="DV26" i="29"/>
  <c r="L24" i="29"/>
  <c r="K28" i="29"/>
  <c r="K29" i="29" s="1"/>
  <c r="L26" i="29"/>
  <c r="L19" i="29"/>
  <c r="L20" i="29"/>
  <c r="L22" i="29"/>
  <c r="W28" i="29"/>
  <c r="W29" i="29" s="1"/>
  <c r="X26" i="29"/>
  <c r="X22" i="29"/>
  <c r="X23" i="29"/>
  <c r="X24" i="29"/>
  <c r="L23" i="29"/>
  <c r="L25" i="29"/>
  <c r="AJ27" i="29"/>
  <c r="Q28" i="29"/>
  <c r="Q29" i="29" s="1"/>
  <c r="R20" i="29"/>
  <c r="R24" i="29"/>
  <c r="R21" i="29"/>
  <c r="R25" i="29"/>
  <c r="R26" i="29"/>
  <c r="R23" i="29"/>
  <c r="R19" i="29"/>
  <c r="R22" i="29"/>
  <c r="F27" i="29"/>
  <c r="Y10" i="26"/>
  <c r="X9" i="26"/>
  <c r="Y9" i="26" s="1"/>
  <c r="X8" i="26"/>
  <c r="Y8" i="26" s="1"/>
  <c r="X7" i="26"/>
  <c r="Y7" i="26" s="1"/>
  <c r="X6" i="26"/>
  <c r="Y6" i="26" s="1"/>
  <c r="X5" i="26"/>
  <c r="Y5" i="26" s="1"/>
  <c r="X4" i="26"/>
  <c r="Y4" i="26" s="1"/>
  <c r="X3" i="26"/>
  <c r="Y3" i="26" s="1"/>
  <c r="Q14" i="26" a="1"/>
  <c r="Q14" i="26" s="1"/>
  <c r="X11" i="26"/>
  <c r="EA28" i="29" l="1"/>
  <c r="EA29" i="29" s="1"/>
  <c r="EB22" i="29"/>
  <c r="EB19" i="29"/>
  <c r="EB21" i="29"/>
  <c r="EB23" i="29"/>
  <c r="EB25" i="29"/>
  <c r="EB20" i="29"/>
  <c r="EB24" i="29"/>
  <c r="X27" i="29"/>
  <c r="EB26" i="29"/>
  <c r="L27" i="29"/>
  <c r="DV27" i="29"/>
  <c r="EG27" i="29"/>
  <c r="R27" i="29"/>
  <c r="Y11" i="26"/>
  <c r="T13" i="26"/>
  <c r="S13" i="26"/>
  <c r="R13" i="26"/>
  <c r="Q13" i="26"/>
  <c r="P13" i="26"/>
  <c r="K3" i="26"/>
  <c r="EG28" i="29" l="1"/>
  <c r="EG29" i="29" s="1"/>
  <c r="EH20" i="29"/>
  <c r="EH24" i="29"/>
  <c r="EH21" i="29"/>
  <c r="EH23" i="29"/>
  <c r="EH25" i="29"/>
  <c r="EH22" i="29"/>
  <c r="EH19" i="29"/>
  <c r="EH26" i="29"/>
  <c r="EB27" i="29"/>
  <c r="EM28" i="29"/>
  <c r="EM29" i="29" s="1"/>
  <c r="EM30" i="29" s="1"/>
  <c r="T14" i="26" a="1"/>
  <c r="T14" i="26" s="1"/>
  <c r="T15" i="26" s="1"/>
  <c r="S14" i="26" a="1"/>
  <c r="S14" i="26" s="1"/>
  <c r="S15" i="26" s="1"/>
  <c r="R14" i="26" a="1"/>
  <c r="R14" i="26" s="1"/>
  <c r="R15" i="26" s="1"/>
  <c r="Q15" i="26"/>
  <c r="P14" i="26" a="1"/>
  <c r="P14" i="26" s="1"/>
  <c r="T12" i="26"/>
  <c r="S12" i="26"/>
  <c r="R12" i="26"/>
  <c r="Q12" i="26"/>
  <c r="P12" i="26"/>
  <c r="M4" i="26"/>
  <c r="M5" i="26"/>
  <c r="M6" i="26"/>
  <c r="M7" i="26"/>
  <c r="M8" i="26"/>
  <c r="M9" i="26"/>
  <c r="M3" i="26"/>
  <c r="L9" i="26"/>
  <c r="L8" i="26"/>
  <c r="L7" i="26"/>
  <c r="L6" i="26"/>
  <c r="L5" i="26"/>
  <c r="L4" i="26"/>
  <c r="L3" i="26"/>
  <c r="K9" i="26"/>
  <c r="K8" i="26"/>
  <c r="K7" i="26"/>
  <c r="K6" i="26"/>
  <c r="K5" i="26"/>
  <c r="K4" i="26"/>
  <c r="T15" i="24" a="1"/>
  <c r="T15" i="24"/>
  <c r="V11" i="24"/>
  <c r="T3" i="24" a="1"/>
  <c r="T3" i="24"/>
  <c r="U3" i="24"/>
  <c r="V3" i="24"/>
  <c r="W3" i="24"/>
  <c r="X3" i="24"/>
  <c r="Y3" i="24"/>
  <c r="Z3" i="24"/>
  <c r="T4" i="24"/>
  <c r="U4" i="24"/>
  <c r="V4" i="24"/>
  <c r="W4" i="24"/>
  <c r="X4" i="24"/>
  <c r="Y4" i="24"/>
  <c r="Z4" i="24"/>
  <c r="T5" i="24"/>
  <c r="U5" i="24"/>
  <c r="V5" i="24"/>
  <c r="W5" i="24"/>
  <c r="X5" i="24"/>
  <c r="Y5" i="24"/>
  <c r="Z5" i="24"/>
  <c r="T6" i="24"/>
  <c r="U6" i="24"/>
  <c r="V6" i="24"/>
  <c r="W6" i="24"/>
  <c r="X6" i="24"/>
  <c r="Y6" i="24"/>
  <c r="Z6" i="24"/>
  <c r="T7" i="24"/>
  <c r="U7" i="24"/>
  <c r="V7" i="24"/>
  <c r="W7" i="24"/>
  <c r="X7" i="24"/>
  <c r="Y7" i="24"/>
  <c r="Z7" i="24"/>
  <c r="T8" i="24"/>
  <c r="U8" i="24"/>
  <c r="V8" i="24"/>
  <c r="W8" i="24"/>
  <c r="X8" i="24"/>
  <c r="Y8" i="24"/>
  <c r="Z8" i="24"/>
  <c r="T9" i="24"/>
  <c r="U9" i="24"/>
  <c r="V9" i="24"/>
  <c r="W9" i="24"/>
  <c r="X9" i="24"/>
  <c r="Y9" i="24"/>
  <c r="Z9" i="24"/>
  <c r="Q4" i="24"/>
  <c r="Q5" i="24"/>
  <c r="Q6" i="24"/>
  <c r="Q7" i="24"/>
  <c r="Q8" i="24"/>
  <c r="Q9" i="24"/>
  <c r="Q10" i="24"/>
  <c r="Q11" i="24"/>
  <c r="Q12" i="24"/>
  <c r="Q13" i="24"/>
  <c r="Q14" i="24"/>
  <c r="Q15" i="24"/>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Q140" i="24"/>
  <c r="Q141" i="24"/>
  <c r="Q142" i="24"/>
  <c r="Q143" i="24"/>
  <c r="Q144" i="24"/>
  <c r="Q145" i="24"/>
  <c r="Q146" i="24"/>
  <c r="Q147" i="24"/>
  <c r="Q148" i="24"/>
  <c r="Q149" i="24"/>
  <c r="Q150" i="24"/>
  <c r="Q151" i="24"/>
  <c r="Q152" i="24"/>
  <c r="Q153" i="24"/>
  <c r="Q154" i="24"/>
  <c r="Q155" i="24"/>
  <c r="Q156" i="24"/>
  <c r="Q157" i="24"/>
  <c r="Q158" i="24"/>
  <c r="Q159" i="24"/>
  <c r="Q160" i="24"/>
  <c r="Q161" i="24"/>
  <c r="Q162" i="24"/>
  <c r="Q163" i="24"/>
  <c r="Q164" i="24"/>
  <c r="Q165" i="24"/>
  <c r="Q166" i="24"/>
  <c r="Q167" i="24"/>
  <c r="Q168" i="24"/>
  <c r="Q169" i="24"/>
  <c r="Q170" i="24"/>
  <c r="Q171" i="24"/>
  <c r="Q172" i="24"/>
  <c r="Q173" i="24"/>
  <c r="Q174" i="24"/>
  <c r="Q175" i="24"/>
  <c r="Q176" i="24"/>
  <c r="Q177" i="24"/>
  <c r="Q178" i="24"/>
  <c r="Q179" i="24"/>
  <c r="Q180" i="24"/>
  <c r="Q181" i="24"/>
  <c r="Q182" i="24"/>
  <c r="Q183" i="24"/>
  <c r="Q184" i="24"/>
  <c r="Q185" i="24"/>
  <c r="Q186" i="24"/>
  <c r="Q187" i="24"/>
  <c r="Q188" i="24"/>
  <c r="Q189" i="24"/>
  <c r="Q190" i="24"/>
  <c r="Q191" i="24"/>
  <c r="Q192" i="24"/>
  <c r="Q193" i="24"/>
  <c r="Q194" i="24"/>
  <c r="Q195" i="24"/>
  <c r="Q196" i="24"/>
  <c r="Q197" i="24"/>
  <c r="Q198" i="24"/>
  <c r="Q199" i="24"/>
  <c r="Q200" i="24"/>
  <c r="Q201" i="24"/>
  <c r="Q202" i="24"/>
  <c r="Q203" i="24"/>
  <c r="Q204" i="24"/>
  <c r="Q205" i="24"/>
  <c r="Q206" i="24"/>
  <c r="Q207" i="24"/>
  <c r="Q208" i="24"/>
  <c r="Q209" i="24"/>
  <c r="Q210" i="24"/>
  <c r="Q211" i="24"/>
  <c r="Q212" i="24"/>
  <c r="Q213" i="24"/>
  <c r="Q214" i="24"/>
  <c r="Q215" i="24"/>
  <c r="Q216" i="24"/>
  <c r="Q217" i="24"/>
  <c r="Q218" i="24"/>
  <c r="Q219" i="24"/>
  <c r="Q220" i="24"/>
  <c r="Q221" i="24"/>
  <c r="Q222" i="24"/>
  <c r="Q223" i="24"/>
  <c r="Q224" i="24"/>
  <c r="Q225" i="24"/>
  <c r="Q226" i="24"/>
  <c r="Q227" i="24"/>
  <c r="Q228" i="24"/>
  <c r="Q229" i="24"/>
  <c r="Q230" i="24"/>
  <c r="Q231" i="24"/>
  <c r="Q232" i="24"/>
  <c r="Q233" i="24"/>
  <c r="Q234" i="24"/>
  <c r="Q235" i="24"/>
  <c r="Q236" i="24"/>
  <c r="Q237" i="24"/>
  <c r="Q238" i="24"/>
  <c r="Q239" i="24"/>
  <c r="Q240" i="24"/>
  <c r="Q241" i="24"/>
  <c r="Q242" i="24"/>
  <c r="Q243" i="24"/>
  <c r="Q244" i="24"/>
  <c r="Q245" i="24"/>
  <c r="Q246" i="24"/>
  <c r="Q247" i="24"/>
  <c r="Q248" i="24"/>
  <c r="Q249" i="24"/>
  <c r="Q3" i="24"/>
  <c r="P4" i="24"/>
  <c r="P5" i="24"/>
  <c r="P6" i="24"/>
  <c r="P7" i="24"/>
  <c r="P8" i="24"/>
  <c r="P9" i="24"/>
  <c r="P10" i="24"/>
  <c r="P11" i="24"/>
  <c r="P12" i="24"/>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P87" i="24"/>
  <c r="P88" i="24"/>
  <c r="P89" i="24"/>
  <c r="P90" i="24"/>
  <c r="P91" i="24"/>
  <c r="P92" i="24"/>
  <c r="P93" i="24"/>
  <c r="P94" i="24"/>
  <c r="P95" i="24"/>
  <c r="P96" i="24"/>
  <c r="P97" i="24"/>
  <c r="P98" i="24"/>
  <c r="P99" i="24"/>
  <c r="P100" i="24"/>
  <c r="P101" i="24"/>
  <c r="P102" i="24"/>
  <c r="P103" i="24"/>
  <c r="P104" i="24"/>
  <c r="P105" i="24"/>
  <c r="P106" i="24"/>
  <c r="P107" i="24"/>
  <c r="P108" i="24"/>
  <c r="P109" i="24"/>
  <c r="P110" i="24"/>
  <c r="P111" i="24"/>
  <c r="P112" i="24"/>
  <c r="P113" i="24"/>
  <c r="P114" i="24"/>
  <c r="P115" i="24"/>
  <c r="P116" i="24"/>
  <c r="P117" i="24"/>
  <c r="P118" i="24"/>
  <c r="P119" i="24"/>
  <c r="P120" i="24"/>
  <c r="P121" i="24"/>
  <c r="P122" i="24"/>
  <c r="P123" i="24"/>
  <c r="P124" i="24"/>
  <c r="P125" i="24"/>
  <c r="P126" i="24"/>
  <c r="P127" i="24"/>
  <c r="P128" i="24"/>
  <c r="P129" i="24"/>
  <c r="P130" i="24"/>
  <c r="P131" i="24"/>
  <c r="P132" i="24"/>
  <c r="P133" i="24"/>
  <c r="P134" i="24"/>
  <c r="P135" i="24"/>
  <c r="P136" i="24"/>
  <c r="P137" i="24"/>
  <c r="P138" i="24"/>
  <c r="P139" i="24"/>
  <c r="P140" i="24"/>
  <c r="P141" i="24"/>
  <c r="P142" i="24"/>
  <c r="P143" i="24"/>
  <c r="P144" i="24"/>
  <c r="P145" i="24"/>
  <c r="P146" i="24"/>
  <c r="P147" i="24"/>
  <c r="P148" i="24"/>
  <c r="P149" i="24"/>
  <c r="P150" i="24"/>
  <c r="P151" i="24"/>
  <c r="P152" i="24"/>
  <c r="P153" i="24"/>
  <c r="P154" i="24"/>
  <c r="P155" i="24"/>
  <c r="P156" i="24"/>
  <c r="P157" i="24"/>
  <c r="P158" i="24"/>
  <c r="P159" i="24"/>
  <c r="P160" i="24"/>
  <c r="P161" i="24"/>
  <c r="P162" i="24"/>
  <c r="P163" i="24"/>
  <c r="P164" i="24"/>
  <c r="P165" i="24"/>
  <c r="P166" i="24"/>
  <c r="P167" i="24"/>
  <c r="P168" i="24"/>
  <c r="P169" i="24"/>
  <c r="P170" i="24"/>
  <c r="P171" i="24"/>
  <c r="P172" i="24"/>
  <c r="P173" i="24"/>
  <c r="P174" i="24"/>
  <c r="P175" i="24"/>
  <c r="P176" i="24"/>
  <c r="P177" i="24"/>
  <c r="P178" i="24"/>
  <c r="P179" i="24"/>
  <c r="P180" i="24"/>
  <c r="P181" i="24"/>
  <c r="P182" i="24"/>
  <c r="P183" i="24"/>
  <c r="P184" i="24"/>
  <c r="P185" i="24"/>
  <c r="P186" i="24"/>
  <c r="P187" i="24"/>
  <c r="P188" i="24"/>
  <c r="P189" i="24"/>
  <c r="P190" i="24"/>
  <c r="P191" i="24"/>
  <c r="P192" i="24"/>
  <c r="P193" i="24"/>
  <c r="P194" i="24"/>
  <c r="P195" i="24"/>
  <c r="P196" i="24"/>
  <c r="P197" i="24"/>
  <c r="P198" i="24"/>
  <c r="P199" i="24"/>
  <c r="P200" i="24"/>
  <c r="P201" i="24"/>
  <c r="P202" i="24"/>
  <c r="P203" i="24"/>
  <c r="P204" i="24"/>
  <c r="P205" i="24"/>
  <c r="P206" i="24"/>
  <c r="P207" i="24"/>
  <c r="P208" i="24"/>
  <c r="P209" i="24"/>
  <c r="P210" i="24"/>
  <c r="P211" i="24"/>
  <c r="P212" i="24"/>
  <c r="P213" i="24"/>
  <c r="P214" i="24"/>
  <c r="P215" i="24"/>
  <c r="P216" i="24"/>
  <c r="P217" i="24"/>
  <c r="P218" i="24"/>
  <c r="P219" i="24"/>
  <c r="P220" i="24"/>
  <c r="P221" i="24"/>
  <c r="P222" i="24"/>
  <c r="P223" i="24"/>
  <c r="P224" i="24"/>
  <c r="P225" i="24"/>
  <c r="P226" i="24"/>
  <c r="P227" i="24"/>
  <c r="P228" i="24"/>
  <c r="P229" i="24"/>
  <c r="P230" i="24"/>
  <c r="P231" i="24"/>
  <c r="P232" i="24"/>
  <c r="P233" i="24"/>
  <c r="P234" i="24"/>
  <c r="P235" i="24"/>
  <c r="P236" i="24"/>
  <c r="P237" i="24"/>
  <c r="P238" i="24"/>
  <c r="P239" i="24"/>
  <c r="P240" i="24"/>
  <c r="P241" i="24"/>
  <c r="P242" i="24"/>
  <c r="P243" i="24"/>
  <c r="P244" i="24"/>
  <c r="P245" i="24"/>
  <c r="P246" i="24"/>
  <c r="P247" i="24"/>
  <c r="P248" i="24"/>
  <c r="P249" i="24"/>
  <c r="P3" i="24"/>
  <c r="O4" i="24"/>
  <c r="O5" i="24"/>
  <c r="O6" i="24"/>
  <c r="O7" i="24"/>
  <c r="O8" i="24"/>
  <c r="O9" i="24"/>
  <c r="O10" i="24"/>
  <c r="O11" i="24"/>
  <c r="O12" i="24"/>
  <c r="O13" i="24"/>
  <c r="O14" i="24"/>
  <c r="O15" i="24"/>
  <c r="O16" i="24"/>
  <c r="O17" i="24"/>
  <c r="O18" i="24"/>
  <c r="O19" i="24"/>
  <c r="O20" i="24"/>
  <c r="O21" i="24"/>
  <c r="O22" i="24"/>
  <c r="O23" i="24"/>
  <c r="O24" i="24"/>
  <c r="O25" i="24"/>
  <c r="O26" i="24"/>
  <c r="O27" i="24"/>
  <c r="O28" i="24"/>
  <c r="O29" i="24"/>
  <c r="O30" i="24"/>
  <c r="O31" i="24"/>
  <c r="O32" i="24"/>
  <c r="O33" i="24"/>
  <c r="O34" i="24"/>
  <c r="O35" i="24"/>
  <c r="O36" i="24"/>
  <c r="O37" i="24"/>
  <c r="O38" i="24"/>
  <c r="O39" i="24"/>
  <c r="O40" i="24"/>
  <c r="O41" i="24"/>
  <c r="O42" i="24"/>
  <c r="O43" i="24"/>
  <c r="O44" i="24"/>
  <c r="O45" i="24"/>
  <c r="O46" i="24"/>
  <c r="O47" i="24"/>
  <c r="O48" i="24"/>
  <c r="O49" i="24"/>
  <c r="O50" i="24"/>
  <c r="O51" i="24"/>
  <c r="O52" i="24"/>
  <c r="O53" i="24"/>
  <c r="O54" i="24"/>
  <c r="O55" i="24"/>
  <c r="O56" i="24"/>
  <c r="O57" i="24"/>
  <c r="O58" i="24"/>
  <c r="O59" i="24"/>
  <c r="O60" i="24"/>
  <c r="O61" i="24"/>
  <c r="O62" i="24"/>
  <c r="O63" i="24"/>
  <c r="O64" i="24"/>
  <c r="O65" i="24"/>
  <c r="O66" i="24"/>
  <c r="O67" i="24"/>
  <c r="O68" i="24"/>
  <c r="O69" i="24"/>
  <c r="O70" i="24"/>
  <c r="O71" i="24"/>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O100" i="24"/>
  <c r="O101" i="24"/>
  <c r="O102" i="24"/>
  <c r="O103" i="24"/>
  <c r="O104" i="24"/>
  <c r="O105" i="24"/>
  <c r="O106" i="24"/>
  <c r="O107" i="24"/>
  <c r="O108" i="24"/>
  <c r="O109" i="24"/>
  <c r="O110" i="24"/>
  <c r="O111" i="24"/>
  <c r="O112" i="24"/>
  <c r="O113" i="24"/>
  <c r="O114" i="24"/>
  <c r="O115" i="24"/>
  <c r="O116" i="24"/>
  <c r="O117" i="24"/>
  <c r="O118" i="24"/>
  <c r="O119" i="24"/>
  <c r="O120" i="24"/>
  <c r="O121" i="24"/>
  <c r="O122" i="24"/>
  <c r="O123" i="24"/>
  <c r="O124" i="24"/>
  <c r="O125" i="24"/>
  <c r="O126" i="24"/>
  <c r="O127" i="24"/>
  <c r="O128" i="24"/>
  <c r="O129" i="24"/>
  <c r="O130" i="24"/>
  <c r="O131" i="24"/>
  <c r="O132" i="24"/>
  <c r="O133" i="24"/>
  <c r="O134" i="24"/>
  <c r="O135" i="24"/>
  <c r="O136" i="24"/>
  <c r="O137" i="24"/>
  <c r="O138" i="24"/>
  <c r="O139" i="24"/>
  <c r="O140" i="24"/>
  <c r="O141" i="24"/>
  <c r="O142" i="24"/>
  <c r="O143" i="24"/>
  <c r="O144" i="24"/>
  <c r="O145" i="24"/>
  <c r="O146" i="24"/>
  <c r="O147" i="24"/>
  <c r="O148" i="24"/>
  <c r="O149" i="24"/>
  <c r="O150" i="24"/>
  <c r="O151" i="24"/>
  <c r="O152" i="24"/>
  <c r="O153" i="24"/>
  <c r="O154" i="24"/>
  <c r="O155" i="24"/>
  <c r="O156" i="24"/>
  <c r="O157" i="24"/>
  <c r="O158" i="24"/>
  <c r="O159" i="24"/>
  <c r="O160" i="24"/>
  <c r="O161" i="24"/>
  <c r="O162" i="24"/>
  <c r="O163" i="24"/>
  <c r="O164" i="24"/>
  <c r="O165" i="24"/>
  <c r="O166" i="24"/>
  <c r="O167" i="24"/>
  <c r="O168" i="24"/>
  <c r="O169" i="24"/>
  <c r="O170" i="24"/>
  <c r="O171" i="24"/>
  <c r="O172" i="24"/>
  <c r="O173" i="24"/>
  <c r="O174" i="24"/>
  <c r="O175" i="24"/>
  <c r="O176" i="24"/>
  <c r="O177" i="24"/>
  <c r="O178" i="24"/>
  <c r="O179" i="24"/>
  <c r="O180" i="24"/>
  <c r="O181" i="24"/>
  <c r="O182" i="24"/>
  <c r="O183" i="24"/>
  <c r="O184" i="24"/>
  <c r="O185" i="24"/>
  <c r="O186" i="24"/>
  <c r="O187" i="24"/>
  <c r="O188" i="24"/>
  <c r="O189" i="24"/>
  <c r="O190" i="24"/>
  <c r="O191" i="24"/>
  <c r="O192" i="24"/>
  <c r="O193" i="24"/>
  <c r="O194" i="24"/>
  <c r="O195" i="24"/>
  <c r="O196" i="24"/>
  <c r="O197" i="24"/>
  <c r="O198" i="24"/>
  <c r="O199" i="24"/>
  <c r="O200" i="24"/>
  <c r="O201" i="24"/>
  <c r="O202" i="24"/>
  <c r="O203" i="24"/>
  <c r="O204" i="24"/>
  <c r="O205" i="24"/>
  <c r="O206" i="24"/>
  <c r="O207" i="24"/>
  <c r="O208" i="24"/>
  <c r="O209" i="24"/>
  <c r="O210" i="24"/>
  <c r="O211" i="24"/>
  <c r="O212" i="24"/>
  <c r="O213" i="24"/>
  <c r="O214" i="24"/>
  <c r="O215" i="24"/>
  <c r="O216" i="24"/>
  <c r="O217" i="24"/>
  <c r="O218" i="24"/>
  <c r="O219" i="24"/>
  <c r="O220" i="24"/>
  <c r="O221" i="24"/>
  <c r="O222" i="24"/>
  <c r="O223" i="24"/>
  <c r="O224" i="24"/>
  <c r="O225" i="24"/>
  <c r="O226" i="24"/>
  <c r="O227" i="24"/>
  <c r="O228" i="24"/>
  <c r="O229" i="24"/>
  <c r="O230" i="24"/>
  <c r="O231" i="24"/>
  <c r="O232" i="24"/>
  <c r="O233" i="24"/>
  <c r="O234" i="24"/>
  <c r="O235" i="24"/>
  <c r="O236" i="24"/>
  <c r="O237" i="24"/>
  <c r="O238" i="24"/>
  <c r="O239" i="24"/>
  <c r="O240" i="24"/>
  <c r="O241" i="24"/>
  <c r="O242" i="24"/>
  <c r="O243" i="24"/>
  <c r="O244" i="24"/>
  <c r="O245" i="24"/>
  <c r="O246" i="24"/>
  <c r="O247" i="24"/>
  <c r="O248" i="24"/>
  <c r="O249" i="24"/>
  <c r="O3" i="24"/>
  <c r="N4" i="24"/>
  <c r="N5" i="24"/>
  <c r="N6" i="24"/>
  <c r="N7" i="24"/>
  <c r="N8" i="24"/>
  <c r="N9" i="24"/>
  <c r="N10" i="24"/>
  <c r="N11" i="24"/>
  <c r="N12"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N50" i="24"/>
  <c r="N51" i="24"/>
  <c r="N52" i="24"/>
  <c r="N53" i="24"/>
  <c r="N54" i="24"/>
  <c r="N55" i="24"/>
  <c r="N56" i="24"/>
  <c r="N57" i="24"/>
  <c r="N58" i="24"/>
  <c r="N59" i="24"/>
  <c r="N60" i="24"/>
  <c r="N61" i="24"/>
  <c r="N62" i="24"/>
  <c r="N63" i="24"/>
  <c r="N64" i="24"/>
  <c r="N65" i="24"/>
  <c r="N66" i="24"/>
  <c r="N67" i="24"/>
  <c r="N68" i="24"/>
  <c r="N69" i="24"/>
  <c r="N70" i="24"/>
  <c r="N71" i="24"/>
  <c r="N72" i="24"/>
  <c r="N73" i="24"/>
  <c r="N74" i="24"/>
  <c r="N75" i="24"/>
  <c r="N76" i="24"/>
  <c r="N77" i="24"/>
  <c r="N78" i="24"/>
  <c r="N79" i="24"/>
  <c r="N80" i="24"/>
  <c r="N81" i="24"/>
  <c r="N82" i="24"/>
  <c r="N83" i="24"/>
  <c r="N84" i="24"/>
  <c r="N85" i="24"/>
  <c r="N86" i="24"/>
  <c r="N87" i="24"/>
  <c r="N88" i="24"/>
  <c r="N89" i="24"/>
  <c r="N90" i="24"/>
  <c r="N91" i="24"/>
  <c r="N92" i="24"/>
  <c r="N93" i="24"/>
  <c r="N94" i="24"/>
  <c r="N95" i="24"/>
  <c r="N96" i="24"/>
  <c r="N97" i="24"/>
  <c r="N98" i="24"/>
  <c r="N99" i="24"/>
  <c r="N100" i="24"/>
  <c r="N101" i="24"/>
  <c r="N102" i="24"/>
  <c r="N103" i="24"/>
  <c r="N104" i="24"/>
  <c r="N105" i="24"/>
  <c r="N106" i="24"/>
  <c r="N107" i="24"/>
  <c r="N108" i="24"/>
  <c r="N109" i="24"/>
  <c r="N110" i="24"/>
  <c r="N111" i="24"/>
  <c r="N112" i="24"/>
  <c r="N113" i="24"/>
  <c r="N114" i="24"/>
  <c r="N115" i="24"/>
  <c r="N116" i="24"/>
  <c r="N117" i="24"/>
  <c r="N118" i="24"/>
  <c r="N119" i="24"/>
  <c r="N120" i="24"/>
  <c r="N121" i="24"/>
  <c r="N122" i="24"/>
  <c r="N123" i="24"/>
  <c r="N124" i="24"/>
  <c r="N125" i="24"/>
  <c r="N126" i="24"/>
  <c r="N127" i="24"/>
  <c r="N128" i="24"/>
  <c r="N129" i="24"/>
  <c r="N130" i="24"/>
  <c r="N131" i="24"/>
  <c r="N132" i="24"/>
  <c r="N133" i="24"/>
  <c r="N134" i="24"/>
  <c r="N135" i="24"/>
  <c r="N136" i="24"/>
  <c r="N137" i="24"/>
  <c r="N138" i="24"/>
  <c r="N139" i="24"/>
  <c r="N140" i="24"/>
  <c r="N141" i="24"/>
  <c r="N142" i="24"/>
  <c r="N143" i="24"/>
  <c r="N144" i="24"/>
  <c r="N145" i="24"/>
  <c r="N146" i="24"/>
  <c r="N147" i="24"/>
  <c r="N148" i="24"/>
  <c r="N149" i="24"/>
  <c r="N150" i="24"/>
  <c r="N151" i="24"/>
  <c r="N152" i="24"/>
  <c r="N153" i="24"/>
  <c r="N154" i="24"/>
  <c r="N155" i="24"/>
  <c r="N156" i="24"/>
  <c r="N157" i="24"/>
  <c r="N158" i="24"/>
  <c r="N159" i="24"/>
  <c r="N160" i="24"/>
  <c r="N161" i="24"/>
  <c r="N162" i="24"/>
  <c r="N163" i="24"/>
  <c r="N164" i="24"/>
  <c r="N165" i="24"/>
  <c r="N166" i="24"/>
  <c r="N167" i="24"/>
  <c r="N168" i="24"/>
  <c r="N169" i="24"/>
  <c r="N170" i="24"/>
  <c r="N171" i="24"/>
  <c r="N172" i="24"/>
  <c r="N173" i="24"/>
  <c r="N174" i="24"/>
  <c r="N175" i="24"/>
  <c r="N176" i="24"/>
  <c r="N177" i="24"/>
  <c r="N178" i="24"/>
  <c r="N179" i="24"/>
  <c r="N180" i="24"/>
  <c r="N181" i="24"/>
  <c r="N182" i="24"/>
  <c r="N183" i="24"/>
  <c r="N184" i="24"/>
  <c r="N185" i="24"/>
  <c r="N186" i="24"/>
  <c r="N187" i="24"/>
  <c r="N188" i="24"/>
  <c r="N189" i="24"/>
  <c r="N190" i="24"/>
  <c r="N191" i="24"/>
  <c r="N192" i="24"/>
  <c r="N193" i="24"/>
  <c r="N194" i="24"/>
  <c r="N195" i="24"/>
  <c r="N196" i="24"/>
  <c r="N197" i="24"/>
  <c r="N198" i="24"/>
  <c r="N199" i="24"/>
  <c r="N200" i="24"/>
  <c r="N201" i="24"/>
  <c r="N202" i="24"/>
  <c r="N203" i="24"/>
  <c r="N204" i="24"/>
  <c r="N205" i="24"/>
  <c r="N206" i="24"/>
  <c r="N207" i="24"/>
  <c r="N208" i="24"/>
  <c r="N209" i="24"/>
  <c r="N210" i="24"/>
  <c r="N211" i="24"/>
  <c r="N212" i="24"/>
  <c r="N213" i="24"/>
  <c r="N214" i="24"/>
  <c r="N215" i="24"/>
  <c r="N216" i="24"/>
  <c r="N217" i="24"/>
  <c r="N218" i="24"/>
  <c r="N219" i="24"/>
  <c r="N220" i="24"/>
  <c r="N221" i="24"/>
  <c r="N222" i="24"/>
  <c r="N223" i="24"/>
  <c r="N224" i="24"/>
  <c r="N225" i="24"/>
  <c r="N226" i="24"/>
  <c r="N227" i="24"/>
  <c r="N228" i="24"/>
  <c r="N229" i="24"/>
  <c r="N230" i="24"/>
  <c r="N231" i="24"/>
  <c r="N232" i="24"/>
  <c r="N233" i="24"/>
  <c r="N234" i="24"/>
  <c r="N235" i="24"/>
  <c r="N236" i="24"/>
  <c r="N237" i="24"/>
  <c r="N238" i="24"/>
  <c r="N239" i="24"/>
  <c r="N240" i="24"/>
  <c r="N241" i="24"/>
  <c r="N242" i="24"/>
  <c r="N243" i="24"/>
  <c r="N244" i="24"/>
  <c r="N245" i="24"/>
  <c r="N246" i="24"/>
  <c r="N247" i="24"/>
  <c r="N248" i="24"/>
  <c r="N249" i="24"/>
  <c r="N3" i="24"/>
  <c r="M4" i="24"/>
  <c r="M5" i="24"/>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3" i="24"/>
  <c r="L4" i="24"/>
  <c r="L5" i="24"/>
  <c r="L6" i="24"/>
  <c r="L7" i="24"/>
  <c r="L8" i="24"/>
  <c r="L9" i="24"/>
  <c r="L10" i="24"/>
  <c r="L11" i="24"/>
  <c r="L12" i="24"/>
  <c r="L13" i="24"/>
  <c r="L14" i="24"/>
  <c r="L15" i="24"/>
  <c r="L16" i="24"/>
  <c r="L17" i="24"/>
  <c r="L18" i="24"/>
  <c r="L19" i="24"/>
  <c r="L20" i="24"/>
  <c r="L21" i="24"/>
  <c r="L22" i="24"/>
  <c r="L23" i="24"/>
  <c r="L24" i="24"/>
  <c r="L25" i="24"/>
  <c r="L26" i="24"/>
  <c r="L27" i="24"/>
  <c r="L28" i="24"/>
  <c r="L29"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77" i="24"/>
  <c r="L78" i="24"/>
  <c r="L79" i="24"/>
  <c r="L80" i="24"/>
  <c r="L81" i="24"/>
  <c r="L82" i="24"/>
  <c r="L83" i="24"/>
  <c r="L84" i="24"/>
  <c r="L85" i="24"/>
  <c r="L86" i="24"/>
  <c r="L87" i="24"/>
  <c r="L88" i="24"/>
  <c r="L89" i="24"/>
  <c r="L90" i="24"/>
  <c r="L91" i="24"/>
  <c r="L92" i="24"/>
  <c r="L93" i="24"/>
  <c r="L94" i="24"/>
  <c r="L95" i="24"/>
  <c r="L96" i="24"/>
  <c r="L97" i="24"/>
  <c r="L98" i="24"/>
  <c r="L99" i="24"/>
  <c r="L100" i="24"/>
  <c r="L101" i="24"/>
  <c r="L102" i="24"/>
  <c r="L103" i="24"/>
  <c r="L104" i="24"/>
  <c r="L105" i="24"/>
  <c r="L106" i="24"/>
  <c r="L107" i="24"/>
  <c r="L108" i="24"/>
  <c r="L109" i="24"/>
  <c r="L110" i="24"/>
  <c r="L111" i="24"/>
  <c r="L112" i="24"/>
  <c r="L113" i="24"/>
  <c r="L114" i="24"/>
  <c r="L115" i="24"/>
  <c r="L116" i="24"/>
  <c r="L117"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8" i="24"/>
  <c r="L149" i="24"/>
  <c r="L150" i="24"/>
  <c r="L151" i="24"/>
  <c r="L152" i="24"/>
  <c r="L153" i="24"/>
  <c r="L154" i="24"/>
  <c r="L155" i="24"/>
  <c r="L156" i="24"/>
  <c r="L157" i="24"/>
  <c r="L158" i="24"/>
  <c r="L159" i="24"/>
  <c r="L160" i="24"/>
  <c r="L161" i="24"/>
  <c r="L162" i="24"/>
  <c r="L163" i="24"/>
  <c r="L164" i="24"/>
  <c r="L165" i="24"/>
  <c r="L166" i="24"/>
  <c r="L167" i="24"/>
  <c r="L168" i="24"/>
  <c r="L169" i="24"/>
  <c r="L170" i="24"/>
  <c r="L171" i="24"/>
  <c r="L172" i="24"/>
  <c r="L173" i="24"/>
  <c r="L174" i="24"/>
  <c r="L175" i="24"/>
  <c r="L176" i="24"/>
  <c r="L177" i="24"/>
  <c r="L178" i="24"/>
  <c r="L179" i="24"/>
  <c r="L180" i="24"/>
  <c r="L181" i="24"/>
  <c r="L182" i="24"/>
  <c r="L183" i="24"/>
  <c r="L184" i="24"/>
  <c r="L185" i="24"/>
  <c r="L186" i="24"/>
  <c r="L187" i="24"/>
  <c r="L188" i="24"/>
  <c r="L189" i="24"/>
  <c r="L190" i="24"/>
  <c r="L191" i="24"/>
  <c r="L192" i="24"/>
  <c r="L193" i="24"/>
  <c r="L194" i="24"/>
  <c r="L195" i="24"/>
  <c r="L196" i="24"/>
  <c r="L197" i="24"/>
  <c r="L198" i="24"/>
  <c r="L199" i="24"/>
  <c r="L200" i="24"/>
  <c r="L201" i="24"/>
  <c r="L202" i="24"/>
  <c r="L203" i="24"/>
  <c r="L204" i="24"/>
  <c r="L205" i="24"/>
  <c r="L206" i="24"/>
  <c r="L207" i="24"/>
  <c r="L208" i="24"/>
  <c r="L209" i="24"/>
  <c r="L210" i="24"/>
  <c r="L211" i="24"/>
  <c r="L212" i="24"/>
  <c r="L213" i="24"/>
  <c r="L214" i="24"/>
  <c r="L215" i="24"/>
  <c r="L216" i="24"/>
  <c r="L217" i="24"/>
  <c r="L218" i="24"/>
  <c r="L21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49" i="24"/>
  <c r="L3" i="24"/>
  <c r="K4" i="24"/>
  <c r="K5" i="24"/>
  <c r="K6" i="24"/>
  <c r="K7" i="24"/>
  <c r="K8" i="24"/>
  <c r="K9"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43" i="24"/>
  <c r="K44" i="24"/>
  <c r="K45" i="24"/>
  <c r="K46" i="24"/>
  <c r="K47" i="24"/>
  <c r="K48" i="24"/>
  <c r="K49" i="24"/>
  <c r="K50" i="24"/>
  <c r="K51" i="24"/>
  <c r="K52" i="24"/>
  <c r="K53" i="24"/>
  <c r="K54" i="24"/>
  <c r="K55" i="24"/>
  <c r="K56" i="24"/>
  <c r="K57" i="24"/>
  <c r="K58" i="24"/>
  <c r="K59" i="24"/>
  <c r="K60" i="24"/>
  <c r="K61" i="24"/>
  <c r="K62" i="24"/>
  <c r="K63" i="24"/>
  <c r="K64" i="24"/>
  <c r="K65" i="24"/>
  <c r="K66" i="24"/>
  <c r="K67" i="24"/>
  <c r="K68" i="24"/>
  <c r="K69" i="24"/>
  <c r="K70" i="24"/>
  <c r="K71" i="24"/>
  <c r="K72" i="24"/>
  <c r="K73" i="24"/>
  <c r="K74" i="24"/>
  <c r="K75" i="24"/>
  <c r="K76" i="24"/>
  <c r="K77" i="24"/>
  <c r="K78" i="24"/>
  <c r="K79" i="24"/>
  <c r="K80" i="24"/>
  <c r="K81" i="24"/>
  <c r="K82" i="24"/>
  <c r="K83" i="24"/>
  <c r="K84" i="24"/>
  <c r="K85" i="24"/>
  <c r="K86" i="24"/>
  <c r="K87" i="24"/>
  <c r="K88" i="24"/>
  <c r="K89" i="24"/>
  <c r="K90" i="24"/>
  <c r="K91" i="24"/>
  <c r="K92" i="24"/>
  <c r="K93" i="24"/>
  <c r="K94" i="24"/>
  <c r="K95" i="24"/>
  <c r="K96" i="24"/>
  <c r="K97" i="24"/>
  <c r="K98" i="24"/>
  <c r="K99" i="24"/>
  <c r="K100" i="24"/>
  <c r="K101" i="24"/>
  <c r="K102" i="24"/>
  <c r="K103" i="24"/>
  <c r="K104" i="24"/>
  <c r="K105" i="24"/>
  <c r="K106" i="24"/>
  <c r="K107" i="24"/>
  <c r="K108" i="24"/>
  <c r="K109" i="24"/>
  <c r="K110" i="24"/>
  <c r="K111" i="24"/>
  <c r="K112" i="24"/>
  <c r="K113" i="24"/>
  <c r="K114" i="24"/>
  <c r="K115" i="24"/>
  <c r="K116" i="24"/>
  <c r="K117" i="24"/>
  <c r="K118" i="24"/>
  <c r="K119" i="24"/>
  <c r="K120" i="24"/>
  <c r="K121" i="24"/>
  <c r="K122" i="24"/>
  <c r="K123" i="24"/>
  <c r="K124" i="24"/>
  <c r="K125" i="24"/>
  <c r="K126" i="24"/>
  <c r="K127" i="24"/>
  <c r="K128" i="24"/>
  <c r="K129" i="24"/>
  <c r="K130" i="24"/>
  <c r="K131" i="24"/>
  <c r="K132" i="24"/>
  <c r="K133" i="24"/>
  <c r="K134" i="24"/>
  <c r="K135" i="24"/>
  <c r="K136" i="24"/>
  <c r="K137" i="24"/>
  <c r="K138" i="24"/>
  <c r="K139" i="24"/>
  <c r="K140" i="24"/>
  <c r="K141" i="24"/>
  <c r="K142" i="24"/>
  <c r="K143" i="24"/>
  <c r="K144" i="24"/>
  <c r="K145" i="24"/>
  <c r="K146" i="24"/>
  <c r="K147" i="24"/>
  <c r="K148" i="24"/>
  <c r="K149" i="24"/>
  <c r="K150" i="24"/>
  <c r="K151" i="24"/>
  <c r="K152" i="24"/>
  <c r="K153" i="24"/>
  <c r="K154" i="24"/>
  <c r="K155" i="24"/>
  <c r="K156" i="24"/>
  <c r="K157" i="24"/>
  <c r="K158" i="24"/>
  <c r="K159" i="24"/>
  <c r="K160" i="24"/>
  <c r="K161" i="24"/>
  <c r="K162" i="24"/>
  <c r="K163" i="24"/>
  <c r="K164" i="24"/>
  <c r="K165" i="24"/>
  <c r="K166" i="24"/>
  <c r="K167" i="24"/>
  <c r="K168" i="24"/>
  <c r="K169" i="24"/>
  <c r="K170" i="24"/>
  <c r="K171" i="24"/>
  <c r="K172" i="24"/>
  <c r="K173" i="24"/>
  <c r="K174" i="24"/>
  <c r="K175" i="24"/>
  <c r="K176" i="24"/>
  <c r="K177" i="24"/>
  <c r="K178" i="24"/>
  <c r="K179" i="24"/>
  <c r="K180" i="24"/>
  <c r="K181" i="24"/>
  <c r="K182" i="24"/>
  <c r="K183" i="24"/>
  <c r="K184" i="24"/>
  <c r="K185" i="24"/>
  <c r="K186" i="24"/>
  <c r="K187" i="24"/>
  <c r="K188" i="24"/>
  <c r="K189" i="24"/>
  <c r="K190" i="24"/>
  <c r="K191" i="24"/>
  <c r="K192" i="24"/>
  <c r="K193" i="24"/>
  <c r="K194" i="24"/>
  <c r="K195" i="24"/>
  <c r="K196" i="24"/>
  <c r="K197" i="24"/>
  <c r="K198" i="24"/>
  <c r="K199" i="24"/>
  <c r="K200" i="24"/>
  <c r="K201" i="24"/>
  <c r="K202" i="24"/>
  <c r="K203" i="24"/>
  <c r="K204" i="24"/>
  <c r="K205" i="24"/>
  <c r="K206" i="24"/>
  <c r="K207" i="24"/>
  <c r="K208" i="24"/>
  <c r="K209" i="24"/>
  <c r="K210" i="24"/>
  <c r="K211" i="24"/>
  <c r="K212" i="24"/>
  <c r="K213" i="24"/>
  <c r="K214" i="24"/>
  <c r="K215" i="24"/>
  <c r="K216" i="24"/>
  <c r="K217" i="24"/>
  <c r="K218" i="24"/>
  <c r="K219" i="24"/>
  <c r="K220" i="24"/>
  <c r="K221" i="24"/>
  <c r="K222" i="24"/>
  <c r="K223" i="24"/>
  <c r="K224" i="24"/>
  <c r="K225" i="24"/>
  <c r="K226" i="24"/>
  <c r="K227" i="24"/>
  <c r="K228" i="24"/>
  <c r="K229" i="24"/>
  <c r="K230" i="24"/>
  <c r="K231" i="24"/>
  <c r="K232" i="24"/>
  <c r="K233" i="24"/>
  <c r="K234" i="24"/>
  <c r="K235" i="24"/>
  <c r="K236" i="24"/>
  <c r="K237" i="24"/>
  <c r="K238" i="24"/>
  <c r="K239" i="24"/>
  <c r="K240" i="24"/>
  <c r="K241" i="24"/>
  <c r="K242" i="24"/>
  <c r="K243" i="24"/>
  <c r="K244" i="24"/>
  <c r="K245" i="24"/>
  <c r="K246" i="24"/>
  <c r="K247" i="24"/>
  <c r="K248" i="24"/>
  <c r="K249" i="24"/>
  <c r="K3" i="24"/>
  <c r="H250" i="24"/>
  <c r="G250" i="24"/>
  <c r="F250" i="24"/>
  <c r="E250" i="24"/>
  <c r="D250" i="24"/>
  <c r="C250" i="24"/>
  <c r="B250" i="24"/>
  <c r="T14" i="16"/>
  <c r="F4" i="20"/>
  <c r="F5" i="20"/>
  <c r="F6" i="20"/>
  <c r="F7" i="20"/>
  <c r="F8" i="20"/>
  <c r="F9" i="20"/>
  <c r="F10" i="20"/>
  <c r="F11" i="20"/>
  <c r="F12" i="20"/>
  <c r="F13" i="20"/>
  <c r="F14" i="20"/>
  <c r="F15" i="20"/>
  <c r="F16" i="20"/>
  <c r="F17" i="20"/>
  <c r="D10" i="20"/>
  <c r="C10" i="20"/>
  <c r="B10" i="20"/>
  <c r="D9" i="20"/>
  <c r="C9" i="20"/>
  <c r="B9" i="20"/>
  <c r="D8" i="20"/>
  <c r="C8" i="20"/>
  <c r="B8" i="20"/>
  <c r="F4" i="19"/>
  <c r="F5" i="19"/>
  <c r="F6" i="19"/>
  <c r="F7" i="19"/>
  <c r="F8" i="19"/>
  <c r="F9" i="19"/>
  <c r="F10" i="19"/>
  <c r="F11" i="19"/>
  <c r="F12" i="19"/>
  <c r="F13" i="19"/>
  <c r="F14" i="19"/>
  <c r="F15" i="19"/>
  <c r="F16" i="19"/>
  <c r="F17" i="19"/>
  <c r="D10" i="19"/>
  <c r="C10" i="19"/>
  <c r="B10" i="19"/>
  <c r="D9" i="19"/>
  <c r="C9" i="19"/>
  <c r="B9" i="19"/>
  <c r="D8" i="19"/>
  <c r="C8" i="19"/>
  <c r="B8" i="19"/>
  <c r="C4" i="18"/>
  <c r="C5" i="18"/>
  <c r="C6" i="18"/>
  <c r="C7" i="18"/>
  <c r="C8" i="18"/>
  <c r="C9" i="18"/>
  <c r="C10" i="18"/>
  <c r="C11" i="18"/>
  <c r="C12" i="18"/>
  <c r="C13" i="18"/>
  <c r="C14" i="18"/>
  <c r="C15" i="18"/>
  <c r="C16" i="18"/>
  <c r="C17" i="18"/>
  <c r="B10" i="18"/>
  <c r="B9" i="18"/>
  <c r="B8" i="18"/>
  <c r="E4" i="17"/>
  <c r="E5" i="17"/>
  <c r="E6" i="17"/>
  <c r="E7" i="17"/>
  <c r="E8" i="17"/>
  <c r="E9" i="17"/>
  <c r="E10" i="17"/>
  <c r="E11" i="17"/>
  <c r="E12" i="17"/>
  <c r="E13" i="17"/>
  <c r="E14" i="17"/>
  <c r="E15" i="17"/>
  <c r="E16" i="17"/>
  <c r="E17" i="17"/>
  <c r="E3" i="17"/>
  <c r="B10" i="17"/>
  <c r="B9" i="17"/>
  <c r="B8" i="17"/>
  <c r="D8" i="17"/>
  <c r="U8" i="16"/>
  <c r="U9" i="16"/>
  <c r="U10" i="16"/>
  <c r="U11" i="16"/>
  <c r="U12" i="16"/>
  <c r="U13" i="16"/>
  <c r="U15" i="16"/>
  <c r="U16" i="16"/>
  <c r="U17" i="16"/>
  <c r="U18" i="16"/>
  <c r="U19" i="16"/>
  <c r="U20" i="16"/>
  <c r="U21" i="16"/>
  <c r="U14" i="16"/>
  <c r="T13" i="16"/>
  <c r="T12" i="16"/>
  <c r="I5" i="22"/>
  <c r="I4" i="22"/>
  <c r="I6" i="22"/>
  <c r="I16" i="22"/>
  <c r="I7" i="22"/>
  <c r="I8" i="22"/>
  <c r="I18" i="22"/>
  <c r="I9" i="22"/>
  <c r="I13" i="22"/>
  <c r="I14" i="22"/>
  <c r="I15" i="22"/>
  <c r="I10" i="22"/>
  <c r="I17" i="22"/>
  <c r="I11" i="22"/>
  <c r="I12" i="22"/>
  <c r="I3" i="22"/>
  <c r="T17" i="16"/>
  <c r="D7" i="19"/>
  <c r="C7" i="19"/>
  <c r="B7" i="19"/>
  <c r="D6" i="20"/>
  <c r="C6" i="20"/>
  <c r="B6" i="20"/>
  <c r="D6" i="19"/>
  <c r="C6" i="19"/>
  <c r="B6" i="19"/>
  <c r="F3" i="20"/>
  <c r="E6" i="20"/>
  <c r="E7" i="20"/>
  <c r="E8" i="20"/>
  <c r="E9" i="20"/>
  <c r="E10" i="20"/>
  <c r="E11" i="20"/>
  <c r="E12" i="20"/>
  <c r="E13" i="20"/>
  <c r="E14" i="20"/>
  <c r="E15" i="20"/>
  <c r="E16" i="20"/>
  <c r="E17" i="20"/>
  <c r="E5" i="20"/>
  <c r="E4" i="20"/>
  <c r="E3" i="20"/>
  <c r="D17" i="20"/>
  <c r="C17" i="20"/>
  <c r="B17" i="20"/>
  <c r="D16" i="20"/>
  <c r="C16" i="20"/>
  <c r="B16" i="20"/>
  <c r="D15" i="20"/>
  <c r="C15" i="20"/>
  <c r="B15" i="20"/>
  <c r="D14" i="20"/>
  <c r="C14" i="20"/>
  <c r="B14" i="20"/>
  <c r="D13" i="20"/>
  <c r="C13" i="20"/>
  <c r="B13" i="20"/>
  <c r="D12" i="20"/>
  <c r="C12" i="20"/>
  <c r="B12" i="20"/>
  <c r="D11" i="20"/>
  <c r="C11" i="20"/>
  <c r="B11" i="20"/>
  <c r="D7" i="20"/>
  <c r="C7" i="20"/>
  <c r="B7" i="20"/>
  <c r="D5" i="20"/>
  <c r="C5" i="20"/>
  <c r="B5" i="20"/>
  <c r="D4" i="20"/>
  <c r="C4" i="20"/>
  <c r="B4" i="20"/>
  <c r="D3" i="20"/>
  <c r="C3" i="20"/>
  <c r="B3" i="20"/>
  <c r="D15" i="19"/>
  <c r="C15" i="19"/>
  <c r="B15" i="19"/>
  <c r="D14" i="19"/>
  <c r="C14" i="19"/>
  <c r="B14" i="19"/>
  <c r="D13" i="19"/>
  <c r="C13" i="19"/>
  <c r="B13" i="19"/>
  <c r="D12" i="19"/>
  <c r="C12" i="19"/>
  <c r="B12" i="19"/>
  <c r="D11" i="19"/>
  <c r="C11" i="19"/>
  <c r="B11" i="19"/>
  <c r="D17" i="19"/>
  <c r="F3" i="19"/>
  <c r="E10" i="19"/>
  <c r="E11" i="19"/>
  <c r="E12" i="19"/>
  <c r="E13" i="19"/>
  <c r="E14" i="19"/>
  <c r="E15" i="19"/>
  <c r="E16" i="19"/>
  <c r="E17" i="19"/>
  <c r="E8" i="19"/>
  <c r="E9" i="19"/>
  <c r="E6" i="19"/>
  <c r="E7" i="19"/>
  <c r="E5" i="19"/>
  <c r="B16" i="19"/>
  <c r="D16" i="19"/>
  <c r="C16" i="19"/>
  <c r="C17" i="19"/>
  <c r="B17" i="19"/>
  <c r="B5" i="19"/>
  <c r="D5" i="19"/>
  <c r="C5" i="19"/>
  <c r="E4" i="19"/>
  <c r="D4" i="19"/>
  <c r="C4" i="19"/>
  <c r="B4" i="19"/>
  <c r="E3" i="19"/>
  <c r="D3" i="19"/>
  <c r="B3" i="19"/>
  <c r="C3" i="19"/>
  <c r="B20" i="18"/>
  <c r="C3" i="18"/>
  <c r="B17" i="18"/>
  <c r="B16" i="18"/>
  <c r="B15" i="18"/>
  <c r="B14" i="18"/>
  <c r="B13" i="18"/>
  <c r="B12" i="18"/>
  <c r="B11" i="18"/>
  <c r="B7" i="18"/>
  <c r="B6" i="18"/>
  <c r="B5" i="18"/>
  <c r="B4" i="18"/>
  <c r="B3" i="18"/>
  <c r="D9" i="17"/>
  <c r="D10" i="17"/>
  <c r="D17" i="17"/>
  <c r="B17" i="17"/>
  <c r="B16" i="17"/>
  <c r="D16" i="17"/>
  <c r="B15" i="17"/>
  <c r="D15" i="17"/>
  <c r="B14" i="17"/>
  <c r="D14" i="17"/>
  <c r="B13" i="17"/>
  <c r="D13" i="17"/>
  <c r="B12" i="17"/>
  <c r="D12" i="17"/>
  <c r="B11" i="17"/>
  <c r="D11" i="17"/>
  <c r="C91" i="2"/>
  <c r="B7" i="17"/>
  <c r="D7" i="17"/>
  <c r="B6" i="17"/>
  <c r="D6" i="17"/>
  <c r="B5" i="17"/>
  <c r="D5" i="17"/>
  <c r="B4" i="17"/>
  <c r="D4" i="17"/>
  <c r="C71" i="2"/>
  <c r="C3" i="17"/>
  <c r="B3" i="17"/>
  <c r="T21" i="16"/>
  <c r="T20" i="16"/>
  <c r="T19" i="16"/>
  <c r="T18" i="16"/>
  <c r="T16" i="16"/>
  <c r="T15" i="16"/>
  <c r="T11" i="16"/>
  <c r="T10" i="16"/>
  <c r="T9" i="16"/>
  <c r="T8" i="16"/>
  <c r="T7" i="16"/>
  <c r="U7" i="16"/>
  <c r="AU2" i="6"/>
  <c r="C9" i="15"/>
  <c r="C6" i="13"/>
  <c r="D3" i="17"/>
  <c r="E49" i="2"/>
  <c r="I43" i="2"/>
  <c r="I35" i="2"/>
  <c r="I30" i="2"/>
  <c r="I26" i="2"/>
  <c r="I22" i="2"/>
  <c r="I18" i="2"/>
  <c r="I10" i="2"/>
  <c r="I4" i="2"/>
  <c r="C75" i="2"/>
  <c r="AC3" i="6"/>
  <c r="AC4" i="6"/>
  <c r="AC5" i="6"/>
  <c r="AC6" i="6"/>
  <c r="AC7" i="6"/>
  <c r="AC8" i="6"/>
  <c r="AC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170" i="6"/>
  <c r="AC171" i="6"/>
  <c r="AC172" i="6"/>
  <c r="AC173" i="6"/>
  <c r="AC174" i="6"/>
  <c r="AC175" i="6"/>
  <c r="AC176" i="6"/>
  <c r="AC177" i="6"/>
  <c r="AC178" i="6"/>
  <c r="AC179" i="6"/>
  <c r="AC180" i="6"/>
  <c r="AC181" i="6"/>
  <c r="AC182" i="6"/>
  <c r="AC183" i="6"/>
  <c r="AC184" i="6"/>
  <c r="AC185" i="6"/>
  <c r="AC186" i="6"/>
  <c r="AC187" i="6"/>
  <c r="AC188" i="6"/>
  <c r="AC189" i="6"/>
  <c r="AC190" i="6"/>
  <c r="AC191" i="6"/>
  <c r="AC192" i="6"/>
  <c r="AC193" i="6"/>
  <c r="AC194" i="6"/>
  <c r="AC195" i="6"/>
  <c r="AC196" i="6"/>
  <c r="AC197" i="6"/>
  <c r="AC198" i="6"/>
  <c r="AC199" i="6"/>
  <c r="AC200" i="6"/>
  <c r="AC201" i="6"/>
  <c r="AC202" i="6"/>
  <c r="AC203" i="6"/>
  <c r="AC204" i="6"/>
  <c r="AC205" i="6"/>
  <c r="AC206" i="6"/>
  <c r="AC207" i="6"/>
  <c r="AC208" i="6"/>
  <c r="AC209" i="6"/>
  <c r="AC210" i="6"/>
  <c r="AC211" i="6"/>
  <c r="AC212" i="6"/>
  <c r="AC213" i="6"/>
  <c r="AC214" i="6"/>
  <c r="AC215" i="6"/>
  <c r="AC216" i="6"/>
  <c r="AC217" i="6"/>
  <c r="AC218" i="6"/>
  <c r="AC219" i="6"/>
  <c r="AC220" i="6"/>
  <c r="AC221" i="6"/>
  <c r="AC222" i="6"/>
  <c r="AC223" i="6"/>
  <c r="AC224" i="6"/>
  <c r="AC225" i="6"/>
  <c r="AC226" i="6"/>
  <c r="AC227" i="6"/>
  <c r="AC228" i="6"/>
  <c r="AC229" i="6"/>
  <c r="AC230" i="6"/>
  <c r="AC231" i="6"/>
  <c r="AC232" i="6"/>
  <c r="AC233" i="6"/>
  <c r="AC234" i="6"/>
  <c r="AC235" i="6"/>
  <c r="AC236" i="6"/>
  <c r="AC237" i="6"/>
  <c r="AC238" i="6"/>
  <c r="AC239" i="6"/>
  <c r="AC240" i="6"/>
  <c r="AC241" i="6"/>
  <c r="AC242" i="6"/>
  <c r="AC243" i="6"/>
  <c r="AC244" i="6"/>
  <c r="AC245" i="6"/>
  <c r="AC246" i="6"/>
  <c r="AC247" i="6"/>
  <c r="AC248" i="6"/>
  <c r="AC2" i="6"/>
  <c r="C85" i="2"/>
  <c r="F47" i="2"/>
  <c r="AT2" i="6"/>
  <c r="AT3" i="6"/>
  <c r="AU3" i="6"/>
  <c r="AT4" i="6"/>
  <c r="AU4" i="6"/>
  <c r="AT5" i="6"/>
  <c r="AU5" i="6"/>
  <c r="AT6" i="6"/>
  <c r="AU6" i="6"/>
  <c r="AT7" i="6"/>
  <c r="AU7" i="6"/>
  <c r="AT8" i="6"/>
  <c r="AU8" i="6"/>
  <c r="AT9" i="6"/>
  <c r="AU9" i="6"/>
  <c r="AT10" i="6"/>
  <c r="AU10" i="6"/>
  <c r="AT11" i="6"/>
  <c r="AU11" i="6"/>
  <c r="AT12" i="6"/>
  <c r="AU12" i="6"/>
  <c r="AT13" i="6"/>
  <c r="AU13" i="6"/>
  <c r="AT14" i="6"/>
  <c r="AU14" i="6"/>
  <c r="AT15" i="6"/>
  <c r="AU15" i="6"/>
  <c r="AT16" i="6"/>
  <c r="AU16" i="6"/>
  <c r="AT17" i="6"/>
  <c r="AU17" i="6"/>
  <c r="AT18" i="6"/>
  <c r="AU18" i="6"/>
  <c r="AT19" i="6"/>
  <c r="AU19" i="6"/>
  <c r="AT20" i="6"/>
  <c r="AU20" i="6"/>
  <c r="AT21" i="6"/>
  <c r="AU21" i="6"/>
  <c r="AT22" i="6"/>
  <c r="AU22" i="6"/>
  <c r="AT23" i="6"/>
  <c r="AU23" i="6"/>
  <c r="AT24" i="6"/>
  <c r="AU24" i="6"/>
  <c r="AT25" i="6"/>
  <c r="AU25" i="6"/>
  <c r="AT26" i="6"/>
  <c r="AU26" i="6"/>
  <c r="AT27" i="6"/>
  <c r="AU27" i="6"/>
  <c r="AT28" i="6"/>
  <c r="AU28" i="6"/>
  <c r="AT29" i="6"/>
  <c r="AU29" i="6"/>
  <c r="AT30" i="6"/>
  <c r="AU30" i="6"/>
  <c r="AT31" i="6"/>
  <c r="AU31" i="6"/>
  <c r="AT32" i="6"/>
  <c r="AU32" i="6"/>
  <c r="AT33" i="6"/>
  <c r="AU33" i="6"/>
  <c r="AT34" i="6"/>
  <c r="AU34" i="6"/>
  <c r="AT35" i="6"/>
  <c r="AU35" i="6"/>
  <c r="AT36" i="6"/>
  <c r="AU36" i="6"/>
  <c r="AT37" i="6"/>
  <c r="AU37" i="6"/>
  <c r="AT38" i="6"/>
  <c r="AU38" i="6"/>
  <c r="AT39" i="6"/>
  <c r="AU39" i="6"/>
  <c r="AT40" i="6"/>
  <c r="AU40" i="6"/>
  <c r="AT41" i="6"/>
  <c r="AU41" i="6"/>
  <c r="AT42" i="6"/>
  <c r="AU42" i="6"/>
  <c r="AT43" i="6"/>
  <c r="AU43" i="6"/>
  <c r="AT44" i="6"/>
  <c r="AU44" i="6"/>
  <c r="AT45" i="6"/>
  <c r="AU45" i="6"/>
  <c r="AT46" i="6"/>
  <c r="AU46" i="6"/>
  <c r="AT47" i="6"/>
  <c r="AU47" i="6"/>
  <c r="AT48" i="6"/>
  <c r="AU48" i="6"/>
  <c r="AT49" i="6"/>
  <c r="AU49" i="6"/>
  <c r="AT50" i="6"/>
  <c r="AU50" i="6"/>
  <c r="AT51" i="6"/>
  <c r="AU51" i="6"/>
  <c r="AT52" i="6"/>
  <c r="AU52" i="6"/>
  <c r="AT53" i="6"/>
  <c r="AU53" i="6"/>
  <c r="AT54" i="6"/>
  <c r="AU54" i="6"/>
  <c r="AT55" i="6"/>
  <c r="AU55" i="6"/>
  <c r="AT56" i="6"/>
  <c r="AU56" i="6"/>
  <c r="AT57" i="6"/>
  <c r="AU57" i="6"/>
  <c r="AT58" i="6"/>
  <c r="AU58" i="6"/>
  <c r="AT59" i="6"/>
  <c r="AU59" i="6"/>
  <c r="AT60" i="6"/>
  <c r="AU60" i="6"/>
  <c r="AT61" i="6"/>
  <c r="AU61" i="6"/>
  <c r="AT62" i="6"/>
  <c r="AU62" i="6"/>
  <c r="AT63" i="6"/>
  <c r="AU63" i="6"/>
  <c r="AT64" i="6"/>
  <c r="AU64" i="6"/>
  <c r="AT65" i="6"/>
  <c r="AU65" i="6"/>
  <c r="AT66" i="6"/>
  <c r="AU66" i="6"/>
  <c r="AT67" i="6"/>
  <c r="AU67" i="6"/>
  <c r="AT68" i="6"/>
  <c r="AU68" i="6"/>
  <c r="AT69" i="6"/>
  <c r="AU69" i="6"/>
  <c r="AT70" i="6"/>
  <c r="AU70" i="6"/>
  <c r="AT71" i="6"/>
  <c r="AU71" i="6"/>
  <c r="AT72" i="6"/>
  <c r="AU72" i="6"/>
  <c r="AT73" i="6"/>
  <c r="AU73" i="6"/>
  <c r="AT74" i="6"/>
  <c r="AU74" i="6"/>
  <c r="AT75" i="6"/>
  <c r="AU75" i="6"/>
  <c r="AT76" i="6"/>
  <c r="AU76" i="6"/>
  <c r="AT77" i="6"/>
  <c r="AU77" i="6"/>
  <c r="AT78" i="6"/>
  <c r="AU78" i="6"/>
  <c r="AT79" i="6"/>
  <c r="AU79" i="6"/>
  <c r="AT80" i="6"/>
  <c r="AU80" i="6"/>
  <c r="AT81" i="6"/>
  <c r="AU81" i="6"/>
  <c r="AT82" i="6"/>
  <c r="AU82" i="6"/>
  <c r="AT83" i="6"/>
  <c r="AU83" i="6"/>
  <c r="AT84" i="6"/>
  <c r="AU84" i="6"/>
  <c r="AT85" i="6"/>
  <c r="AU85" i="6"/>
  <c r="AT86" i="6"/>
  <c r="AU86" i="6"/>
  <c r="AT87" i="6"/>
  <c r="AU87" i="6"/>
  <c r="AT88" i="6"/>
  <c r="AU88" i="6"/>
  <c r="AT89" i="6"/>
  <c r="AU89" i="6"/>
  <c r="AT90" i="6"/>
  <c r="AU90" i="6"/>
  <c r="AT91" i="6"/>
  <c r="AU91" i="6"/>
  <c r="AT92" i="6"/>
  <c r="AU92" i="6"/>
  <c r="AT93" i="6"/>
  <c r="AU93" i="6"/>
  <c r="AT94" i="6"/>
  <c r="AU94" i="6"/>
  <c r="AT95" i="6"/>
  <c r="AU95" i="6"/>
  <c r="AT96" i="6"/>
  <c r="AU96" i="6"/>
  <c r="AT97" i="6"/>
  <c r="AU97" i="6"/>
  <c r="AT98" i="6"/>
  <c r="AU98" i="6"/>
  <c r="AT99" i="6"/>
  <c r="AU99" i="6"/>
  <c r="AT100" i="6"/>
  <c r="AU100" i="6"/>
  <c r="AT101" i="6"/>
  <c r="AU101" i="6"/>
  <c r="AT102" i="6"/>
  <c r="AU102" i="6"/>
  <c r="AT103" i="6"/>
  <c r="AU103" i="6"/>
  <c r="AT104" i="6"/>
  <c r="AU104" i="6"/>
  <c r="AT105" i="6"/>
  <c r="AU105" i="6"/>
  <c r="AT106" i="6"/>
  <c r="AU106" i="6"/>
  <c r="AT107" i="6"/>
  <c r="AU107" i="6"/>
  <c r="AT108" i="6"/>
  <c r="AU108" i="6"/>
  <c r="AT109" i="6"/>
  <c r="AU109" i="6"/>
  <c r="AT110" i="6"/>
  <c r="AU110" i="6"/>
  <c r="AT111" i="6"/>
  <c r="AU111" i="6"/>
  <c r="AT112" i="6"/>
  <c r="AU112" i="6"/>
  <c r="AT113" i="6"/>
  <c r="AU113" i="6"/>
  <c r="AT114" i="6"/>
  <c r="AU114" i="6"/>
  <c r="AT115" i="6"/>
  <c r="AU115" i="6"/>
  <c r="AT116" i="6"/>
  <c r="AU116" i="6"/>
  <c r="AT117" i="6"/>
  <c r="AU117" i="6"/>
  <c r="AT118" i="6"/>
  <c r="AU118" i="6"/>
  <c r="AT119" i="6"/>
  <c r="AU119" i="6"/>
  <c r="AT120" i="6"/>
  <c r="AU120" i="6"/>
  <c r="AT121" i="6"/>
  <c r="AU121" i="6"/>
  <c r="AT122" i="6"/>
  <c r="AU122" i="6"/>
  <c r="AT123" i="6"/>
  <c r="AU123" i="6"/>
  <c r="AT124" i="6"/>
  <c r="AU124" i="6"/>
  <c r="AT125" i="6"/>
  <c r="AU125" i="6"/>
  <c r="AT126" i="6"/>
  <c r="AU126" i="6"/>
  <c r="AT127" i="6"/>
  <c r="AU127" i="6"/>
  <c r="AT128" i="6"/>
  <c r="AU128" i="6"/>
  <c r="AT129" i="6"/>
  <c r="AU129" i="6"/>
  <c r="AT130" i="6"/>
  <c r="AU130" i="6"/>
  <c r="AT131" i="6"/>
  <c r="AU131" i="6"/>
  <c r="AT132" i="6"/>
  <c r="AU132" i="6"/>
  <c r="AT133" i="6"/>
  <c r="AU133" i="6"/>
  <c r="AT134" i="6"/>
  <c r="AU134" i="6"/>
  <c r="AT135" i="6"/>
  <c r="AU135" i="6"/>
  <c r="AT136" i="6"/>
  <c r="AU136" i="6"/>
  <c r="AT137" i="6"/>
  <c r="AU137" i="6"/>
  <c r="AT138" i="6"/>
  <c r="AU138" i="6"/>
  <c r="AT139" i="6"/>
  <c r="AU139" i="6"/>
  <c r="AT140" i="6"/>
  <c r="AU140" i="6"/>
  <c r="AT141" i="6"/>
  <c r="AU141" i="6"/>
  <c r="AT142" i="6"/>
  <c r="AU142" i="6"/>
  <c r="AT143" i="6"/>
  <c r="AU143" i="6"/>
  <c r="AT144" i="6"/>
  <c r="AU144" i="6"/>
  <c r="AT145" i="6"/>
  <c r="AU145" i="6"/>
  <c r="AT146" i="6"/>
  <c r="AU146" i="6"/>
  <c r="AT147" i="6"/>
  <c r="AU147" i="6"/>
  <c r="AT148" i="6"/>
  <c r="AU148" i="6"/>
  <c r="AT149" i="6"/>
  <c r="AU149" i="6"/>
  <c r="AT150" i="6"/>
  <c r="AU150" i="6"/>
  <c r="AT151" i="6"/>
  <c r="AU151" i="6"/>
  <c r="AT152" i="6"/>
  <c r="AU152" i="6"/>
  <c r="AT153" i="6"/>
  <c r="AU153" i="6"/>
  <c r="AT154" i="6"/>
  <c r="AU154" i="6"/>
  <c r="AT155" i="6"/>
  <c r="AU155" i="6"/>
  <c r="AT156" i="6"/>
  <c r="AU156" i="6"/>
  <c r="AT157" i="6"/>
  <c r="AU157" i="6"/>
  <c r="AT158" i="6"/>
  <c r="AU158" i="6"/>
  <c r="AT159" i="6"/>
  <c r="AU159" i="6"/>
  <c r="AT160" i="6"/>
  <c r="AU160" i="6"/>
  <c r="AT161" i="6"/>
  <c r="AU161" i="6"/>
  <c r="AT162" i="6"/>
  <c r="AU162" i="6"/>
  <c r="AT163" i="6"/>
  <c r="AU163" i="6"/>
  <c r="AT164" i="6"/>
  <c r="AU164" i="6"/>
  <c r="AT165" i="6"/>
  <c r="AU165" i="6"/>
  <c r="AT166" i="6"/>
  <c r="AU166" i="6"/>
  <c r="AT167" i="6"/>
  <c r="AU167" i="6"/>
  <c r="AT168" i="6"/>
  <c r="AU168" i="6"/>
  <c r="AT169" i="6"/>
  <c r="AU169" i="6"/>
  <c r="AT170" i="6"/>
  <c r="AU170" i="6"/>
  <c r="AT171" i="6"/>
  <c r="AU171" i="6"/>
  <c r="AT172" i="6"/>
  <c r="AU172" i="6"/>
  <c r="AT173" i="6"/>
  <c r="AU173" i="6"/>
  <c r="AT174" i="6"/>
  <c r="AU174" i="6"/>
  <c r="AT175" i="6"/>
  <c r="AU175" i="6"/>
  <c r="AT176" i="6"/>
  <c r="AU176" i="6"/>
  <c r="AT177" i="6"/>
  <c r="AU177" i="6"/>
  <c r="AT178" i="6"/>
  <c r="AU178" i="6"/>
  <c r="AT179" i="6"/>
  <c r="AU179" i="6"/>
  <c r="AT180" i="6"/>
  <c r="AU180" i="6"/>
  <c r="AT181" i="6"/>
  <c r="AU181" i="6"/>
  <c r="AT182" i="6"/>
  <c r="AU182" i="6"/>
  <c r="AT183" i="6"/>
  <c r="AU183" i="6"/>
  <c r="AT184" i="6"/>
  <c r="AU184" i="6"/>
  <c r="AT185" i="6"/>
  <c r="AU185" i="6"/>
  <c r="AT186" i="6"/>
  <c r="AU186" i="6"/>
  <c r="AT187" i="6"/>
  <c r="AU187" i="6"/>
  <c r="AT188" i="6"/>
  <c r="AU188" i="6"/>
  <c r="AT189" i="6"/>
  <c r="AU189" i="6"/>
  <c r="AT190" i="6"/>
  <c r="AU190" i="6"/>
  <c r="AT191" i="6"/>
  <c r="AU191" i="6"/>
  <c r="AT192" i="6"/>
  <c r="AU192" i="6"/>
  <c r="AT193" i="6"/>
  <c r="AU193" i="6"/>
  <c r="AT194" i="6"/>
  <c r="AU194" i="6"/>
  <c r="AT195" i="6"/>
  <c r="AU195" i="6"/>
  <c r="AT196" i="6"/>
  <c r="AU196" i="6"/>
  <c r="AT197" i="6"/>
  <c r="AU197" i="6"/>
  <c r="AT198" i="6"/>
  <c r="AU198" i="6"/>
  <c r="AT199" i="6"/>
  <c r="AU199" i="6"/>
  <c r="AT200" i="6"/>
  <c r="AU200" i="6"/>
  <c r="AT201" i="6"/>
  <c r="AU201" i="6"/>
  <c r="AT202" i="6"/>
  <c r="AU202" i="6"/>
  <c r="AT203" i="6"/>
  <c r="AU203" i="6"/>
  <c r="AT204" i="6"/>
  <c r="AU204" i="6"/>
  <c r="AT205" i="6"/>
  <c r="AU205" i="6"/>
  <c r="AT206" i="6"/>
  <c r="AU206" i="6"/>
  <c r="AT207" i="6"/>
  <c r="AU207" i="6"/>
  <c r="AT208" i="6"/>
  <c r="AU208" i="6"/>
  <c r="AT209" i="6"/>
  <c r="AU209" i="6"/>
  <c r="AT210" i="6"/>
  <c r="AU210" i="6"/>
  <c r="AT211" i="6"/>
  <c r="AU211" i="6"/>
  <c r="AT212" i="6"/>
  <c r="AU212" i="6"/>
  <c r="AT213" i="6"/>
  <c r="AU213" i="6"/>
  <c r="AT214" i="6"/>
  <c r="AU214" i="6"/>
  <c r="AT215" i="6"/>
  <c r="AU215" i="6"/>
  <c r="AT216" i="6"/>
  <c r="AU216" i="6"/>
  <c r="AT217" i="6"/>
  <c r="AU217" i="6"/>
  <c r="AT218" i="6"/>
  <c r="AU218" i="6"/>
  <c r="AT219" i="6"/>
  <c r="AU219" i="6"/>
  <c r="AT220" i="6"/>
  <c r="AU220" i="6"/>
  <c r="AT221" i="6"/>
  <c r="AU221" i="6"/>
  <c r="AT222" i="6"/>
  <c r="AU222" i="6"/>
  <c r="AT223" i="6"/>
  <c r="AU223" i="6"/>
  <c r="AT224" i="6"/>
  <c r="AU224" i="6"/>
  <c r="AT225" i="6"/>
  <c r="AU225" i="6"/>
  <c r="AT226" i="6"/>
  <c r="AU226" i="6"/>
  <c r="AT227" i="6"/>
  <c r="AU227" i="6"/>
  <c r="AT228" i="6"/>
  <c r="AU228" i="6"/>
  <c r="AT229" i="6"/>
  <c r="AU229" i="6"/>
  <c r="AT230" i="6"/>
  <c r="AU230" i="6"/>
  <c r="AT231" i="6"/>
  <c r="AU231" i="6"/>
  <c r="AT232" i="6"/>
  <c r="AU232" i="6"/>
  <c r="AT233" i="6"/>
  <c r="AU233" i="6"/>
  <c r="AT234" i="6"/>
  <c r="AU234" i="6"/>
  <c r="AT235" i="6"/>
  <c r="AU235" i="6"/>
  <c r="AT236" i="6"/>
  <c r="AU236" i="6"/>
  <c r="AT237" i="6"/>
  <c r="AU237" i="6"/>
  <c r="AT238" i="6"/>
  <c r="AU238" i="6"/>
  <c r="AT239" i="6"/>
  <c r="AU239" i="6"/>
  <c r="AT240" i="6"/>
  <c r="AU240" i="6"/>
  <c r="AT241" i="6"/>
  <c r="AU241" i="6"/>
  <c r="AT242" i="6"/>
  <c r="AU242" i="6"/>
  <c r="AT243" i="6"/>
  <c r="AU243" i="6"/>
  <c r="AT244" i="6"/>
  <c r="AU244" i="6"/>
  <c r="AT245" i="6"/>
  <c r="AU245" i="6"/>
  <c r="AT246" i="6"/>
  <c r="AU246" i="6"/>
  <c r="AT247" i="6"/>
  <c r="AU247" i="6"/>
  <c r="AT248" i="6"/>
  <c r="AU248" i="6"/>
  <c r="AS2" i="6"/>
  <c r="AS3" i="6"/>
  <c r="AS4" i="6"/>
  <c r="AS5" i="6"/>
  <c r="AS6" i="6"/>
  <c r="AS7" i="6"/>
  <c r="AS8" i="6"/>
  <c r="AS9" i="6"/>
  <c r="AS10" i="6"/>
  <c r="AS11" i="6"/>
  <c r="AS12" i="6"/>
  <c r="AS13" i="6"/>
  <c r="AS14" i="6"/>
  <c r="AS15" i="6"/>
  <c r="AS16" i="6"/>
  <c r="AS17" i="6"/>
  <c r="AS18" i="6"/>
  <c r="AS19" i="6"/>
  <c r="AS20" i="6"/>
  <c r="AS21" i="6"/>
  <c r="AS22" i="6"/>
  <c r="AS23" i="6"/>
  <c r="AS24" i="6"/>
  <c r="AS25" i="6"/>
  <c r="AS26" i="6"/>
  <c r="AS27" i="6"/>
  <c r="AS28" i="6"/>
  <c r="AS29" i="6"/>
  <c r="AS30" i="6"/>
  <c r="AS31" i="6"/>
  <c r="AS32" i="6"/>
  <c r="AS33" i="6"/>
  <c r="AS34" i="6"/>
  <c r="AS35" i="6"/>
  <c r="AS36" i="6"/>
  <c r="AS37" i="6"/>
  <c r="AS38" i="6"/>
  <c r="AS39" i="6"/>
  <c r="AS40" i="6"/>
  <c r="AS41" i="6"/>
  <c r="AS42" i="6"/>
  <c r="AS43" i="6"/>
  <c r="AS44" i="6"/>
  <c r="AS45" i="6"/>
  <c r="AS46" i="6"/>
  <c r="AS47" i="6"/>
  <c r="AS48" i="6"/>
  <c r="AS49" i="6"/>
  <c r="AS50" i="6"/>
  <c r="AS51" i="6"/>
  <c r="AS52" i="6"/>
  <c r="AS53" i="6"/>
  <c r="AS54" i="6"/>
  <c r="AS55" i="6"/>
  <c r="AS56" i="6"/>
  <c r="AS57" i="6"/>
  <c r="AS58" i="6"/>
  <c r="AS59" i="6"/>
  <c r="AS60" i="6"/>
  <c r="AS61" i="6"/>
  <c r="AS62" i="6"/>
  <c r="AS63" i="6"/>
  <c r="AS64" i="6"/>
  <c r="AS65" i="6"/>
  <c r="AS66" i="6"/>
  <c r="AS67" i="6"/>
  <c r="AS68" i="6"/>
  <c r="AS69" i="6"/>
  <c r="AS70" i="6"/>
  <c r="AS71" i="6"/>
  <c r="AS72" i="6"/>
  <c r="AS73" i="6"/>
  <c r="AS74" i="6"/>
  <c r="AS75" i="6"/>
  <c r="AS76" i="6"/>
  <c r="AS77" i="6"/>
  <c r="AS78" i="6"/>
  <c r="AS79" i="6"/>
  <c r="AS80" i="6"/>
  <c r="AS81" i="6"/>
  <c r="AS82" i="6"/>
  <c r="AS83" i="6"/>
  <c r="AS84" i="6"/>
  <c r="AS85" i="6"/>
  <c r="AS86" i="6"/>
  <c r="AS87" i="6"/>
  <c r="AS88" i="6"/>
  <c r="AS89" i="6"/>
  <c r="AS90" i="6"/>
  <c r="AS91" i="6"/>
  <c r="AS92" i="6"/>
  <c r="AS93" i="6"/>
  <c r="AS94" i="6"/>
  <c r="AS95" i="6"/>
  <c r="AS96" i="6"/>
  <c r="AS97" i="6"/>
  <c r="AS98" i="6"/>
  <c r="AS99" i="6"/>
  <c r="AS100" i="6"/>
  <c r="AS101" i="6"/>
  <c r="AS102" i="6"/>
  <c r="AS103" i="6"/>
  <c r="AS104" i="6"/>
  <c r="AS105" i="6"/>
  <c r="AS106" i="6"/>
  <c r="AS107" i="6"/>
  <c r="AS108" i="6"/>
  <c r="AS109" i="6"/>
  <c r="AS110" i="6"/>
  <c r="AS111" i="6"/>
  <c r="AS112" i="6"/>
  <c r="AS113" i="6"/>
  <c r="AS114" i="6"/>
  <c r="AS115" i="6"/>
  <c r="AS116" i="6"/>
  <c r="AS117" i="6"/>
  <c r="AS118" i="6"/>
  <c r="AS119" i="6"/>
  <c r="AS120" i="6"/>
  <c r="AS121" i="6"/>
  <c r="AS122" i="6"/>
  <c r="AS123" i="6"/>
  <c r="AS124" i="6"/>
  <c r="AS125" i="6"/>
  <c r="AS126" i="6"/>
  <c r="AS127" i="6"/>
  <c r="AS128" i="6"/>
  <c r="AS129" i="6"/>
  <c r="AS130" i="6"/>
  <c r="AS131" i="6"/>
  <c r="AS132" i="6"/>
  <c r="AS133" i="6"/>
  <c r="AS134" i="6"/>
  <c r="AS135" i="6"/>
  <c r="AS136" i="6"/>
  <c r="AS137" i="6"/>
  <c r="AS138" i="6"/>
  <c r="AS139" i="6"/>
  <c r="AS140" i="6"/>
  <c r="AS141" i="6"/>
  <c r="AS142" i="6"/>
  <c r="AS143" i="6"/>
  <c r="AS144" i="6"/>
  <c r="AS145" i="6"/>
  <c r="AS146" i="6"/>
  <c r="AS147" i="6"/>
  <c r="AS148" i="6"/>
  <c r="AS149" i="6"/>
  <c r="AS150" i="6"/>
  <c r="AS151" i="6"/>
  <c r="AS152" i="6"/>
  <c r="AS153" i="6"/>
  <c r="AS154" i="6"/>
  <c r="AS155" i="6"/>
  <c r="AS156" i="6"/>
  <c r="AS157" i="6"/>
  <c r="AS158" i="6"/>
  <c r="AS159" i="6"/>
  <c r="AS160" i="6"/>
  <c r="AS161" i="6"/>
  <c r="AS162" i="6"/>
  <c r="AS163" i="6"/>
  <c r="AS164" i="6"/>
  <c r="AS165" i="6"/>
  <c r="AS166" i="6"/>
  <c r="AS167" i="6"/>
  <c r="AS168" i="6"/>
  <c r="AS169" i="6"/>
  <c r="AS170" i="6"/>
  <c r="AS171" i="6"/>
  <c r="AS172" i="6"/>
  <c r="AS173" i="6"/>
  <c r="AS174" i="6"/>
  <c r="AS175" i="6"/>
  <c r="AS176" i="6"/>
  <c r="AS177" i="6"/>
  <c r="AS178" i="6"/>
  <c r="AS179" i="6"/>
  <c r="AS180" i="6"/>
  <c r="AS181" i="6"/>
  <c r="AS182" i="6"/>
  <c r="AS183" i="6"/>
  <c r="AS184" i="6"/>
  <c r="AS185" i="6"/>
  <c r="AS186" i="6"/>
  <c r="AS187" i="6"/>
  <c r="AS188" i="6"/>
  <c r="AS189" i="6"/>
  <c r="AS190" i="6"/>
  <c r="AS191" i="6"/>
  <c r="AS192" i="6"/>
  <c r="AS193" i="6"/>
  <c r="AS194" i="6"/>
  <c r="AS195" i="6"/>
  <c r="AS196" i="6"/>
  <c r="AS197" i="6"/>
  <c r="AS198" i="6"/>
  <c r="AS199" i="6"/>
  <c r="AS200" i="6"/>
  <c r="AS201" i="6"/>
  <c r="AS202" i="6"/>
  <c r="AS203" i="6"/>
  <c r="AS204" i="6"/>
  <c r="AS205" i="6"/>
  <c r="AS206" i="6"/>
  <c r="AS207" i="6"/>
  <c r="AS208" i="6"/>
  <c r="AS209" i="6"/>
  <c r="AS210" i="6"/>
  <c r="AS211" i="6"/>
  <c r="AS212" i="6"/>
  <c r="AS213" i="6"/>
  <c r="AS214" i="6"/>
  <c r="AS215" i="6"/>
  <c r="AS216" i="6"/>
  <c r="AS217" i="6"/>
  <c r="AS218" i="6"/>
  <c r="AS219" i="6"/>
  <c r="AS220" i="6"/>
  <c r="AS221" i="6"/>
  <c r="AS222" i="6"/>
  <c r="AS223" i="6"/>
  <c r="AS224" i="6"/>
  <c r="AS225" i="6"/>
  <c r="AS226" i="6"/>
  <c r="AS227" i="6"/>
  <c r="AS228" i="6"/>
  <c r="AS229" i="6"/>
  <c r="AS230" i="6"/>
  <c r="AS231" i="6"/>
  <c r="AS232" i="6"/>
  <c r="AS233" i="6"/>
  <c r="AS234" i="6"/>
  <c r="AS235" i="6"/>
  <c r="AS236" i="6"/>
  <c r="AS237" i="6"/>
  <c r="AS238" i="6"/>
  <c r="AS239" i="6"/>
  <c r="AS240" i="6"/>
  <c r="AS241" i="6"/>
  <c r="AS242" i="6"/>
  <c r="AS243" i="6"/>
  <c r="AS244" i="6"/>
  <c r="AS245" i="6"/>
  <c r="AS246" i="6"/>
  <c r="AS247" i="6"/>
  <c r="AS248" i="6"/>
  <c r="AP2" i="6"/>
  <c r="AQ2" i="6"/>
  <c r="AR2" i="6"/>
  <c r="AP3" i="6"/>
  <c r="AQ3" i="6"/>
  <c r="AR3" i="6"/>
  <c r="AP4" i="6"/>
  <c r="AQ4" i="6"/>
  <c r="AR4" i="6"/>
  <c r="AP5" i="6"/>
  <c r="AQ5" i="6"/>
  <c r="AR5" i="6"/>
  <c r="AP6" i="6"/>
  <c r="AQ6" i="6"/>
  <c r="AR6" i="6"/>
  <c r="AP7" i="6"/>
  <c r="AQ7" i="6"/>
  <c r="AR7" i="6"/>
  <c r="AP8" i="6"/>
  <c r="AQ8" i="6"/>
  <c r="AR8" i="6"/>
  <c r="AP9" i="6"/>
  <c r="AQ9" i="6"/>
  <c r="AR9" i="6"/>
  <c r="AP10" i="6"/>
  <c r="AQ10" i="6"/>
  <c r="AR10" i="6"/>
  <c r="AP11" i="6"/>
  <c r="AQ11" i="6"/>
  <c r="AR11" i="6"/>
  <c r="AP12" i="6"/>
  <c r="AQ12" i="6"/>
  <c r="AR12" i="6"/>
  <c r="AP13" i="6"/>
  <c r="AQ13" i="6"/>
  <c r="AR13" i="6"/>
  <c r="AP14" i="6"/>
  <c r="AQ14" i="6"/>
  <c r="AR14" i="6"/>
  <c r="AP15" i="6"/>
  <c r="AQ15" i="6"/>
  <c r="AR15" i="6"/>
  <c r="AP16" i="6"/>
  <c r="AQ16" i="6"/>
  <c r="AR16" i="6"/>
  <c r="AP17" i="6"/>
  <c r="AQ17" i="6"/>
  <c r="AR17" i="6"/>
  <c r="AP18" i="6"/>
  <c r="AQ18" i="6"/>
  <c r="AR18" i="6"/>
  <c r="AP19" i="6"/>
  <c r="AQ19" i="6"/>
  <c r="AR19" i="6"/>
  <c r="AP20" i="6"/>
  <c r="AQ20" i="6"/>
  <c r="AR20" i="6"/>
  <c r="AP21" i="6"/>
  <c r="AQ21" i="6"/>
  <c r="AR21" i="6"/>
  <c r="AP22" i="6"/>
  <c r="AQ22" i="6"/>
  <c r="AR22" i="6"/>
  <c r="AP23" i="6"/>
  <c r="AQ23" i="6"/>
  <c r="AR23" i="6"/>
  <c r="AP24" i="6"/>
  <c r="AQ24" i="6"/>
  <c r="AR24" i="6"/>
  <c r="AP25" i="6"/>
  <c r="AQ25" i="6"/>
  <c r="AR25" i="6"/>
  <c r="AP26" i="6"/>
  <c r="AQ26" i="6"/>
  <c r="AR26" i="6"/>
  <c r="AP27" i="6"/>
  <c r="AQ27" i="6"/>
  <c r="AR27" i="6"/>
  <c r="AP28" i="6"/>
  <c r="AQ28" i="6"/>
  <c r="AR28" i="6"/>
  <c r="AP29" i="6"/>
  <c r="AQ29" i="6"/>
  <c r="AR29" i="6"/>
  <c r="AP30" i="6"/>
  <c r="AQ30" i="6"/>
  <c r="AR30" i="6"/>
  <c r="AP31" i="6"/>
  <c r="AQ31" i="6"/>
  <c r="AR31" i="6"/>
  <c r="AP32" i="6"/>
  <c r="AQ32" i="6"/>
  <c r="AR32" i="6"/>
  <c r="AP33" i="6"/>
  <c r="AQ33" i="6"/>
  <c r="AR33" i="6"/>
  <c r="AP34" i="6"/>
  <c r="AQ34" i="6"/>
  <c r="AR34" i="6"/>
  <c r="AP35" i="6"/>
  <c r="AQ35" i="6"/>
  <c r="AR35" i="6"/>
  <c r="AP36" i="6"/>
  <c r="AQ36" i="6"/>
  <c r="AR36" i="6"/>
  <c r="AP37" i="6"/>
  <c r="AQ37" i="6"/>
  <c r="AR37" i="6"/>
  <c r="AP38" i="6"/>
  <c r="AQ38" i="6"/>
  <c r="AR38" i="6"/>
  <c r="AP39" i="6"/>
  <c r="AQ39" i="6"/>
  <c r="AR39" i="6"/>
  <c r="AP40" i="6"/>
  <c r="AQ40" i="6"/>
  <c r="AR40" i="6"/>
  <c r="AP41" i="6"/>
  <c r="AQ41" i="6"/>
  <c r="AR41" i="6"/>
  <c r="AP42" i="6"/>
  <c r="AQ42" i="6"/>
  <c r="AR42" i="6"/>
  <c r="AP43" i="6"/>
  <c r="AQ43" i="6"/>
  <c r="AR43" i="6"/>
  <c r="AP44" i="6"/>
  <c r="AQ44" i="6"/>
  <c r="AR44" i="6"/>
  <c r="AP45" i="6"/>
  <c r="AQ45" i="6"/>
  <c r="AR45" i="6"/>
  <c r="AP46" i="6"/>
  <c r="AQ46" i="6"/>
  <c r="AR46" i="6"/>
  <c r="AP47" i="6"/>
  <c r="AQ47" i="6"/>
  <c r="AR47" i="6"/>
  <c r="AP48" i="6"/>
  <c r="AQ48" i="6"/>
  <c r="AR48" i="6"/>
  <c r="AP49" i="6"/>
  <c r="AQ49" i="6"/>
  <c r="AR49" i="6"/>
  <c r="AP50" i="6"/>
  <c r="AQ50" i="6"/>
  <c r="AR50" i="6"/>
  <c r="AP51" i="6"/>
  <c r="AQ51" i="6"/>
  <c r="AR51" i="6"/>
  <c r="AP52" i="6"/>
  <c r="AQ52" i="6"/>
  <c r="AR52" i="6"/>
  <c r="AP53" i="6"/>
  <c r="AQ53" i="6"/>
  <c r="AR53" i="6"/>
  <c r="AP54" i="6"/>
  <c r="AQ54" i="6"/>
  <c r="AR54" i="6"/>
  <c r="AP55" i="6"/>
  <c r="AQ55" i="6"/>
  <c r="AR55" i="6"/>
  <c r="AP56" i="6"/>
  <c r="AQ56" i="6"/>
  <c r="AR56" i="6"/>
  <c r="AP57" i="6"/>
  <c r="AQ57" i="6"/>
  <c r="AR57" i="6"/>
  <c r="AP58" i="6"/>
  <c r="AQ58" i="6"/>
  <c r="AR58" i="6"/>
  <c r="AP59" i="6"/>
  <c r="AQ59" i="6"/>
  <c r="AR59" i="6"/>
  <c r="AP60" i="6"/>
  <c r="AQ60" i="6"/>
  <c r="AR60" i="6"/>
  <c r="AP61" i="6"/>
  <c r="AQ61" i="6"/>
  <c r="AR61" i="6"/>
  <c r="AP62" i="6"/>
  <c r="AQ62" i="6"/>
  <c r="AR62" i="6"/>
  <c r="AP63" i="6"/>
  <c r="AQ63" i="6"/>
  <c r="AR63" i="6"/>
  <c r="AP64" i="6"/>
  <c r="AQ64" i="6"/>
  <c r="AR64" i="6"/>
  <c r="AP65" i="6"/>
  <c r="AQ65" i="6"/>
  <c r="AR65" i="6"/>
  <c r="AP66" i="6"/>
  <c r="AQ66" i="6"/>
  <c r="AR66" i="6"/>
  <c r="AP67" i="6"/>
  <c r="AQ67" i="6"/>
  <c r="AR67" i="6"/>
  <c r="AP68" i="6"/>
  <c r="AQ68" i="6"/>
  <c r="AR68" i="6"/>
  <c r="AP69" i="6"/>
  <c r="AQ69" i="6"/>
  <c r="AR69" i="6"/>
  <c r="AP70" i="6"/>
  <c r="AQ70" i="6"/>
  <c r="AR70" i="6"/>
  <c r="AP71" i="6"/>
  <c r="AQ71" i="6"/>
  <c r="AR71" i="6"/>
  <c r="AP72" i="6"/>
  <c r="AQ72" i="6"/>
  <c r="AR72" i="6"/>
  <c r="AP73" i="6"/>
  <c r="AQ73" i="6"/>
  <c r="AR73" i="6"/>
  <c r="AP74" i="6"/>
  <c r="AQ74" i="6"/>
  <c r="AR74" i="6"/>
  <c r="AP75" i="6"/>
  <c r="AQ75" i="6"/>
  <c r="AR75" i="6"/>
  <c r="AP76" i="6"/>
  <c r="AQ76" i="6"/>
  <c r="AR76" i="6"/>
  <c r="AP77" i="6"/>
  <c r="AQ77" i="6"/>
  <c r="AR77" i="6"/>
  <c r="AP78" i="6"/>
  <c r="AQ78" i="6"/>
  <c r="AR78" i="6"/>
  <c r="AP79" i="6"/>
  <c r="AQ79" i="6"/>
  <c r="AR79" i="6"/>
  <c r="AP80" i="6"/>
  <c r="AQ80" i="6"/>
  <c r="AR80" i="6"/>
  <c r="AP81" i="6"/>
  <c r="AQ81" i="6"/>
  <c r="AR81" i="6"/>
  <c r="AP82" i="6"/>
  <c r="AQ82" i="6"/>
  <c r="AR82" i="6"/>
  <c r="AP83" i="6"/>
  <c r="AQ83" i="6"/>
  <c r="AR83" i="6"/>
  <c r="AP84" i="6"/>
  <c r="AQ84" i="6"/>
  <c r="AR84" i="6"/>
  <c r="AP85" i="6"/>
  <c r="AQ85" i="6"/>
  <c r="AR85" i="6"/>
  <c r="AP86" i="6"/>
  <c r="AQ86" i="6"/>
  <c r="AR86" i="6"/>
  <c r="AP87" i="6"/>
  <c r="AQ87" i="6"/>
  <c r="AR87" i="6"/>
  <c r="AP88" i="6"/>
  <c r="AQ88" i="6"/>
  <c r="AR88" i="6"/>
  <c r="AP89" i="6"/>
  <c r="AQ89" i="6"/>
  <c r="AR89" i="6"/>
  <c r="AP90" i="6"/>
  <c r="AQ90" i="6"/>
  <c r="AR90" i="6"/>
  <c r="AP91" i="6"/>
  <c r="AQ91" i="6"/>
  <c r="AR91" i="6"/>
  <c r="AP92" i="6"/>
  <c r="AQ92" i="6"/>
  <c r="AR92" i="6"/>
  <c r="AP93" i="6"/>
  <c r="AQ93" i="6"/>
  <c r="AR93" i="6"/>
  <c r="AP94" i="6"/>
  <c r="AQ94" i="6"/>
  <c r="AR94" i="6"/>
  <c r="AP95" i="6"/>
  <c r="AQ95" i="6"/>
  <c r="AR95" i="6"/>
  <c r="AP96" i="6"/>
  <c r="AQ96" i="6"/>
  <c r="AR96" i="6"/>
  <c r="AP97" i="6"/>
  <c r="AQ97" i="6"/>
  <c r="AR97" i="6"/>
  <c r="AP98" i="6"/>
  <c r="AQ98" i="6"/>
  <c r="AR98" i="6"/>
  <c r="AP99" i="6"/>
  <c r="AQ99" i="6"/>
  <c r="AR99" i="6"/>
  <c r="AP100" i="6"/>
  <c r="AQ100" i="6"/>
  <c r="AR100" i="6"/>
  <c r="AP101" i="6"/>
  <c r="AQ101" i="6"/>
  <c r="AR101" i="6"/>
  <c r="AP102" i="6"/>
  <c r="AQ102" i="6"/>
  <c r="AR102" i="6"/>
  <c r="AP103" i="6"/>
  <c r="AQ103" i="6"/>
  <c r="AR103" i="6"/>
  <c r="AP104" i="6"/>
  <c r="AQ104" i="6"/>
  <c r="AR104" i="6"/>
  <c r="AP105" i="6"/>
  <c r="AQ105" i="6"/>
  <c r="AR105" i="6"/>
  <c r="AP106" i="6"/>
  <c r="AQ106" i="6"/>
  <c r="AR106" i="6"/>
  <c r="AP107" i="6"/>
  <c r="AQ107" i="6"/>
  <c r="AR107" i="6"/>
  <c r="AP108" i="6"/>
  <c r="AQ108" i="6"/>
  <c r="AR108" i="6"/>
  <c r="AP109" i="6"/>
  <c r="AQ109" i="6"/>
  <c r="AR109" i="6"/>
  <c r="AP110" i="6"/>
  <c r="AQ110" i="6"/>
  <c r="AR110" i="6"/>
  <c r="AP111" i="6"/>
  <c r="AQ111" i="6"/>
  <c r="AR111" i="6"/>
  <c r="AP112" i="6"/>
  <c r="AQ112" i="6"/>
  <c r="AR112" i="6"/>
  <c r="AP113" i="6"/>
  <c r="AQ113" i="6"/>
  <c r="AR113" i="6"/>
  <c r="AP114" i="6"/>
  <c r="AQ114" i="6"/>
  <c r="AR114" i="6"/>
  <c r="AP115" i="6"/>
  <c r="AQ115" i="6"/>
  <c r="AR115" i="6"/>
  <c r="AP116" i="6"/>
  <c r="AQ116" i="6"/>
  <c r="AR116" i="6"/>
  <c r="AP117" i="6"/>
  <c r="AQ117" i="6"/>
  <c r="AR117" i="6"/>
  <c r="AP118" i="6"/>
  <c r="AQ118" i="6"/>
  <c r="AR118" i="6"/>
  <c r="AP119" i="6"/>
  <c r="AQ119" i="6"/>
  <c r="AR119" i="6"/>
  <c r="AP120" i="6"/>
  <c r="AQ120" i="6"/>
  <c r="AR120" i="6"/>
  <c r="AP121" i="6"/>
  <c r="AQ121" i="6"/>
  <c r="AR121" i="6"/>
  <c r="AP122" i="6"/>
  <c r="AQ122" i="6"/>
  <c r="AR122" i="6"/>
  <c r="AP123" i="6"/>
  <c r="AQ123" i="6"/>
  <c r="AR123" i="6"/>
  <c r="AP124" i="6"/>
  <c r="AQ124" i="6"/>
  <c r="AR124" i="6"/>
  <c r="AP125" i="6"/>
  <c r="AQ125" i="6"/>
  <c r="AR125" i="6"/>
  <c r="AP126" i="6"/>
  <c r="AQ126" i="6"/>
  <c r="AR126" i="6"/>
  <c r="AP127" i="6"/>
  <c r="AQ127" i="6"/>
  <c r="AR127" i="6"/>
  <c r="AP128" i="6"/>
  <c r="AQ128" i="6"/>
  <c r="AR128" i="6"/>
  <c r="AP129" i="6"/>
  <c r="AQ129" i="6"/>
  <c r="AR129" i="6"/>
  <c r="AP130" i="6"/>
  <c r="AQ130" i="6"/>
  <c r="AR130" i="6"/>
  <c r="AP131" i="6"/>
  <c r="AQ131" i="6"/>
  <c r="AR131" i="6"/>
  <c r="AP132" i="6"/>
  <c r="AQ132" i="6"/>
  <c r="AR132" i="6"/>
  <c r="AP133" i="6"/>
  <c r="AQ133" i="6"/>
  <c r="AR133" i="6"/>
  <c r="AP134" i="6"/>
  <c r="AQ134" i="6"/>
  <c r="AR134" i="6"/>
  <c r="AP135" i="6"/>
  <c r="AQ135" i="6"/>
  <c r="AR135" i="6"/>
  <c r="AP136" i="6"/>
  <c r="AQ136" i="6"/>
  <c r="AR136" i="6"/>
  <c r="AP137" i="6"/>
  <c r="AQ137" i="6"/>
  <c r="AR137" i="6"/>
  <c r="AP138" i="6"/>
  <c r="AQ138" i="6"/>
  <c r="AR138" i="6"/>
  <c r="AP139" i="6"/>
  <c r="AQ139" i="6"/>
  <c r="AR139" i="6"/>
  <c r="AP140" i="6"/>
  <c r="AQ140" i="6"/>
  <c r="AR140" i="6"/>
  <c r="AP141" i="6"/>
  <c r="AQ141" i="6"/>
  <c r="AR141" i="6"/>
  <c r="AP142" i="6"/>
  <c r="AQ142" i="6"/>
  <c r="AR142" i="6"/>
  <c r="AP143" i="6"/>
  <c r="AQ143" i="6"/>
  <c r="AR143" i="6"/>
  <c r="AP144" i="6"/>
  <c r="AQ144" i="6"/>
  <c r="AR144" i="6"/>
  <c r="AP145" i="6"/>
  <c r="AQ145" i="6"/>
  <c r="AR145" i="6"/>
  <c r="AP146" i="6"/>
  <c r="AQ146" i="6"/>
  <c r="AR146" i="6"/>
  <c r="AP147" i="6"/>
  <c r="AQ147" i="6"/>
  <c r="AR147" i="6"/>
  <c r="AP148" i="6"/>
  <c r="AQ148" i="6"/>
  <c r="AR148" i="6"/>
  <c r="AP149" i="6"/>
  <c r="AQ149" i="6"/>
  <c r="AR149" i="6"/>
  <c r="AP150" i="6"/>
  <c r="AQ150" i="6"/>
  <c r="AR150" i="6"/>
  <c r="AP151" i="6"/>
  <c r="AQ151" i="6"/>
  <c r="AR151" i="6"/>
  <c r="AP152" i="6"/>
  <c r="AQ152" i="6"/>
  <c r="AR152" i="6"/>
  <c r="AP153" i="6"/>
  <c r="AQ153" i="6"/>
  <c r="AR153" i="6"/>
  <c r="AP154" i="6"/>
  <c r="AQ154" i="6"/>
  <c r="AR154" i="6"/>
  <c r="AP155" i="6"/>
  <c r="AQ155" i="6"/>
  <c r="AR155" i="6"/>
  <c r="AP156" i="6"/>
  <c r="AQ156" i="6"/>
  <c r="AR156" i="6"/>
  <c r="AP157" i="6"/>
  <c r="AQ157" i="6"/>
  <c r="AR157" i="6"/>
  <c r="AP158" i="6"/>
  <c r="AQ158" i="6"/>
  <c r="AR158" i="6"/>
  <c r="AP159" i="6"/>
  <c r="AQ159" i="6"/>
  <c r="AR159" i="6"/>
  <c r="AP160" i="6"/>
  <c r="AQ160" i="6"/>
  <c r="AR160" i="6"/>
  <c r="AP161" i="6"/>
  <c r="AQ161" i="6"/>
  <c r="AR161" i="6"/>
  <c r="AP162" i="6"/>
  <c r="AQ162" i="6"/>
  <c r="AR162" i="6"/>
  <c r="AP163" i="6"/>
  <c r="AQ163" i="6"/>
  <c r="AR163" i="6"/>
  <c r="AP164" i="6"/>
  <c r="AQ164" i="6"/>
  <c r="AR164" i="6"/>
  <c r="AP165" i="6"/>
  <c r="AQ165" i="6"/>
  <c r="AR165" i="6"/>
  <c r="AP166" i="6"/>
  <c r="AQ166" i="6"/>
  <c r="AR166" i="6"/>
  <c r="AP167" i="6"/>
  <c r="AQ167" i="6"/>
  <c r="AR167" i="6"/>
  <c r="AP168" i="6"/>
  <c r="AQ168" i="6"/>
  <c r="AR168" i="6"/>
  <c r="AP169" i="6"/>
  <c r="AQ169" i="6"/>
  <c r="AR169" i="6"/>
  <c r="AP170" i="6"/>
  <c r="AQ170" i="6"/>
  <c r="AR170" i="6"/>
  <c r="AP171" i="6"/>
  <c r="AQ171" i="6"/>
  <c r="AR171" i="6"/>
  <c r="AP172" i="6"/>
  <c r="AQ172" i="6"/>
  <c r="AR172" i="6"/>
  <c r="AP173" i="6"/>
  <c r="AQ173" i="6"/>
  <c r="AR173" i="6"/>
  <c r="AP174" i="6"/>
  <c r="AQ174" i="6"/>
  <c r="AR174" i="6"/>
  <c r="AP175" i="6"/>
  <c r="AQ175" i="6"/>
  <c r="AR175" i="6"/>
  <c r="AP176" i="6"/>
  <c r="AQ176" i="6"/>
  <c r="AR176" i="6"/>
  <c r="AP177" i="6"/>
  <c r="AQ177" i="6"/>
  <c r="AR177" i="6"/>
  <c r="AP178" i="6"/>
  <c r="AQ178" i="6"/>
  <c r="AR178" i="6"/>
  <c r="AP179" i="6"/>
  <c r="AQ179" i="6"/>
  <c r="AR179" i="6"/>
  <c r="AP180" i="6"/>
  <c r="AQ180" i="6"/>
  <c r="AR180" i="6"/>
  <c r="AP181" i="6"/>
  <c r="AQ181" i="6"/>
  <c r="AR181" i="6"/>
  <c r="AP182" i="6"/>
  <c r="AQ182" i="6"/>
  <c r="AR182" i="6"/>
  <c r="AP183" i="6"/>
  <c r="AQ183" i="6"/>
  <c r="AR183" i="6"/>
  <c r="AP184" i="6"/>
  <c r="AQ184" i="6"/>
  <c r="AR184" i="6"/>
  <c r="AP185" i="6"/>
  <c r="AQ185" i="6"/>
  <c r="AR185" i="6"/>
  <c r="AP186" i="6"/>
  <c r="AQ186" i="6"/>
  <c r="AR186" i="6"/>
  <c r="AP187" i="6"/>
  <c r="AQ187" i="6"/>
  <c r="AR187" i="6"/>
  <c r="AP188" i="6"/>
  <c r="AQ188" i="6"/>
  <c r="AR188" i="6"/>
  <c r="AP189" i="6"/>
  <c r="AQ189" i="6"/>
  <c r="AR189" i="6"/>
  <c r="AP190" i="6"/>
  <c r="AQ190" i="6"/>
  <c r="AR190" i="6"/>
  <c r="AP191" i="6"/>
  <c r="AQ191" i="6"/>
  <c r="AR191" i="6"/>
  <c r="AP192" i="6"/>
  <c r="AQ192" i="6"/>
  <c r="AR192" i="6"/>
  <c r="AP193" i="6"/>
  <c r="AQ193" i="6"/>
  <c r="AR193" i="6"/>
  <c r="AP194" i="6"/>
  <c r="AQ194" i="6"/>
  <c r="AR194" i="6"/>
  <c r="AP195" i="6"/>
  <c r="AQ195" i="6"/>
  <c r="AR195" i="6"/>
  <c r="AP196" i="6"/>
  <c r="AQ196" i="6"/>
  <c r="AR196" i="6"/>
  <c r="AP197" i="6"/>
  <c r="AQ197" i="6"/>
  <c r="AR197" i="6"/>
  <c r="AP198" i="6"/>
  <c r="AQ198" i="6"/>
  <c r="AR198" i="6"/>
  <c r="AP199" i="6"/>
  <c r="AQ199" i="6"/>
  <c r="AR199" i="6"/>
  <c r="AP200" i="6"/>
  <c r="AQ200" i="6"/>
  <c r="AR200" i="6"/>
  <c r="AP201" i="6"/>
  <c r="AQ201" i="6"/>
  <c r="AR201" i="6"/>
  <c r="AP202" i="6"/>
  <c r="AQ202" i="6"/>
  <c r="AR202" i="6"/>
  <c r="AP203" i="6"/>
  <c r="AQ203" i="6"/>
  <c r="AR203" i="6"/>
  <c r="AP204" i="6"/>
  <c r="AQ204" i="6"/>
  <c r="AR204" i="6"/>
  <c r="AP205" i="6"/>
  <c r="AQ205" i="6"/>
  <c r="AR205" i="6"/>
  <c r="AP206" i="6"/>
  <c r="AQ206" i="6"/>
  <c r="AR206" i="6"/>
  <c r="AP207" i="6"/>
  <c r="AQ207" i="6"/>
  <c r="AR207" i="6"/>
  <c r="AP208" i="6"/>
  <c r="AQ208" i="6"/>
  <c r="AR208" i="6"/>
  <c r="AP209" i="6"/>
  <c r="AQ209" i="6"/>
  <c r="AR209" i="6"/>
  <c r="AP210" i="6"/>
  <c r="AQ210" i="6"/>
  <c r="AR210" i="6"/>
  <c r="AP211" i="6"/>
  <c r="AQ211" i="6"/>
  <c r="AR211" i="6"/>
  <c r="AP212" i="6"/>
  <c r="AQ212" i="6"/>
  <c r="AR212" i="6"/>
  <c r="AP213" i="6"/>
  <c r="AQ213" i="6"/>
  <c r="AR213" i="6"/>
  <c r="AP214" i="6"/>
  <c r="AQ214" i="6"/>
  <c r="AR214" i="6"/>
  <c r="AP215" i="6"/>
  <c r="AQ215" i="6"/>
  <c r="AR215" i="6"/>
  <c r="AP216" i="6"/>
  <c r="AQ216" i="6"/>
  <c r="AR216" i="6"/>
  <c r="AP217" i="6"/>
  <c r="AQ217" i="6"/>
  <c r="AR217" i="6"/>
  <c r="AP218" i="6"/>
  <c r="AQ218" i="6"/>
  <c r="AR218" i="6"/>
  <c r="AP219" i="6"/>
  <c r="AQ219" i="6"/>
  <c r="AR219" i="6"/>
  <c r="AP220" i="6"/>
  <c r="AQ220" i="6"/>
  <c r="AR220" i="6"/>
  <c r="AP221" i="6"/>
  <c r="AQ221" i="6"/>
  <c r="AR221" i="6"/>
  <c r="AP222" i="6"/>
  <c r="AQ222" i="6"/>
  <c r="AR222" i="6"/>
  <c r="AP223" i="6"/>
  <c r="AQ223" i="6"/>
  <c r="AR223" i="6"/>
  <c r="AP224" i="6"/>
  <c r="AQ224" i="6"/>
  <c r="AR224" i="6"/>
  <c r="AP225" i="6"/>
  <c r="AQ225" i="6"/>
  <c r="AR225" i="6"/>
  <c r="AP226" i="6"/>
  <c r="AQ226" i="6"/>
  <c r="AR226" i="6"/>
  <c r="AP227" i="6"/>
  <c r="AQ227" i="6"/>
  <c r="AR227" i="6"/>
  <c r="AP228" i="6"/>
  <c r="AQ228" i="6"/>
  <c r="AR228" i="6"/>
  <c r="AP229" i="6"/>
  <c r="AQ229" i="6"/>
  <c r="AR229" i="6"/>
  <c r="AP230" i="6"/>
  <c r="AQ230" i="6"/>
  <c r="AR230" i="6"/>
  <c r="AP231" i="6"/>
  <c r="AQ231" i="6"/>
  <c r="AR231" i="6"/>
  <c r="AP232" i="6"/>
  <c r="AQ232" i="6"/>
  <c r="AR232" i="6"/>
  <c r="AP233" i="6"/>
  <c r="AQ233" i="6"/>
  <c r="AR233" i="6"/>
  <c r="AP234" i="6"/>
  <c r="AQ234" i="6"/>
  <c r="AR234" i="6"/>
  <c r="AP235" i="6"/>
  <c r="AQ235" i="6"/>
  <c r="AR235" i="6"/>
  <c r="AP236" i="6"/>
  <c r="AQ236" i="6"/>
  <c r="AR236" i="6"/>
  <c r="AP237" i="6"/>
  <c r="AQ237" i="6"/>
  <c r="AR237" i="6"/>
  <c r="AP238" i="6"/>
  <c r="AQ238" i="6"/>
  <c r="AR238" i="6"/>
  <c r="AP239" i="6"/>
  <c r="AQ239" i="6"/>
  <c r="AR239" i="6"/>
  <c r="AP240" i="6"/>
  <c r="AQ240" i="6"/>
  <c r="AR240" i="6"/>
  <c r="AP241" i="6"/>
  <c r="AQ241" i="6"/>
  <c r="AR241" i="6"/>
  <c r="AP242" i="6"/>
  <c r="AQ242" i="6"/>
  <c r="AR242" i="6"/>
  <c r="AP243" i="6"/>
  <c r="AQ243" i="6"/>
  <c r="AR243" i="6"/>
  <c r="AP244" i="6"/>
  <c r="AQ244" i="6"/>
  <c r="AR244" i="6"/>
  <c r="AP245" i="6"/>
  <c r="AQ245" i="6"/>
  <c r="AR245" i="6"/>
  <c r="AP246" i="6"/>
  <c r="AQ246" i="6"/>
  <c r="AR246" i="6"/>
  <c r="AP247" i="6"/>
  <c r="AQ247" i="6"/>
  <c r="AR247" i="6"/>
  <c r="AP248" i="6"/>
  <c r="AQ248" i="6"/>
  <c r="AR248" i="6"/>
  <c r="AI2" i="6"/>
  <c r="AJ2" i="6"/>
  <c r="AK2" i="6"/>
  <c r="AL2" i="6"/>
  <c r="AM2" i="6"/>
  <c r="AN2" i="6"/>
  <c r="AO2" i="6"/>
  <c r="AI3" i="6"/>
  <c r="AJ3" i="6"/>
  <c r="AK3" i="6"/>
  <c r="AL3" i="6"/>
  <c r="AM3" i="6"/>
  <c r="AN3" i="6"/>
  <c r="AO3" i="6"/>
  <c r="AI4" i="6"/>
  <c r="AJ4" i="6"/>
  <c r="AK4" i="6"/>
  <c r="AL4" i="6"/>
  <c r="AM4" i="6"/>
  <c r="AN4" i="6"/>
  <c r="AO4" i="6"/>
  <c r="AI5" i="6"/>
  <c r="AJ5" i="6"/>
  <c r="AK5" i="6"/>
  <c r="AL5" i="6"/>
  <c r="AM5" i="6"/>
  <c r="AN5" i="6"/>
  <c r="AO5" i="6"/>
  <c r="AI6" i="6"/>
  <c r="AJ6" i="6"/>
  <c r="AK6" i="6"/>
  <c r="AL6" i="6"/>
  <c r="AM6" i="6"/>
  <c r="AN6" i="6"/>
  <c r="AO6" i="6"/>
  <c r="AI7" i="6"/>
  <c r="AJ7" i="6"/>
  <c r="AK7" i="6"/>
  <c r="AL7" i="6"/>
  <c r="AM7" i="6"/>
  <c r="AN7" i="6"/>
  <c r="AO7" i="6"/>
  <c r="AI8" i="6"/>
  <c r="AJ8" i="6"/>
  <c r="AK8" i="6"/>
  <c r="AL8" i="6"/>
  <c r="AM8" i="6"/>
  <c r="AN8" i="6"/>
  <c r="AO8" i="6"/>
  <c r="AI9" i="6"/>
  <c r="AJ9" i="6"/>
  <c r="AK9" i="6"/>
  <c r="AL9" i="6"/>
  <c r="AM9" i="6"/>
  <c r="AN9" i="6"/>
  <c r="AO9" i="6"/>
  <c r="AI10" i="6"/>
  <c r="AJ10" i="6"/>
  <c r="AK10" i="6"/>
  <c r="AL10" i="6"/>
  <c r="AM10" i="6"/>
  <c r="AN10" i="6"/>
  <c r="AO10" i="6"/>
  <c r="AI11" i="6"/>
  <c r="AJ11" i="6"/>
  <c r="AK11" i="6"/>
  <c r="AL11" i="6"/>
  <c r="AM11" i="6"/>
  <c r="AN11" i="6"/>
  <c r="AO11" i="6"/>
  <c r="AI12" i="6"/>
  <c r="AJ12" i="6"/>
  <c r="AK12" i="6"/>
  <c r="AL12" i="6"/>
  <c r="AM12" i="6"/>
  <c r="AN12" i="6"/>
  <c r="AO12" i="6"/>
  <c r="AI13" i="6"/>
  <c r="AJ13" i="6"/>
  <c r="AK13" i="6"/>
  <c r="AL13" i="6"/>
  <c r="AM13" i="6"/>
  <c r="AN13" i="6"/>
  <c r="AO13" i="6"/>
  <c r="AI14" i="6"/>
  <c r="AJ14" i="6"/>
  <c r="AK14" i="6"/>
  <c r="AL14" i="6"/>
  <c r="AM14" i="6"/>
  <c r="AN14" i="6"/>
  <c r="AO14" i="6"/>
  <c r="AI15" i="6"/>
  <c r="AJ15" i="6"/>
  <c r="AK15" i="6"/>
  <c r="AL15" i="6"/>
  <c r="AM15" i="6"/>
  <c r="AN15" i="6"/>
  <c r="AO15" i="6"/>
  <c r="AI16" i="6"/>
  <c r="AJ16" i="6"/>
  <c r="AK16" i="6"/>
  <c r="AL16" i="6"/>
  <c r="AM16" i="6"/>
  <c r="AN16" i="6"/>
  <c r="AO16" i="6"/>
  <c r="AI17" i="6"/>
  <c r="AJ17" i="6"/>
  <c r="AK17" i="6"/>
  <c r="AL17" i="6"/>
  <c r="AM17" i="6"/>
  <c r="AN17" i="6"/>
  <c r="AO17" i="6"/>
  <c r="AI18" i="6"/>
  <c r="AJ18" i="6"/>
  <c r="AK18" i="6"/>
  <c r="AL18" i="6"/>
  <c r="AM18" i="6"/>
  <c r="AN18" i="6"/>
  <c r="AO18" i="6"/>
  <c r="AI19" i="6"/>
  <c r="AJ19" i="6"/>
  <c r="AK19" i="6"/>
  <c r="AL19" i="6"/>
  <c r="AM19" i="6"/>
  <c r="AN19" i="6"/>
  <c r="AO19" i="6"/>
  <c r="AI20" i="6"/>
  <c r="AJ20" i="6"/>
  <c r="AK20" i="6"/>
  <c r="AL20" i="6"/>
  <c r="AM20" i="6"/>
  <c r="AN20" i="6"/>
  <c r="AO20" i="6"/>
  <c r="AI21" i="6"/>
  <c r="AJ21" i="6"/>
  <c r="AK21" i="6"/>
  <c r="AL21" i="6"/>
  <c r="AM21" i="6"/>
  <c r="AN21" i="6"/>
  <c r="AO21" i="6"/>
  <c r="AI22" i="6"/>
  <c r="AJ22" i="6"/>
  <c r="AK22" i="6"/>
  <c r="AL22" i="6"/>
  <c r="AM22" i="6"/>
  <c r="AN22" i="6"/>
  <c r="AO22" i="6"/>
  <c r="AI23" i="6"/>
  <c r="AJ23" i="6"/>
  <c r="AK23" i="6"/>
  <c r="AL23" i="6"/>
  <c r="AM23" i="6"/>
  <c r="AN23" i="6"/>
  <c r="AO23" i="6"/>
  <c r="AI24" i="6"/>
  <c r="AJ24" i="6"/>
  <c r="AK24" i="6"/>
  <c r="AL24" i="6"/>
  <c r="AM24" i="6"/>
  <c r="AN24" i="6"/>
  <c r="AO24" i="6"/>
  <c r="AI25" i="6"/>
  <c r="AJ25" i="6"/>
  <c r="AK25" i="6"/>
  <c r="AL25" i="6"/>
  <c r="AM25" i="6"/>
  <c r="AN25" i="6"/>
  <c r="AO25" i="6"/>
  <c r="AI26" i="6"/>
  <c r="AJ26" i="6"/>
  <c r="AK26" i="6"/>
  <c r="AL26" i="6"/>
  <c r="AM26" i="6"/>
  <c r="AN26" i="6"/>
  <c r="AO26" i="6"/>
  <c r="AI27" i="6"/>
  <c r="AJ27" i="6"/>
  <c r="AK27" i="6"/>
  <c r="AL27" i="6"/>
  <c r="AM27" i="6"/>
  <c r="AN27" i="6"/>
  <c r="AO27" i="6"/>
  <c r="AI28" i="6"/>
  <c r="AJ28" i="6"/>
  <c r="AK28" i="6"/>
  <c r="AL28" i="6"/>
  <c r="AM28" i="6"/>
  <c r="AN28" i="6"/>
  <c r="AO28" i="6"/>
  <c r="AI29" i="6"/>
  <c r="AJ29" i="6"/>
  <c r="AK29" i="6"/>
  <c r="AL29" i="6"/>
  <c r="AM29" i="6"/>
  <c r="AN29" i="6"/>
  <c r="AO29" i="6"/>
  <c r="AI30" i="6"/>
  <c r="AJ30" i="6"/>
  <c r="AK30" i="6"/>
  <c r="AL30" i="6"/>
  <c r="AM30" i="6"/>
  <c r="AN30" i="6"/>
  <c r="AO30" i="6"/>
  <c r="AI31" i="6"/>
  <c r="AJ31" i="6"/>
  <c r="AK31" i="6"/>
  <c r="AL31" i="6"/>
  <c r="AM31" i="6"/>
  <c r="AN31" i="6"/>
  <c r="AO31" i="6"/>
  <c r="AI32" i="6"/>
  <c r="AJ32" i="6"/>
  <c r="AK32" i="6"/>
  <c r="AL32" i="6"/>
  <c r="AM32" i="6"/>
  <c r="AN32" i="6"/>
  <c r="AO32" i="6"/>
  <c r="AI33" i="6"/>
  <c r="AJ33" i="6"/>
  <c r="AK33" i="6"/>
  <c r="AL33" i="6"/>
  <c r="AM33" i="6"/>
  <c r="AN33" i="6"/>
  <c r="AO33" i="6"/>
  <c r="AI34" i="6"/>
  <c r="AJ34" i="6"/>
  <c r="AK34" i="6"/>
  <c r="AL34" i="6"/>
  <c r="AM34" i="6"/>
  <c r="AN34" i="6"/>
  <c r="AO34" i="6"/>
  <c r="AI35" i="6"/>
  <c r="AJ35" i="6"/>
  <c r="AK35" i="6"/>
  <c r="AL35" i="6"/>
  <c r="AM35" i="6"/>
  <c r="AN35" i="6"/>
  <c r="AO35" i="6"/>
  <c r="AI36" i="6"/>
  <c r="AJ36" i="6"/>
  <c r="AK36" i="6"/>
  <c r="AL36" i="6"/>
  <c r="AM36" i="6"/>
  <c r="AN36" i="6"/>
  <c r="AO36" i="6"/>
  <c r="AI37" i="6"/>
  <c r="AJ37" i="6"/>
  <c r="AK37" i="6"/>
  <c r="AL37" i="6"/>
  <c r="AM37" i="6"/>
  <c r="AN37" i="6"/>
  <c r="AO37" i="6"/>
  <c r="AI38" i="6"/>
  <c r="AJ38" i="6"/>
  <c r="AK38" i="6"/>
  <c r="AL38" i="6"/>
  <c r="AM38" i="6"/>
  <c r="AN38" i="6"/>
  <c r="AO38" i="6"/>
  <c r="AI39" i="6"/>
  <c r="AJ39" i="6"/>
  <c r="AK39" i="6"/>
  <c r="AL39" i="6"/>
  <c r="AM39" i="6"/>
  <c r="AN39" i="6"/>
  <c r="AO39" i="6"/>
  <c r="AI40" i="6"/>
  <c r="AJ40" i="6"/>
  <c r="AK40" i="6"/>
  <c r="AL40" i="6"/>
  <c r="AM40" i="6"/>
  <c r="AN40" i="6"/>
  <c r="AO40" i="6"/>
  <c r="AI41" i="6"/>
  <c r="AJ41" i="6"/>
  <c r="AK41" i="6"/>
  <c r="AL41" i="6"/>
  <c r="AM41" i="6"/>
  <c r="AN41" i="6"/>
  <c r="AO41" i="6"/>
  <c r="AI42" i="6"/>
  <c r="AJ42" i="6"/>
  <c r="AK42" i="6"/>
  <c r="AL42" i="6"/>
  <c r="AM42" i="6"/>
  <c r="AN42" i="6"/>
  <c r="AO42" i="6"/>
  <c r="AI43" i="6"/>
  <c r="AJ43" i="6"/>
  <c r="AK43" i="6"/>
  <c r="AL43" i="6"/>
  <c r="AM43" i="6"/>
  <c r="AN43" i="6"/>
  <c r="AO43" i="6"/>
  <c r="AI44" i="6"/>
  <c r="AJ44" i="6"/>
  <c r="AK44" i="6"/>
  <c r="AL44" i="6"/>
  <c r="AM44" i="6"/>
  <c r="AN44" i="6"/>
  <c r="AO44" i="6"/>
  <c r="AI45" i="6"/>
  <c r="AJ45" i="6"/>
  <c r="AK45" i="6"/>
  <c r="AL45" i="6"/>
  <c r="AM45" i="6"/>
  <c r="AN45" i="6"/>
  <c r="AO45" i="6"/>
  <c r="AI46" i="6"/>
  <c r="AJ46" i="6"/>
  <c r="AK46" i="6"/>
  <c r="AL46" i="6"/>
  <c r="AM46" i="6"/>
  <c r="AN46" i="6"/>
  <c r="AO46" i="6"/>
  <c r="AI47" i="6"/>
  <c r="AJ47" i="6"/>
  <c r="AK47" i="6"/>
  <c r="AL47" i="6"/>
  <c r="AM47" i="6"/>
  <c r="AN47" i="6"/>
  <c r="AO47" i="6"/>
  <c r="AI48" i="6"/>
  <c r="AJ48" i="6"/>
  <c r="AK48" i="6"/>
  <c r="AL48" i="6"/>
  <c r="AM48" i="6"/>
  <c r="AN48" i="6"/>
  <c r="AO48" i="6"/>
  <c r="AI49" i="6"/>
  <c r="AJ49" i="6"/>
  <c r="AK49" i="6"/>
  <c r="AL49" i="6"/>
  <c r="AM49" i="6"/>
  <c r="AN49" i="6"/>
  <c r="AO49" i="6"/>
  <c r="AI50" i="6"/>
  <c r="AJ50" i="6"/>
  <c r="AK50" i="6"/>
  <c r="AL50" i="6"/>
  <c r="AM50" i="6"/>
  <c r="AN50" i="6"/>
  <c r="AO50" i="6"/>
  <c r="AI51" i="6"/>
  <c r="AJ51" i="6"/>
  <c r="AK51" i="6"/>
  <c r="AL51" i="6"/>
  <c r="AM51" i="6"/>
  <c r="AN51" i="6"/>
  <c r="AO51" i="6"/>
  <c r="AI52" i="6"/>
  <c r="AJ52" i="6"/>
  <c r="AK52" i="6"/>
  <c r="AL52" i="6"/>
  <c r="AM52" i="6"/>
  <c r="AN52" i="6"/>
  <c r="AO52" i="6"/>
  <c r="AI53" i="6"/>
  <c r="AJ53" i="6"/>
  <c r="AK53" i="6"/>
  <c r="AL53" i="6"/>
  <c r="AM53" i="6"/>
  <c r="AN53" i="6"/>
  <c r="AO53" i="6"/>
  <c r="AI54" i="6"/>
  <c r="AJ54" i="6"/>
  <c r="AK54" i="6"/>
  <c r="AL54" i="6"/>
  <c r="AM54" i="6"/>
  <c r="AN54" i="6"/>
  <c r="AO54" i="6"/>
  <c r="AI55" i="6"/>
  <c r="AJ55" i="6"/>
  <c r="AK55" i="6"/>
  <c r="AL55" i="6"/>
  <c r="AM55" i="6"/>
  <c r="AN55" i="6"/>
  <c r="AO55" i="6"/>
  <c r="AI56" i="6"/>
  <c r="AJ56" i="6"/>
  <c r="AK56" i="6"/>
  <c r="AL56" i="6"/>
  <c r="AM56" i="6"/>
  <c r="AN56" i="6"/>
  <c r="AO56" i="6"/>
  <c r="AI57" i="6"/>
  <c r="AJ57" i="6"/>
  <c r="AK57" i="6"/>
  <c r="AL57" i="6"/>
  <c r="AM57" i="6"/>
  <c r="AN57" i="6"/>
  <c r="AO57" i="6"/>
  <c r="AI58" i="6"/>
  <c r="AJ58" i="6"/>
  <c r="AK58" i="6"/>
  <c r="AL58" i="6"/>
  <c r="AM58" i="6"/>
  <c r="AN58" i="6"/>
  <c r="AO58" i="6"/>
  <c r="AI59" i="6"/>
  <c r="AJ59" i="6"/>
  <c r="AK59" i="6"/>
  <c r="AL59" i="6"/>
  <c r="AM59" i="6"/>
  <c r="AN59" i="6"/>
  <c r="AO59" i="6"/>
  <c r="AI60" i="6"/>
  <c r="AJ60" i="6"/>
  <c r="AK60" i="6"/>
  <c r="AL60" i="6"/>
  <c r="AM60" i="6"/>
  <c r="AN60" i="6"/>
  <c r="AO60" i="6"/>
  <c r="AI61" i="6"/>
  <c r="AJ61" i="6"/>
  <c r="AK61" i="6"/>
  <c r="AL61" i="6"/>
  <c r="AM61" i="6"/>
  <c r="AN61" i="6"/>
  <c r="AO61" i="6"/>
  <c r="AI62" i="6"/>
  <c r="AJ62" i="6"/>
  <c r="AK62" i="6"/>
  <c r="AL62" i="6"/>
  <c r="AM62" i="6"/>
  <c r="AN62" i="6"/>
  <c r="AO62" i="6"/>
  <c r="AI63" i="6"/>
  <c r="AJ63" i="6"/>
  <c r="AK63" i="6"/>
  <c r="AL63" i="6"/>
  <c r="AM63" i="6"/>
  <c r="AN63" i="6"/>
  <c r="AO63" i="6"/>
  <c r="AI64" i="6"/>
  <c r="AJ64" i="6"/>
  <c r="AK64" i="6"/>
  <c r="AL64" i="6"/>
  <c r="AM64" i="6"/>
  <c r="AN64" i="6"/>
  <c r="AO64" i="6"/>
  <c r="AI65" i="6"/>
  <c r="AJ65" i="6"/>
  <c r="AK65" i="6"/>
  <c r="AL65" i="6"/>
  <c r="AM65" i="6"/>
  <c r="AN65" i="6"/>
  <c r="AO65" i="6"/>
  <c r="AI66" i="6"/>
  <c r="AJ66" i="6"/>
  <c r="AK66" i="6"/>
  <c r="AL66" i="6"/>
  <c r="AM66" i="6"/>
  <c r="AN66" i="6"/>
  <c r="AO66" i="6"/>
  <c r="AI67" i="6"/>
  <c r="AJ67" i="6"/>
  <c r="AK67" i="6"/>
  <c r="AL67" i="6"/>
  <c r="AM67" i="6"/>
  <c r="AN67" i="6"/>
  <c r="AO67" i="6"/>
  <c r="AI68" i="6"/>
  <c r="AJ68" i="6"/>
  <c r="AK68" i="6"/>
  <c r="AL68" i="6"/>
  <c r="AM68" i="6"/>
  <c r="AN68" i="6"/>
  <c r="AO68" i="6"/>
  <c r="AI69" i="6"/>
  <c r="AJ69" i="6"/>
  <c r="AK69" i="6"/>
  <c r="AL69" i="6"/>
  <c r="AM69" i="6"/>
  <c r="AN69" i="6"/>
  <c r="AO69" i="6"/>
  <c r="AI70" i="6"/>
  <c r="AJ70" i="6"/>
  <c r="AK70" i="6"/>
  <c r="AL70" i="6"/>
  <c r="AM70" i="6"/>
  <c r="AN70" i="6"/>
  <c r="AO70" i="6"/>
  <c r="AI71" i="6"/>
  <c r="AJ71" i="6"/>
  <c r="AK71" i="6"/>
  <c r="AL71" i="6"/>
  <c r="AM71" i="6"/>
  <c r="AN71" i="6"/>
  <c r="AO71" i="6"/>
  <c r="AI72" i="6"/>
  <c r="AJ72" i="6"/>
  <c r="AK72" i="6"/>
  <c r="AL72" i="6"/>
  <c r="AM72" i="6"/>
  <c r="AN72" i="6"/>
  <c r="AO72" i="6"/>
  <c r="AI73" i="6"/>
  <c r="AJ73" i="6"/>
  <c r="AK73" i="6"/>
  <c r="AL73" i="6"/>
  <c r="AM73" i="6"/>
  <c r="AN73" i="6"/>
  <c r="AO73" i="6"/>
  <c r="AI74" i="6"/>
  <c r="AJ74" i="6"/>
  <c r="AK74" i="6"/>
  <c r="AL74" i="6"/>
  <c r="AM74" i="6"/>
  <c r="AN74" i="6"/>
  <c r="AO74" i="6"/>
  <c r="AI75" i="6"/>
  <c r="AJ75" i="6"/>
  <c r="AK75" i="6"/>
  <c r="AL75" i="6"/>
  <c r="AM75" i="6"/>
  <c r="AN75" i="6"/>
  <c r="AO75" i="6"/>
  <c r="AI76" i="6"/>
  <c r="AJ76" i="6"/>
  <c r="AK76" i="6"/>
  <c r="AL76" i="6"/>
  <c r="AM76" i="6"/>
  <c r="AN76" i="6"/>
  <c r="AO76" i="6"/>
  <c r="AI77" i="6"/>
  <c r="AJ77" i="6"/>
  <c r="AK77" i="6"/>
  <c r="AL77" i="6"/>
  <c r="AM77" i="6"/>
  <c r="AN77" i="6"/>
  <c r="AO77" i="6"/>
  <c r="AI78" i="6"/>
  <c r="AJ78" i="6"/>
  <c r="AK78" i="6"/>
  <c r="AL78" i="6"/>
  <c r="AM78" i="6"/>
  <c r="AN78" i="6"/>
  <c r="AO78" i="6"/>
  <c r="AI79" i="6"/>
  <c r="AJ79" i="6"/>
  <c r="AK79" i="6"/>
  <c r="AL79" i="6"/>
  <c r="AM79" i="6"/>
  <c r="AN79" i="6"/>
  <c r="AO79" i="6"/>
  <c r="AI80" i="6"/>
  <c r="AJ80" i="6"/>
  <c r="AK80" i="6"/>
  <c r="AL80" i="6"/>
  <c r="AM80" i="6"/>
  <c r="AN80" i="6"/>
  <c r="AO80" i="6"/>
  <c r="AI81" i="6"/>
  <c r="AJ81" i="6"/>
  <c r="AK81" i="6"/>
  <c r="AL81" i="6"/>
  <c r="AM81" i="6"/>
  <c r="AN81" i="6"/>
  <c r="AO81" i="6"/>
  <c r="AI82" i="6"/>
  <c r="AJ82" i="6"/>
  <c r="AK82" i="6"/>
  <c r="AL82" i="6"/>
  <c r="AM82" i="6"/>
  <c r="AN82" i="6"/>
  <c r="AO82" i="6"/>
  <c r="AI83" i="6"/>
  <c r="AJ83" i="6"/>
  <c r="AK83" i="6"/>
  <c r="AL83" i="6"/>
  <c r="AM83" i="6"/>
  <c r="AN83" i="6"/>
  <c r="AO83" i="6"/>
  <c r="AI84" i="6"/>
  <c r="AJ84" i="6"/>
  <c r="AK84" i="6"/>
  <c r="AL84" i="6"/>
  <c r="AM84" i="6"/>
  <c r="AN84" i="6"/>
  <c r="AO84" i="6"/>
  <c r="AI85" i="6"/>
  <c r="AJ85" i="6"/>
  <c r="AK85" i="6"/>
  <c r="AL85" i="6"/>
  <c r="AM85" i="6"/>
  <c r="AN85" i="6"/>
  <c r="AO85" i="6"/>
  <c r="AI86" i="6"/>
  <c r="AJ86" i="6"/>
  <c r="AK86" i="6"/>
  <c r="AL86" i="6"/>
  <c r="AM86" i="6"/>
  <c r="AN86" i="6"/>
  <c r="AO86" i="6"/>
  <c r="AI87" i="6"/>
  <c r="AJ87" i="6"/>
  <c r="AK87" i="6"/>
  <c r="AL87" i="6"/>
  <c r="AM87" i="6"/>
  <c r="AN87" i="6"/>
  <c r="AO87" i="6"/>
  <c r="AI88" i="6"/>
  <c r="AJ88" i="6"/>
  <c r="AK88" i="6"/>
  <c r="AL88" i="6"/>
  <c r="AM88" i="6"/>
  <c r="AN88" i="6"/>
  <c r="AO88" i="6"/>
  <c r="AI89" i="6"/>
  <c r="AJ89" i="6"/>
  <c r="AK89" i="6"/>
  <c r="AL89" i="6"/>
  <c r="AM89" i="6"/>
  <c r="AN89" i="6"/>
  <c r="AO89" i="6"/>
  <c r="AI90" i="6"/>
  <c r="AJ90" i="6"/>
  <c r="AK90" i="6"/>
  <c r="AL90" i="6"/>
  <c r="AM90" i="6"/>
  <c r="AN90" i="6"/>
  <c r="AO90" i="6"/>
  <c r="AI91" i="6"/>
  <c r="AJ91" i="6"/>
  <c r="AK91" i="6"/>
  <c r="AL91" i="6"/>
  <c r="AM91" i="6"/>
  <c r="AN91" i="6"/>
  <c r="AO91" i="6"/>
  <c r="AI92" i="6"/>
  <c r="AJ92" i="6"/>
  <c r="AK92" i="6"/>
  <c r="AL92" i="6"/>
  <c r="AM92" i="6"/>
  <c r="AN92" i="6"/>
  <c r="AO92" i="6"/>
  <c r="AI93" i="6"/>
  <c r="AJ93" i="6"/>
  <c r="AK93" i="6"/>
  <c r="AL93" i="6"/>
  <c r="AM93" i="6"/>
  <c r="AN93" i="6"/>
  <c r="AO93" i="6"/>
  <c r="AI94" i="6"/>
  <c r="AJ94" i="6"/>
  <c r="AK94" i="6"/>
  <c r="AL94" i="6"/>
  <c r="AM94" i="6"/>
  <c r="AN94" i="6"/>
  <c r="AO94" i="6"/>
  <c r="AI95" i="6"/>
  <c r="AJ95" i="6"/>
  <c r="AK95" i="6"/>
  <c r="AL95" i="6"/>
  <c r="AM95" i="6"/>
  <c r="AN95" i="6"/>
  <c r="AO95" i="6"/>
  <c r="AI96" i="6"/>
  <c r="AJ96" i="6"/>
  <c r="AK96" i="6"/>
  <c r="AL96" i="6"/>
  <c r="AM96" i="6"/>
  <c r="AN96" i="6"/>
  <c r="AO96" i="6"/>
  <c r="AI97" i="6"/>
  <c r="AJ97" i="6"/>
  <c r="AK97" i="6"/>
  <c r="AL97" i="6"/>
  <c r="AM97" i="6"/>
  <c r="AN97" i="6"/>
  <c r="AO97" i="6"/>
  <c r="AI98" i="6"/>
  <c r="AJ98" i="6"/>
  <c r="AK98" i="6"/>
  <c r="AL98" i="6"/>
  <c r="AM98" i="6"/>
  <c r="AN98" i="6"/>
  <c r="AO98" i="6"/>
  <c r="AI99" i="6"/>
  <c r="AJ99" i="6"/>
  <c r="AK99" i="6"/>
  <c r="AL99" i="6"/>
  <c r="AM99" i="6"/>
  <c r="AN99" i="6"/>
  <c r="AO99" i="6"/>
  <c r="AI100" i="6"/>
  <c r="AJ100" i="6"/>
  <c r="AK100" i="6"/>
  <c r="AL100" i="6"/>
  <c r="AM100" i="6"/>
  <c r="AN100" i="6"/>
  <c r="AO100" i="6"/>
  <c r="AI101" i="6"/>
  <c r="AJ101" i="6"/>
  <c r="AK101" i="6"/>
  <c r="AL101" i="6"/>
  <c r="AM101" i="6"/>
  <c r="AN101" i="6"/>
  <c r="AO101" i="6"/>
  <c r="AI102" i="6"/>
  <c r="AJ102" i="6"/>
  <c r="AK102" i="6"/>
  <c r="AL102" i="6"/>
  <c r="AM102" i="6"/>
  <c r="AN102" i="6"/>
  <c r="AO102" i="6"/>
  <c r="AI103" i="6"/>
  <c r="AJ103" i="6"/>
  <c r="AK103" i="6"/>
  <c r="AL103" i="6"/>
  <c r="AM103" i="6"/>
  <c r="AN103" i="6"/>
  <c r="AO103" i="6"/>
  <c r="AI104" i="6"/>
  <c r="AJ104" i="6"/>
  <c r="AK104" i="6"/>
  <c r="AL104" i="6"/>
  <c r="AM104" i="6"/>
  <c r="AN104" i="6"/>
  <c r="AO104" i="6"/>
  <c r="AI105" i="6"/>
  <c r="AJ105" i="6"/>
  <c r="AK105" i="6"/>
  <c r="AL105" i="6"/>
  <c r="AM105" i="6"/>
  <c r="AN105" i="6"/>
  <c r="AO105" i="6"/>
  <c r="AI106" i="6"/>
  <c r="AJ106" i="6"/>
  <c r="AK106" i="6"/>
  <c r="AL106" i="6"/>
  <c r="AM106" i="6"/>
  <c r="AN106" i="6"/>
  <c r="AO106" i="6"/>
  <c r="AI107" i="6"/>
  <c r="AJ107" i="6"/>
  <c r="AK107" i="6"/>
  <c r="AL107" i="6"/>
  <c r="AM107" i="6"/>
  <c r="AN107" i="6"/>
  <c r="AO107" i="6"/>
  <c r="AI108" i="6"/>
  <c r="AJ108" i="6"/>
  <c r="AK108" i="6"/>
  <c r="AL108" i="6"/>
  <c r="AM108" i="6"/>
  <c r="AN108" i="6"/>
  <c r="AO108" i="6"/>
  <c r="AI109" i="6"/>
  <c r="AJ109" i="6"/>
  <c r="AK109" i="6"/>
  <c r="AL109" i="6"/>
  <c r="AM109" i="6"/>
  <c r="AN109" i="6"/>
  <c r="AO109" i="6"/>
  <c r="AI110" i="6"/>
  <c r="AJ110" i="6"/>
  <c r="AK110" i="6"/>
  <c r="AL110" i="6"/>
  <c r="AM110" i="6"/>
  <c r="AN110" i="6"/>
  <c r="AO110" i="6"/>
  <c r="AI111" i="6"/>
  <c r="AJ111" i="6"/>
  <c r="AK111" i="6"/>
  <c r="AL111" i="6"/>
  <c r="AM111" i="6"/>
  <c r="AN111" i="6"/>
  <c r="AO111" i="6"/>
  <c r="AI112" i="6"/>
  <c r="AJ112" i="6"/>
  <c r="AK112" i="6"/>
  <c r="AL112" i="6"/>
  <c r="AM112" i="6"/>
  <c r="AN112" i="6"/>
  <c r="AO112" i="6"/>
  <c r="AI113" i="6"/>
  <c r="AJ113" i="6"/>
  <c r="AK113" i="6"/>
  <c r="AL113" i="6"/>
  <c r="AM113" i="6"/>
  <c r="AN113" i="6"/>
  <c r="AO113" i="6"/>
  <c r="AI114" i="6"/>
  <c r="AJ114" i="6"/>
  <c r="AK114" i="6"/>
  <c r="AL114" i="6"/>
  <c r="AM114" i="6"/>
  <c r="AN114" i="6"/>
  <c r="AO114" i="6"/>
  <c r="AI115" i="6"/>
  <c r="AJ115" i="6"/>
  <c r="AK115" i="6"/>
  <c r="AL115" i="6"/>
  <c r="AM115" i="6"/>
  <c r="AN115" i="6"/>
  <c r="AO115" i="6"/>
  <c r="AI116" i="6"/>
  <c r="AJ116" i="6"/>
  <c r="AK116" i="6"/>
  <c r="AL116" i="6"/>
  <c r="AM116" i="6"/>
  <c r="AN116" i="6"/>
  <c r="AO116" i="6"/>
  <c r="AI117" i="6"/>
  <c r="AJ117" i="6"/>
  <c r="AK117" i="6"/>
  <c r="AL117" i="6"/>
  <c r="AM117" i="6"/>
  <c r="AN117" i="6"/>
  <c r="AO117" i="6"/>
  <c r="AI118" i="6"/>
  <c r="AJ118" i="6"/>
  <c r="AK118" i="6"/>
  <c r="AL118" i="6"/>
  <c r="AM118" i="6"/>
  <c r="AN118" i="6"/>
  <c r="AO118" i="6"/>
  <c r="AI119" i="6"/>
  <c r="AJ119" i="6"/>
  <c r="AK119" i="6"/>
  <c r="AL119" i="6"/>
  <c r="AM119" i="6"/>
  <c r="AN119" i="6"/>
  <c r="AO119" i="6"/>
  <c r="AI120" i="6"/>
  <c r="AJ120" i="6"/>
  <c r="AK120" i="6"/>
  <c r="AL120" i="6"/>
  <c r="AM120" i="6"/>
  <c r="AN120" i="6"/>
  <c r="AO120" i="6"/>
  <c r="AI121" i="6"/>
  <c r="AJ121" i="6"/>
  <c r="AK121" i="6"/>
  <c r="AL121" i="6"/>
  <c r="AM121" i="6"/>
  <c r="AN121" i="6"/>
  <c r="AO121" i="6"/>
  <c r="AI122" i="6"/>
  <c r="AJ122" i="6"/>
  <c r="AK122" i="6"/>
  <c r="AL122" i="6"/>
  <c r="AM122" i="6"/>
  <c r="AN122" i="6"/>
  <c r="AO122" i="6"/>
  <c r="AI123" i="6"/>
  <c r="AJ123" i="6"/>
  <c r="AK123" i="6"/>
  <c r="AL123" i="6"/>
  <c r="AM123" i="6"/>
  <c r="AN123" i="6"/>
  <c r="AO123" i="6"/>
  <c r="AI124" i="6"/>
  <c r="AJ124" i="6"/>
  <c r="AK124" i="6"/>
  <c r="AL124" i="6"/>
  <c r="AM124" i="6"/>
  <c r="AN124" i="6"/>
  <c r="AO124" i="6"/>
  <c r="AI125" i="6"/>
  <c r="AJ125" i="6"/>
  <c r="AK125" i="6"/>
  <c r="AL125" i="6"/>
  <c r="AM125" i="6"/>
  <c r="AN125" i="6"/>
  <c r="AO125" i="6"/>
  <c r="AI126" i="6"/>
  <c r="AJ126" i="6"/>
  <c r="AK126" i="6"/>
  <c r="AL126" i="6"/>
  <c r="AM126" i="6"/>
  <c r="AN126" i="6"/>
  <c r="AO126" i="6"/>
  <c r="AI127" i="6"/>
  <c r="AJ127" i="6"/>
  <c r="AK127" i="6"/>
  <c r="AL127" i="6"/>
  <c r="AM127" i="6"/>
  <c r="AN127" i="6"/>
  <c r="AO127" i="6"/>
  <c r="AI128" i="6"/>
  <c r="AJ128" i="6"/>
  <c r="AK128" i="6"/>
  <c r="AL128" i="6"/>
  <c r="AM128" i="6"/>
  <c r="AN128" i="6"/>
  <c r="AO128" i="6"/>
  <c r="AI129" i="6"/>
  <c r="AJ129" i="6"/>
  <c r="AK129" i="6"/>
  <c r="AL129" i="6"/>
  <c r="AM129" i="6"/>
  <c r="AN129" i="6"/>
  <c r="AO129" i="6"/>
  <c r="AI130" i="6"/>
  <c r="AJ130" i="6"/>
  <c r="AK130" i="6"/>
  <c r="AL130" i="6"/>
  <c r="AM130" i="6"/>
  <c r="AN130" i="6"/>
  <c r="AO130" i="6"/>
  <c r="AI131" i="6"/>
  <c r="AJ131" i="6"/>
  <c r="AK131" i="6"/>
  <c r="AL131" i="6"/>
  <c r="AM131" i="6"/>
  <c r="AN131" i="6"/>
  <c r="AO131" i="6"/>
  <c r="AI132" i="6"/>
  <c r="AJ132" i="6"/>
  <c r="AK132" i="6"/>
  <c r="AL132" i="6"/>
  <c r="AM132" i="6"/>
  <c r="AN132" i="6"/>
  <c r="AO132" i="6"/>
  <c r="AI133" i="6"/>
  <c r="AJ133" i="6"/>
  <c r="AK133" i="6"/>
  <c r="AL133" i="6"/>
  <c r="AM133" i="6"/>
  <c r="AN133" i="6"/>
  <c r="AO133" i="6"/>
  <c r="AI134" i="6"/>
  <c r="AJ134" i="6"/>
  <c r="AK134" i="6"/>
  <c r="AL134" i="6"/>
  <c r="AM134" i="6"/>
  <c r="AN134" i="6"/>
  <c r="AO134" i="6"/>
  <c r="AI135" i="6"/>
  <c r="AJ135" i="6"/>
  <c r="AK135" i="6"/>
  <c r="AL135" i="6"/>
  <c r="AM135" i="6"/>
  <c r="AN135" i="6"/>
  <c r="AO135" i="6"/>
  <c r="AI136" i="6"/>
  <c r="AJ136" i="6"/>
  <c r="AK136" i="6"/>
  <c r="AL136" i="6"/>
  <c r="AM136" i="6"/>
  <c r="AN136" i="6"/>
  <c r="AO136" i="6"/>
  <c r="AI137" i="6"/>
  <c r="AJ137" i="6"/>
  <c r="AK137" i="6"/>
  <c r="AL137" i="6"/>
  <c r="AM137" i="6"/>
  <c r="AN137" i="6"/>
  <c r="AO137" i="6"/>
  <c r="AI138" i="6"/>
  <c r="AJ138" i="6"/>
  <c r="AK138" i="6"/>
  <c r="AL138" i="6"/>
  <c r="AM138" i="6"/>
  <c r="AN138" i="6"/>
  <c r="AO138" i="6"/>
  <c r="AI139" i="6"/>
  <c r="AJ139" i="6"/>
  <c r="AK139" i="6"/>
  <c r="AL139" i="6"/>
  <c r="AM139" i="6"/>
  <c r="AN139" i="6"/>
  <c r="AO139" i="6"/>
  <c r="AI140" i="6"/>
  <c r="AJ140" i="6"/>
  <c r="AK140" i="6"/>
  <c r="AL140" i="6"/>
  <c r="AM140" i="6"/>
  <c r="AN140" i="6"/>
  <c r="AO140" i="6"/>
  <c r="AI141" i="6"/>
  <c r="AJ141" i="6"/>
  <c r="AK141" i="6"/>
  <c r="AL141" i="6"/>
  <c r="AM141" i="6"/>
  <c r="AN141" i="6"/>
  <c r="AO141" i="6"/>
  <c r="AI142" i="6"/>
  <c r="AJ142" i="6"/>
  <c r="AK142" i="6"/>
  <c r="AL142" i="6"/>
  <c r="AM142" i="6"/>
  <c r="AN142" i="6"/>
  <c r="AO142" i="6"/>
  <c r="AI143" i="6"/>
  <c r="AJ143" i="6"/>
  <c r="AK143" i="6"/>
  <c r="AL143" i="6"/>
  <c r="AM143" i="6"/>
  <c r="AN143" i="6"/>
  <c r="AO143" i="6"/>
  <c r="AI144" i="6"/>
  <c r="AJ144" i="6"/>
  <c r="AK144" i="6"/>
  <c r="AL144" i="6"/>
  <c r="AM144" i="6"/>
  <c r="AN144" i="6"/>
  <c r="AO144" i="6"/>
  <c r="AI145" i="6"/>
  <c r="AJ145" i="6"/>
  <c r="AK145" i="6"/>
  <c r="AL145" i="6"/>
  <c r="AM145" i="6"/>
  <c r="AN145" i="6"/>
  <c r="AO145" i="6"/>
  <c r="AI146" i="6"/>
  <c r="AJ146" i="6"/>
  <c r="AK146" i="6"/>
  <c r="AL146" i="6"/>
  <c r="AM146" i="6"/>
  <c r="AN146" i="6"/>
  <c r="AO146" i="6"/>
  <c r="AI147" i="6"/>
  <c r="AJ147" i="6"/>
  <c r="AK147" i="6"/>
  <c r="AL147" i="6"/>
  <c r="AM147" i="6"/>
  <c r="AN147" i="6"/>
  <c r="AO147" i="6"/>
  <c r="AI148" i="6"/>
  <c r="AJ148" i="6"/>
  <c r="AK148" i="6"/>
  <c r="AL148" i="6"/>
  <c r="AM148" i="6"/>
  <c r="AN148" i="6"/>
  <c r="AO148" i="6"/>
  <c r="AI149" i="6"/>
  <c r="AJ149" i="6"/>
  <c r="AK149" i="6"/>
  <c r="AL149" i="6"/>
  <c r="AM149" i="6"/>
  <c r="AN149" i="6"/>
  <c r="AO149" i="6"/>
  <c r="AI150" i="6"/>
  <c r="AJ150" i="6"/>
  <c r="AK150" i="6"/>
  <c r="AL150" i="6"/>
  <c r="AM150" i="6"/>
  <c r="AN150" i="6"/>
  <c r="AO150" i="6"/>
  <c r="AI151" i="6"/>
  <c r="AJ151" i="6"/>
  <c r="AK151" i="6"/>
  <c r="AL151" i="6"/>
  <c r="AM151" i="6"/>
  <c r="AN151" i="6"/>
  <c r="AO151" i="6"/>
  <c r="AI152" i="6"/>
  <c r="AJ152" i="6"/>
  <c r="AK152" i="6"/>
  <c r="AL152" i="6"/>
  <c r="AM152" i="6"/>
  <c r="AN152" i="6"/>
  <c r="AO152" i="6"/>
  <c r="AI153" i="6"/>
  <c r="AJ153" i="6"/>
  <c r="AK153" i="6"/>
  <c r="AL153" i="6"/>
  <c r="AM153" i="6"/>
  <c r="AN153" i="6"/>
  <c r="AO153" i="6"/>
  <c r="AI154" i="6"/>
  <c r="AJ154" i="6"/>
  <c r="AK154" i="6"/>
  <c r="AL154" i="6"/>
  <c r="AM154" i="6"/>
  <c r="AN154" i="6"/>
  <c r="AO154" i="6"/>
  <c r="AI155" i="6"/>
  <c r="AJ155" i="6"/>
  <c r="AK155" i="6"/>
  <c r="AL155" i="6"/>
  <c r="AM155" i="6"/>
  <c r="AN155" i="6"/>
  <c r="AO155" i="6"/>
  <c r="AI156" i="6"/>
  <c r="AJ156" i="6"/>
  <c r="AK156" i="6"/>
  <c r="AL156" i="6"/>
  <c r="AM156" i="6"/>
  <c r="AN156" i="6"/>
  <c r="AO156" i="6"/>
  <c r="AI157" i="6"/>
  <c r="AJ157" i="6"/>
  <c r="AK157" i="6"/>
  <c r="AL157" i="6"/>
  <c r="AM157" i="6"/>
  <c r="AN157" i="6"/>
  <c r="AO157" i="6"/>
  <c r="AI158" i="6"/>
  <c r="AJ158" i="6"/>
  <c r="AK158" i="6"/>
  <c r="AL158" i="6"/>
  <c r="AM158" i="6"/>
  <c r="AN158" i="6"/>
  <c r="AO158" i="6"/>
  <c r="AI159" i="6"/>
  <c r="AJ159" i="6"/>
  <c r="AK159" i="6"/>
  <c r="AL159" i="6"/>
  <c r="AM159" i="6"/>
  <c r="AN159" i="6"/>
  <c r="AO159" i="6"/>
  <c r="AI160" i="6"/>
  <c r="AJ160" i="6"/>
  <c r="AK160" i="6"/>
  <c r="AL160" i="6"/>
  <c r="AM160" i="6"/>
  <c r="AN160" i="6"/>
  <c r="AO160" i="6"/>
  <c r="AI161" i="6"/>
  <c r="AJ161" i="6"/>
  <c r="AK161" i="6"/>
  <c r="AL161" i="6"/>
  <c r="AM161" i="6"/>
  <c r="AN161" i="6"/>
  <c r="AO161" i="6"/>
  <c r="AI162" i="6"/>
  <c r="AJ162" i="6"/>
  <c r="AK162" i="6"/>
  <c r="AL162" i="6"/>
  <c r="AM162" i="6"/>
  <c r="AN162" i="6"/>
  <c r="AO162" i="6"/>
  <c r="AI163" i="6"/>
  <c r="AJ163" i="6"/>
  <c r="AK163" i="6"/>
  <c r="AL163" i="6"/>
  <c r="AM163" i="6"/>
  <c r="AN163" i="6"/>
  <c r="AO163" i="6"/>
  <c r="AI164" i="6"/>
  <c r="AJ164" i="6"/>
  <c r="AK164" i="6"/>
  <c r="AL164" i="6"/>
  <c r="AM164" i="6"/>
  <c r="AN164" i="6"/>
  <c r="AO164" i="6"/>
  <c r="AI165" i="6"/>
  <c r="AJ165" i="6"/>
  <c r="AK165" i="6"/>
  <c r="AL165" i="6"/>
  <c r="AM165" i="6"/>
  <c r="AN165" i="6"/>
  <c r="AO165" i="6"/>
  <c r="AI166" i="6"/>
  <c r="AJ166" i="6"/>
  <c r="AK166" i="6"/>
  <c r="AL166" i="6"/>
  <c r="AM166" i="6"/>
  <c r="AN166" i="6"/>
  <c r="AO166" i="6"/>
  <c r="AI167" i="6"/>
  <c r="AJ167" i="6"/>
  <c r="AK167" i="6"/>
  <c r="AL167" i="6"/>
  <c r="AM167" i="6"/>
  <c r="AN167" i="6"/>
  <c r="AO167" i="6"/>
  <c r="AI168" i="6"/>
  <c r="AJ168" i="6"/>
  <c r="AK168" i="6"/>
  <c r="AL168" i="6"/>
  <c r="AM168" i="6"/>
  <c r="AN168" i="6"/>
  <c r="AO168" i="6"/>
  <c r="AI169" i="6"/>
  <c r="AJ169" i="6"/>
  <c r="AK169" i="6"/>
  <c r="AL169" i="6"/>
  <c r="AM169" i="6"/>
  <c r="AN169" i="6"/>
  <c r="AO169" i="6"/>
  <c r="AI170" i="6"/>
  <c r="AJ170" i="6"/>
  <c r="AK170" i="6"/>
  <c r="AL170" i="6"/>
  <c r="AM170" i="6"/>
  <c r="AN170" i="6"/>
  <c r="AO170" i="6"/>
  <c r="AI171" i="6"/>
  <c r="AJ171" i="6"/>
  <c r="AK171" i="6"/>
  <c r="AL171" i="6"/>
  <c r="AM171" i="6"/>
  <c r="AN171" i="6"/>
  <c r="AO171" i="6"/>
  <c r="AI172" i="6"/>
  <c r="AJ172" i="6"/>
  <c r="AK172" i="6"/>
  <c r="AL172" i="6"/>
  <c r="AM172" i="6"/>
  <c r="AN172" i="6"/>
  <c r="AO172" i="6"/>
  <c r="AI173" i="6"/>
  <c r="AJ173" i="6"/>
  <c r="AK173" i="6"/>
  <c r="AL173" i="6"/>
  <c r="AM173" i="6"/>
  <c r="AN173" i="6"/>
  <c r="AO173" i="6"/>
  <c r="AI174" i="6"/>
  <c r="AJ174" i="6"/>
  <c r="AK174" i="6"/>
  <c r="AL174" i="6"/>
  <c r="AM174" i="6"/>
  <c r="AN174" i="6"/>
  <c r="AO174" i="6"/>
  <c r="AI175" i="6"/>
  <c r="AJ175" i="6"/>
  <c r="AK175" i="6"/>
  <c r="AL175" i="6"/>
  <c r="AM175" i="6"/>
  <c r="AN175" i="6"/>
  <c r="AO175" i="6"/>
  <c r="AI176" i="6"/>
  <c r="AJ176" i="6"/>
  <c r="AK176" i="6"/>
  <c r="AL176" i="6"/>
  <c r="AM176" i="6"/>
  <c r="AN176" i="6"/>
  <c r="AO176" i="6"/>
  <c r="AI177" i="6"/>
  <c r="AJ177" i="6"/>
  <c r="AK177" i="6"/>
  <c r="AL177" i="6"/>
  <c r="AM177" i="6"/>
  <c r="AN177" i="6"/>
  <c r="AO177" i="6"/>
  <c r="AI178" i="6"/>
  <c r="AJ178" i="6"/>
  <c r="AK178" i="6"/>
  <c r="AL178" i="6"/>
  <c r="AM178" i="6"/>
  <c r="AN178" i="6"/>
  <c r="AO178" i="6"/>
  <c r="AI179" i="6"/>
  <c r="AJ179" i="6"/>
  <c r="AK179" i="6"/>
  <c r="AL179" i="6"/>
  <c r="AM179" i="6"/>
  <c r="AN179" i="6"/>
  <c r="AO179" i="6"/>
  <c r="AI180" i="6"/>
  <c r="AJ180" i="6"/>
  <c r="AK180" i="6"/>
  <c r="AL180" i="6"/>
  <c r="AM180" i="6"/>
  <c r="AN180" i="6"/>
  <c r="AO180" i="6"/>
  <c r="AI181" i="6"/>
  <c r="AJ181" i="6"/>
  <c r="AK181" i="6"/>
  <c r="AL181" i="6"/>
  <c r="AM181" i="6"/>
  <c r="AN181" i="6"/>
  <c r="AO181" i="6"/>
  <c r="AI182" i="6"/>
  <c r="AJ182" i="6"/>
  <c r="AK182" i="6"/>
  <c r="AL182" i="6"/>
  <c r="AM182" i="6"/>
  <c r="AN182" i="6"/>
  <c r="AO182" i="6"/>
  <c r="AI183" i="6"/>
  <c r="AJ183" i="6"/>
  <c r="AK183" i="6"/>
  <c r="AL183" i="6"/>
  <c r="AM183" i="6"/>
  <c r="AN183" i="6"/>
  <c r="AO183" i="6"/>
  <c r="AI184" i="6"/>
  <c r="AJ184" i="6"/>
  <c r="AK184" i="6"/>
  <c r="AL184" i="6"/>
  <c r="AM184" i="6"/>
  <c r="AN184" i="6"/>
  <c r="AO184" i="6"/>
  <c r="AI185" i="6"/>
  <c r="AJ185" i="6"/>
  <c r="AK185" i="6"/>
  <c r="AL185" i="6"/>
  <c r="AM185" i="6"/>
  <c r="AN185" i="6"/>
  <c r="AO185" i="6"/>
  <c r="AI186" i="6"/>
  <c r="AJ186" i="6"/>
  <c r="AK186" i="6"/>
  <c r="AL186" i="6"/>
  <c r="AM186" i="6"/>
  <c r="AN186" i="6"/>
  <c r="AO186" i="6"/>
  <c r="AI187" i="6"/>
  <c r="AJ187" i="6"/>
  <c r="AK187" i="6"/>
  <c r="AL187" i="6"/>
  <c r="AM187" i="6"/>
  <c r="AN187" i="6"/>
  <c r="AO187" i="6"/>
  <c r="AI188" i="6"/>
  <c r="AJ188" i="6"/>
  <c r="AK188" i="6"/>
  <c r="AL188" i="6"/>
  <c r="AM188" i="6"/>
  <c r="AN188" i="6"/>
  <c r="AO188" i="6"/>
  <c r="AI189" i="6"/>
  <c r="AJ189" i="6"/>
  <c r="AK189" i="6"/>
  <c r="AL189" i="6"/>
  <c r="AM189" i="6"/>
  <c r="AN189" i="6"/>
  <c r="AO189" i="6"/>
  <c r="AI190" i="6"/>
  <c r="AJ190" i="6"/>
  <c r="AK190" i="6"/>
  <c r="AL190" i="6"/>
  <c r="AM190" i="6"/>
  <c r="AN190" i="6"/>
  <c r="AO190" i="6"/>
  <c r="AI191" i="6"/>
  <c r="AJ191" i="6"/>
  <c r="AK191" i="6"/>
  <c r="AL191" i="6"/>
  <c r="AM191" i="6"/>
  <c r="AN191" i="6"/>
  <c r="AO191" i="6"/>
  <c r="AI192" i="6"/>
  <c r="AJ192" i="6"/>
  <c r="AK192" i="6"/>
  <c r="AL192" i="6"/>
  <c r="AM192" i="6"/>
  <c r="AN192" i="6"/>
  <c r="AO192" i="6"/>
  <c r="AI193" i="6"/>
  <c r="AJ193" i="6"/>
  <c r="AK193" i="6"/>
  <c r="AL193" i="6"/>
  <c r="AM193" i="6"/>
  <c r="AN193" i="6"/>
  <c r="AO193" i="6"/>
  <c r="AI194" i="6"/>
  <c r="AJ194" i="6"/>
  <c r="AK194" i="6"/>
  <c r="AL194" i="6"/>
  <c r="AM194" i="6"/>
  <c r="AN194" i="6"/>
  <c r="AO194" i="6"/>
  <c r="AI195" i="6"/>
  <c r="AJ195" i="6"/>
  <c r="AK195" i="6"/>
  <c r="AL195" i="6"/>
  <c r="AM195" i="6"/>
  <c r="AN195" i="6"/>
  <c r="AO195" i="6"/>
  <c r="AI196" i="6"/>
  <c r="AJ196" i="6"/>
  <c r="AK196" i="6"/>
  <c r="AL196" i="6"/>
  <c r="AM196" i="6"/>
  <c r="AN196" i="6"/>
  <c r="AO196" i="6"/>
  <c r="AI197" i="6"/>
  <c r="AJ197" i="6"/>
  <c r="AK197" i="6"/>
  <c r="AL197" i="6"/>
  <c r="AM197" i="6"/>
  <c r="AN197" i="6"/>
  <c r="AO197" i="6"/>
  <c r="AI198" i="6"/>
  <c r="AJ198" i="6"/>
  <c r="AK198" i="6"/>
  <c r="AL198" i="6"/>
  <c r="AM198" i="6"/>
  <c r="AN198" i="6"/>
  <c r="AO198" i="6"/>
  <c r="AI199" i="6"/>
  <c r="AJ199" i="6"/>
  <c r="AK199" i="6"/>
  <c r="AL199" i="6"/>
  <c r="AM199" i="6"/>
  <c r="AN199" i="6"/>
  <c r="AO199" i="6"/>
  <c r="AI200" i="6"/>
  <c r="AJ200" i="6"/>
  <c r="AK200" i="6"/>
  <c r="AL200" i="6"/>
  <c r="AM200" i="6"/>
  <c r="AN200" i="6"/>
  <c r="AO200" i="6"/>
  <c r="AI201" i="6"/>
  <c r="AJ201" i="6"/>
  <c r="AK201" i="6"/>
  <c r="AL201" i="6"/>
  <c r="AM201" i="6"/>
  <c r="AN201" i="6"/>
  <c r="AO201" i="6"/>
  <c r="AI202" i="6"/>
  <c r="AJ202" i="6"/>
  <c r="AK202" i="6"/>
  <c r="AL202" i="6"/>
  <c r="AM202" i="6"/>
  <c r="AN202" i="6"/>
  <c r="AO202" i="6"/>
  <c r="AI203" i="6"/>
  <c r="AJ203" i="6"/>
  <c r="AK203" i="6"/>
  <c r="AL203" i="6"/>
  <c r="AM203" i="6"/>
  <c r="AN203" i="6"/>
  <c r="AO203" i="6"/>
  <c r="AI204" i="6"/>
  <c r="AJ204" i="6"/>
  <c r="AK204" i="6"/>
  <c r="AL204" i="6"/>
  <c r="AM204" i="6"/>
  <c r="AN204" i="6"/>
  <c r="AO204" i="6"/>
  <c r="AI205" i="6"/>
  <c r="AJ205" i="6"/>
  <c r="AK205" i="6"/>
  <c r="AL205" i="6"/>
  <c r="AM205" i="6"/>
  <c r="AN205" i="6"/>
  <c r="AO205" i="6"/>
  <c r="AI206" i="6"/>
  <c r="AJ206" i="6"/>
  <c r="AK206" i="6"/>
  <c r="AL206" i="6"/>
  <c r="AM206" i="6"/>
  <c r="AN206" i="6"/>
  <c r="AO206" i="6"/>
  <c r="AI207" i="6"/>
  <c r="AJ207" i="6"/>
  <c r="AK207" i="6"/>
  <c r="AL207" i="6"/>
  <c r="AM207" i="6"/>
  <c r="AN207" i="6"/>
  <c r="AO207" i="6"/>
  <c r="AI208" i="6"/>
  <c r="AJ208" i="6"/>
  <c r="AK208" i="6"/>
  <c r="AL208" i="6"/>
  <c r="AM208" i="6"/>
  <c r="AN208" i="6"/>
  <c r="AO208" i="6"/>
  <c r="AI209" i="6"/>
  <c r="AJ209" i="6"/>
  <c r="AK209" i="6"/>
  <c r="AL209" i="6"/>
  <c r="AM209" i="6"/>
  <c r="AN209" i="6"/>
  <c r="AO209" i="6"/>
  <c r="AI210" i="6"/>
  <c r="AJ210" i="6"/>
  <c r="AK210" i="6"/>
  <c r="AL210" i="6"/>
  <c r="AM210" i="6"/>
  <c r="AN210" i="6"/>
  <c r="AO210" i="6"/>
  <c r="AI211" i="6"/>
  <c r="AJ211" i="6"/>
  <c r="AK211" i="6"/>
  <c r="AL211" i="6"/>
  <c r="AM211" i="6"/>
  <c r="AN211" i="6"/>
  <c r="AO211" i="6"/>
  <c r="AI212" i="6"/>
  <c r="AJ212" i="6"/>
  <c r="AK212" i="6"/>
  <c r="AL212" i="6"/>
  <c r="AM212" i="6"/>
  <c r="AN212" i="6"/>
  <c r="AO212" i="6"/>
  <c r="AI213" i="6"/>
  <c r="AJ213" i="6"/>
  <c r="AK213" i="6"/>
  <c r="AL213" i="6"/>
  <c r="AM213" i="6"/>
  <c r="AN213" i="6"/>
  <c r="AO213" i="6"/>
  <c r="AI214" i="6"/>
  <c r="AJ214" i="6"/>
  <c r="AK214" i="6"/>
  <c r="AL214" i="6"/>
  <c r="AM214" i="6"/>
  <c r="AN214" i="6"/>
  <c r="AO214" i="6"/>
  <c r="AI215" i="6"/>
  <c r="AJ215" i="6"/>
  <c r="AK215" i="6"/>
  <c r="AL215" i="6"/>
  <c r="AM215" i="6"/>
  <c r="AN215" i="6"/>
  <c r="AO215" i="6"/>
  <c r="AI216" i="6"/>
  <c r="AJ216" i="6"/>
  <c r="AK216" i="6"/>
  <c r="AL216" i="6"/>
  <c r="AM216" i="6"/>
  <c r="AN216" i="6"/>
  <c r="AO216" i="6"/>
  <c r="AI217" i="6"/>
  <c r="AJ217" i="6"/>
  <c r="AK217" i="6"/>
  <c r="AL217" i="6"/>
  <c r="AM217" i="6"/>
  <c r="AN217" i="6"/>
  <c r="AO217" i="6"/>
  <c r="AI218" i="6"/>
  <c r="AJ218" i="6"/>
  <c r="AK218" i="6"/>
  <c r="AL218" i="6"/>
  <c r="AM218" i="6"/>
  <c r="AN218" i="6"/>
  <c r="AO218" i="6"/>
  <c r="AI219" i="6"/>
  <c r="AJ219" i="6"/>
  <c r="AK219" i="6"/>
  <c r="AL219" i="6"/>
  <c r="AM219" i="6"/>
  <c r="AN219" i="6"/>
  <c r="AO219" i="6"/>
  <c r="AI220" i="6"/>
  <c r="AJ220" i="6"/>
  <c r="AK220" i="6"/>
  <c r="AL220" i="6"/>
  <c r="AM220" i="6"/>
  <c r="AN220" i="6"/>
  <c r="AO220" i="6"/>
  <c r="AI221" i="6"/>
  <c r="AJ221" i="6"/>
  <c r="AK221" i="6"/>
  <c r="AL221" i="6"/>
  <c r="AM221" i="6"/>
  <c r="AN221" i="6"/>
  <c r="AO221" i="6"/>
  <c r="AI222" i="6"/>
  <c r="AJ222" i="6"/>
  <c r="AK222" i="6"/>
  <c r="AL222" i="6"/>
  <c r="AM222" i="6"/>
  <c r="AN222" i="6"/>
  <c r="AO222" i="6"/>
  <c r="AI223" i="6"/>
  <c r="AJ223" i="6"/>
  <c r="AK223" i="6"/>
  <c r="AL223" i="6"/>
  <c r="AM223" i="6"/>
  <c r="AN223" i="6"/>
  <c r="AO223" i="6"/>
  <c r="AI224" i="6"/>
  <c r="AJ224" i="6"/>
  <c r="AK224" i="6"/>
  <c r="AL224" i="6"/>
  <c r="AM224" i="6"/>
  <c r="AN224" i="6"/>
  <c r="AO224" i="6"/>
  <c r="AI225" i="6"/>
  <c r="AJ225" i="6"/>
  <c r="AK225" i="6"/>
  <c r="AL225" i="6"/>
  <c r="AM225" i="6"/>
  <c r="AN225" i="6"/>
  <c r="AO225" i="6"/>
  <c r="AI226" i="6"/>
  <c r="AJ226" i="6"/>
  <c r="AK226" i="6"/>
  <c r="AL226" i="6"/>
  <c r="AM226" i="6"/>
  <c r="AN226" i="6"/>
  <c r="AO226" i="6"/>
  <c r="AI227" i="6"/>
  <c r="AJ227" i="6"/>
  <c r="AK227" i="6"/>
  <c r="AL227" i="6"/>
  <c r="AM227" i="6"/>
  <c r="AN227" i="6"/>
  <c r="AO227" i="6"/>
  <c r="AI228" i="6"/>
  <c r="AJ228" i="6"/>
  <c r="AK228" i="6"/>
  <c r="AL228" i="6"/>
  <c r="AM228" i="6"/>
  <c r="AN228" i="6"/>
  <c r="AO228" i="6"/>
  <c r="AI229" i="6"/>
  <c r="AJ229" i="6"/>
  <c r="AK229" i="6"/>
  <c r="AL229" i="6"/>
  <c r="AM229" i="6"/>
  <c r="AN229" i="6"/>
  <c r="AO229" i="6"/>
  <c r="AI230" i="6"/>
  <c r="AJ230" i="6"/>
  <c r="AK230" i="6"/>
  <c r="AL230" i="6"/>
  <c r="AM230" i="6"/>
  <c r="AN230" i="6"/>
  <c r="AO230" i="6"/>
  <c r="AI231" i="6"/>
  <c r="AJ231" i="6"/>
  <c r="AK231" i="6"/>
  <c r="AL231" i="6"/>
  <c r="AM231" i="6"/>
  <c r="AN231" i="6"/>
  <c r="AO231" i="6"/>
  <c r="AI232" i="6"/>
  <c r="AJ232" i="6"/>
  <c r="AK232" i="6"/>
  <c r="AL232" i="6"/>
  <c r="AM232" i="6"/>
  <c r="AN232" i="6"/>
  <c r="AO232" i="6"/>
  <c r="AI233" i="6"/>
  <c r="AJ233" i="6"/>
  <c r="AK233" i="6"/>
  <c r="AL233" i="6"/>
  <c r="AM233" i="6"/>
  <c r="AN233" i="6"/>
  <c r="AO233" i="6"/>
  <c r="AI234" i="6"/>
  <c r="AJ234" i="6"/>
  <c r="AK234" i="6"/>
  <c r="AL234" i="6"/>
  <c r="AM234" i="6"/>
  <c r="AN234" i="6"/>
  <c r="AO234" i="6"/>
  <c r="AI235" i="6"/>
  <c r="AJ235" i="6"/>
  <c r="AK235" i="6"/>
  <c r="AL235" i="6"/>
  <c r="AM235" i="6"/>
  <c r="AN235" i="6"/>
  <c r="AO235" i="6"/>
  <c r="AI236" i="6"/>
  <c r="AJ236" i="6"/>
  <c r="AK236" i="6"/>
  <c r="AL236" i="6"/>
  <c r="AM236" i="6"/>
  <c r="AN236" i="6"/>
  <c r="AO236" i="6"/>
  <c r="AI237" i="6"/>
  <c r="AJ237" i="6"/>
  <c r="AK237" i="6"/>
  <c r="AL237" i="6"/>
  <c r="AM237" i="6"/>
  <c r="AN237" i="6"/>
  <c r="AO237" i="6"/>
  <c r="AI238" i="6"/>
  <c r="AJ238" i="6"/>
  <c r="AK238" i="6"/>
  <c r="AL238" i="6"/>
  <c r="AM238" i="6"/>
  <c r="AN238" i="6"/>
  <c r="AO238" i="6"/>
  <c r="AI239" i="6"/>
  <c r="AJ239" i="6"/>
  <c r="AK239" i="6"/>
  <c r="AL239" i="6"/>
  <c r="AM239" i="6"/>
  <c r="AN239" i="6"/>
  <c r="AO239" i="6"/>
  <c r="AI240" i="6"/>
  <c r="AJ240" i="6"/>
  <c r="AK240" i="6"/>
  <c r="AL240" i="6"/>
  <c r="AM240" i="6"/>
  <c r="AN240" i="6"/>
  <c r="AO240" i="6"/>
  <c r="AI241" i="6"/>
  <c r="AJ241" i="6"/>
  <c r="AK241" i="6"/>
  <c r="AL241" i="6"/>
  <c r="AM241" i="6"/>
  <c r="AN241" i="6"/>
  <c r="AO241" i="6"/>
  <c r="AI242" i="6"/>
  <c r="AJ242" i="6"/>
  <c r="AK242" i="6"/>
  <c r="AL242" i="6"/>
  <c r="AM242" i="6"/>
  <c r="AN242" i="6"/>
  <c r="AO242" i="6"/>
  <c r="AI243" i="6"/>
  <c r="AJ243" i="6"/>
  <c r="AK243" i="6"/>
  <c r="AL243" i="6"/>
  <c r="AM243" i="6"/>
  <c r="AN243" i="6"/>
  <c r="AO243" i="6"/>
  <c r="AI244" i="6"/>
  <c r="AJ244" i="6"/>
  <c r="AK244" i="6"/>
  <c r="AL244" i="6"/>
  <c r="AM244" i="6"/>
  <c r="AN244" i="6"/>
  <c r="AO244" i="6"/>
  <c r="AI245" i="6"/>
  <c r="AJ245" i="6"/>
  <c r="AK245" i="6"/>
  <c r="AL245" i="6"/>
  <c r="AM245" i="6"/>
  <c r="AN245" i="6"/>
  <c r="AO245" i="6"/>
  <c r="AI246" i="6"/>
  <c r="AJ246" i="6"/>
  <c r="AK246" i="6"/>
  <c r="AL246" i="6"/>
  <c r="AM246" i="6"/>
  <c r="AN246" i="6"/>
  <c r="AO246" i="6"/>
  <c r="AI247" i="6"/>
  <c r="AJ247" i="6"/>
  <c r="AK247" i="6"/>
  <c r="AL247" i="6"/>
  <c r="AM247" i="6"/>
  <c r="AN247" i="6"/>
  <c r="AO247" i="6"/>
  <c r="AI248" i="6"/>
  <c r="AJ248" i="6"/>
  <c r="AK248" i="6"/>
  <c r="AL248" i="6"/>
  <c r="AM248" i="6"/>
  <c r="AN248" i="6"/>
  <c r="AO248" i="6"/>
  <c r="C2" i="6"/>
  <c r="D2" i="6"/>
  <c r="E2" i="6"/>
  <c r="F2" i="6"/>
  <c r="G2" i="6"/>
  <c r="H2" i="6"/>
  <c r="I2" i="6"/>
  <c r="J2" i="6"/>
  <c r="K2" i="6"/>
  <c r="L2" i="6"/>
  <c r="M2" i="6"/>
  <c r="N2" i="6"/>
  <c r="O2" i="6"/>
  <c r="P2" i="6"/>
  <c r="Q2" i="6"/>
  <c r="R2" i="6"/>
  <c r="S2" i="6"/>
  <c r="T2" i="6"/>
  <c r="U2" i="6"/>
  <c r="V2" i="6"/>
  <c r="W2" i="6"/>
  <c r="X2" i="6"/>
  <c r="Y2" i="6"/>
  <c r="Z2" i="6"/>
  <c r="AA2" i="6"/>
  <c r="AB2" i="6"/>
  <c r="AD2" i="6"/>
  <c r="AE2" i="6"/>
  <c r="AF2" i="6"/>
  <c r="AG2" i="6"/>
  <c r="AH2" i="6"/>
  <c r="C3" i="6"/>
  <c r="D3" i="6"/>
  <c r="E3" i="6"/>
  <c r="F3" i="6"/>
  <c r="G3" i="6"/>
  <c r="H3" i="6"/>
  <c r="I3" i="6"/>
  <c r="J3" i="6"/>
  <c r="K3" i="6"/>
  <c r="L3" i="6"/>
  <c r="M3" i="6"/>
  <c r="N3" i="6"/>
  <c r="O3" i="6"/>
  <c r="P3" i="6"/>
  <c r="Q3" i="6"/>
  <c r="R3" i="6"/>
  <c r="S3" i="6"/>
  <c r="T3" i="6"/>
  <c r="U3" i="6"/>
  <c r="V3" i="6"/>
  <c r="W3" i="6"/>
  <c r="X3" i="6"/>
  <c r="Y3" i="6"/>
  <c r="Z3" i="6"/>
  <c r="AA3" i="6"/>
  <c r="AB3" i="6"/>
  <c r="AD3" i="6"/>
  <c r="AE3" i="6"/>
  <c r="AF3" i="6"/>
  <c r="AG3" i="6"/>
  <c r="AH3" i="6"/>
  <c r="C4" i="6"/>
  <c r="D4" i="6"/>
  <c r="E4" i="6"/>
  <c r="F4" i="6"/>
  <c r="G4" i="6"/>
  <c r="H4" i="6"/>
  <c r="I4" i="6"/>
  <c r="J4" i="6"/>
  <c r="K4" i="6"/>
  <c r="L4" i="6"/>
  <c r="M4" i="6"/>
  <c r="N4" i="6"/>
  <c r="O4" i="6"/>
  <c r="P4" i="6"/>
  <c r="Q4" i="6"/>
  <c r="R4" i="6"/>
  <c r="S4" i="6"/>
  <c r="T4" i="6"/>
  <c r="U4" i="6"/>
  <c r="V4" i="6"/>
  <c r="W4" i="6"/>
  <c r="X4" i="6"/>
  <c r="Y4" i="6"/>
  <c r="Z4" i="6"/>
  <c r="AA4" i="6"/>
  <c r="AB4" i="6"/>
  <c r="AD4" i="6"/>
  <c r="AE4" i="6"/>
  <c r="AF4" i="6"/>
  <c r="AG4" i="6"/>
  <c r="AH4" i="6"/>
  <c r="C5" i="6"/>
  <c r="D5" i="6"/>
  <c r="E5" i="6"/>
  <c r="F5" i="6"/>
  <c r="G5" i="6"/>
  <c r="H5" i="6"/>
  <c r="I5" i="6"/>
  <c r="J5" i="6"/>
  <c r="K5" i="6"/>
  <c r="L5" i="6"/>
  <c r="M5" i="6"/>
  <c r="N5" i="6"/>
  <c r="O5" i="6"/>
  <c r="P5" i="6"/>
  <c r="Q5" i="6"/>
  <c r="R5" i="6"/>
  <c r="S5" i="6"/>
  <c r="T5" i="6"/>
  <c r="U5" i="6"/>
  <c r="V5" i="6"/>
  <c r="W5" i="6"/>
  <c r="X5" i="6"/>
  <c r="Y5" i="6"/>
  <c r="Z5" i="6"/>
  <c r="AA5" i="6"/>
  <c r="AB5" i="6"/>
  <c r="AD5" i="6"/>
  <c r="AE5" i="6"/>
  <c r="AF5" i="6"/>
  <c r="AG5" i="6"/>
  <c r="AH5" i="6"/>
  <c r="C6" i="6"/>
  <c r="D6" i="6"/>
  <c r="E6" i="6"/>
  <c r="F6" i="6"/>
  <c r="G6" i="6"/>
  <c r="H6" i="6"/>
  <c r="I6" i="6"/>
  <c r="J6" i="6"/>
  <c r="K6" i="6"/>
  <c r="L6" i="6"/>
  <c r="M6" i="6"/>
  <c r="N6" i="6"/>
  <c r="O6" i="6"/>
  <c r="P6" i="6"/>
  <c r="Q6" i="6"/>
  <c r="R6" i="6"/>
  <c r="S6" i="6"/>
  <c r="T6" i="6"/>
  <c r="U6" i="6"/>
  <c r="V6" i="6"/>
  <c r="W6" i="6"/>
  <c r="X6" i="6"/>
  <c r="Y6" i="6"/>
  <c r="Z6" i="6"/>
  <c r="AA6" i="6"/>
  <c r="AB6" i="6"/>
  <c r="AD6" i="6"/>
  <c r="AE6" i="6"/>
  <c r="AF6" i="6"/>
  <c r="AG6" i="6"/>
  <c r="AH6" i="6"/>
  <c r="C7" i="6"/>
  <c r="D7" i="6"/>
  <c r="E7" i="6"/>
  <c r="F7" i="6"/>
  <c r="G7" i="6"/>
  <c r="H7" i="6"/>
  <c r="I7" i="6"/>
  <c r="J7" i="6"/>
  <c r="K7" i="6"/>
  <c r="L7" i="6"/>
  <c r="M7" i="6"/>
  <c r="N7" i="6"/>
  <c r="O7" i="6"/>
  <c r="P7" i="6"/>
  <c r="Q7" i="6"/>
  <c r="R7" i="6"/>
  <c r="S7" i="6"/>
  <c r="T7" i="6"/>
  <c r="U7" i="6"/>
  <c r="V7" i="6"/>
  <c r="W7" i="6"/>
  <c r="X7" i="6"/>
  <c r="Y7" i="6"/>
  <c r="Z7" i="6"/>
  <c r="AA7" i="6"/>
  <c r="AB7" i="6"/>
  <c r="AD7" i="6"/>
  <c r="AE7" i="6"/>
  <c r="AF7" i="6"/>
  <c r="AG7" i="6"/>
  <c r="AH7" i="6"/>
  <c r="C8" i="6"/>
  <c r="D8" i="6"/>
  <c r="E8" i="6"/>
  <c r="F8" i="6"/>
  <c r="G8" i="6"/>
  <c r="H8" i="6"/>
  <c r="I8" i="6"/>
  <c r="J8" i="6"/>
  <c r="K8" i="6"/>
  <c r="L8" i="6"/>
  <c r="M8" i="6"/>
  <c r="N8" i="6"/>
  <c r="O8" i="6"/>
  <c r="P8" i="6"/>
  <c r="Q8" i="6"/>
  <c r="R8" i="6"/>
  <c r="S8" i="6"/>
  <c r="T8" i="6"/>
  <c r="U8" i="6"/>
  <c r="V8" i="6"/>
  <c r="W8" i="6"/>
  <c r="X8" i="6"/>
  <c r="Y8" i="6"/>
  <c r="Z8" i="6"/>
  <c r="AA8" i="6"/>
  <c r="AB8" i="6"/>
  <c r="AD8" i="6"/>
  <c r="AE8" i="6"/>
  <c r="AF8" i="6"/>
  <c r="AG8" i="6"/>
  <c r="AH8" i="6"/>
  <c r="C9" i="6"/>
  <c r="D9" i="6"/>
  <c r="E9" i="6"/>
  <c r="F9" i="6"/>
  <c r="G9" i="6"/>
  <c r="H9" i="6"/>
  <c r="I9" i="6"/>
  <c r="J9" i="6"/>
  <c r="K9" i="6"/>
  <c r="L9" i="6"/>
  <c r="M9" i="6"/>
  <c r="N9" i="6"/>
  <c r="O9" i="6"/>
  <c r="P9" i="6"/>
  <c r="Q9" i="6"/>
  <c r="R9" i="6"/>
  <c r="S9" i="6"/>
  <c r="T9" i="6"/>
  <c r="U9" i="6"/>
  <c r="V9" i="6"/>
  <c r="W9" i="6"/>
  <c r="X9" i="6"/>
  <c r="Y9" i="6"/>
  <c r="Z9" i="6"/>
  <c r="AA9" i="6"/>
  <c r="AB9" i="6"/>
  <c r="AD9" i="6"/>
  <c r="AE9" i="6"/>
  <c r="AF9" i="6"/>
  <c r="AG9" i="6"/>
  <c r="AH9" i="6"/>
  <c r="C10" i="6"/>
  <c r="D10" i="6"/>
  <c r="E10" i="6"/>
  <c r="F10" i="6"/>
  <c r="G10" i="6"/>
  <c r="H10" i="6"/>
  <c r="I10" i="6"/>
  <c r="J10" i="6"/>
  <c r="K10" i="6"/>
  <c r="L10" i="6"/>
  <c r="M10" i="6"/>
  <c r="N10" i="6"/>
  <c r="O10" i="6"/>
  <c r="P10" i="6"/>
  <c r="Q10" i="6"/>
  <c r="R10" i="6"/>
  <c r="S10" i="6"/>
  <c r="T10" i="6"/>
  <c r="U10" i="6"/>
  <c r="V10" i="6"/>
  <c r="W10" i="6"/>
  <c r="X10" i="6"/>
  <c r="Y10" i="6"/>
  <c r="Z10" i="6"/>
  <c r="AA10" i="6"/>
  <c r="AB10" i="6"/>
  <c r="AD10" i="6"/>
  <c r="AE10" i="6"/>
  <c r="AF10" i="6"/>
  <c r="AG10" i="6"/>
  <c r="AH10" i="6"/>
  <c r="C11" i="6"/>
  <c r="D11" i="6"/>
  <c r="E11" i="6"/>
  <c r="F11" i="6"/>
  <c r="G11" i="6"/>
  <c r="H11" i="6"/>
  <c r="I11" i="6"/>
  <c r="J11" i="6"/>
  <c r="K11" i="6"/>
  <c r="L11" i="6"/>
  <c r="M11" i="6"/>
  <c r="N11" i="6"/>
  <c r="O11" i="6"/>
  <c r="P11" i="6"/>
  <c r="Q11" i="6"/>
  <c r="R11" i="6"/>
  <c r="S11" i="6"/>
  <c r="T11" i="6"/>
  <c r="U11" i="6"/>
  <c r="V11" i="6"/>
  <c r="W11" i="6"/>
  <c r="X11" i="6"/>
  <c r="Y11" i="6"/>
  <c r="Z11" i="6"/>
  <c r="AA11" i="6"/>
  <c r="AB11" i="6"/>
  <c r="AD11" i="6"/>
  <c r="AE11" i="6"/>
  <c r="AF11" i="6"/>
  <c r="AG11" i="6"/>
  <c r="AH11" i="6"/>
  <c r="C12" i="6"/>
  <c r="D12" i="6"/>
  <c r="E12" i="6"/>
  <c r="F12" i="6"/>
  <c r="G12" i="6"/>
  <c r="H12" i="6"/>
  <c r="I12" i="6"/>
  <c r="J12" i="6"/>
  <c r="K12" i="6"/>
  <c r="L12" i="6"/>
  <c r="M12" i="6"/>
  <c r="N12" i="6"/>
  <c r="O12" i="6"/>
  <c r="P12" i="6"/>
  <c r="Q12" i="6"/>
  <c r="R12" i="6"/>
  <c r="S12" i="6"/>
  <c r="T12" i="6"/>
  <c r="U12" i="6"/>
  <c r="V12" i="6"/>
  <c r="W12" i="6"/>
  <c r="X12" i="6"/>
  <c r="Y12" i="6"/>
  <c r="Z12" i="6"/>
  <c r="AA12" i="6"/>
  <c r="AB12" i="6"/>
  <c r="AD12" i="6"/>
  <c r="AE12" i="6"/>
  <c r="AF12" i="6"/>
  <c r="AG12" i="6"/>
  <c r="AH12" i="6"/>
  <c r="C13" i="6"/>
  <c r="D13" i="6"/>
  <c r="E13" i="6"/>
  <c r="F13" i="6"/>
  <c r="G13" i="6"/>
  <c r="H13" i="6"/>
  <c r="I13" i="6"/>
  <c r="J13" i="6"/>
  <c r="K13" i="6"/>
  <c r="L13" i="6"/>
  <c r="M13" i="6"/>
  <c r="N13" i="6"/>
  <c r="O13" i="6"/>
  <c r="P13" i="6"/>
  <c r="Q13" i="6"/>
  <c r="R13" i="6"/>
  <c r="S13" i="6"/>
  <c r="T13" i="6"/>
  <c r="U13" i="6"/>
  <c r="V13" i="6"/>
  <c r="W13" i="6"/>
  <c r="X13" i="6"/>
  <c r="Y13" i="6"/>
  <c r="Z13" i="6"/>
  <c r="AA13" i="6"/>
  <c r="AB13" i="6"/>
  <c r="AD13" i="6"/>
  <c r="AE13" i="6"/>
  <c r="AF13" i="6"/>
  <c r="AG13" i="6"/>
  <c r="AH13" i="6"/>
  <c r="C14" i="6"/>
  <c r="D14" i="6"/>
  <c r="E14" i="6"/>
  <c r="F14" i="6"/>
  <c r="G14" i="6"/>
  <c r="H14" i="6"/>
  <c r="I14" i="6"/>
  <c r="J14" i="6"/>
  <c r="K14" i="6"/>
  <c r="L14" i="6"/>
  <c r="M14" i="6"/>
  <c r="N14" i="6"/>
  <c r="O14" i="6"/>
  <c r="P14" i="6"/>
  <c r="Q14" i="6"/>
  <c r="R14" i="6"/>
  <c r="S14" i="6"/>
  <c r="T14" i="6"/>
  <c r="U14" i="6"/>
  <c r="V14" i="6"/>
  <c r="W14" i="6"/>
  <c r="X14" i="6"/>
  <c r="Y14" i="6"/>
  <c r="Z14" i="6"/>
  <c r="AA14" i="6"/>
  <c r="AB14" i="6"/>
  <c r="AD14" i="6"/>
  <c r="AE14" i="6"/>
  <c r="AF14" i="6"/>
  <c r="AG14" i="6"/>
  <c r="AH14" i="6"/>
  <c r="C15" i="6"/>
  <c r="D15" i="6"/>
  <c r="E15" i="6"/>
  <c r="F15" i="6"/>
  <c r="G15" i="6"/>
  <c r="H15" i="6"/>
  <c r="I15" i="6"/>
  <c r="J15" i="6"/>
  <c r="K15" i="6"/>
  <c r="L15" i="6"/>
  <c r="M15" i="6"/>
  <c r="N15" i="6"/>
  <c r="O15" i="6"/>
  <c r="P15" i="6"/>
  <c r="Q15" i="6"/>
  <c r="R15" i="6"/>
  <c r="S15" i="6"/>
  <c r="T15" i="6"/>
  <c r="U15" i="6"/>
  <c r="V15" i="6"/>
  <c r="W15" i="6"/>
  <c r="X15" i="6"/>
  <c r="Y15" i="6"/>
  <c r="Z15" i="6"/>
  <c r="AA15" i="6"/>
  <c r="AB15" i="6"/>
  <c r="AD15" i="6"/>
  <c r="AE15" i="6"/>
  <c r="AF15" i="6"/>
  <c r="AG15" i="6"/>
  <c r="AH15" i="6"/>
  <c r="C16" i="6"/>
  <c r="D16" i="6"/>
  <c r="E16" i="6"/>
  <c r="F16" i="6"/>
  <c r="G16" i="6"/>
  <c r="H16" i="6"/>
  <c r="I16" i="6"/>
  <c r="J16" i="6"/>
  <c r="K16" i="6"/>
  <c r="L16" i="6"/>
  <c r="M16" i="6"/>
  <c r="N16" i="6"/>
  <c r="O16" i="6"/>
  <c r="P16" i="6"/>
  <c r="Q16" i="6"/>
  <c r="R16" i="6"/>
  <c r="S16" i="6"/>
  <c r="T16" i="6"/>
  <c r="U16" i="6"/>
  <c r="V16" i="6"/>
  <c r="W16" i="6"/>
  <c r="X16" i="6"/>
  <c r="Y16" i="6"/>
  <c r="Z16" i="6"/>
  <c r="AA16" i="6"/>
  <c r="AB16" i="6"/>
  <c r="AD16" i="6"/>
  <c r="AE16" i="6"/>
  <c r="AF16" i="6"/>
  <c r="AG16" i="6"/>
  <c r="AH16" i="6"/>
  <c r="C17" i="6"/>
  <c r="D17" i="6"/>
  <c r="E17" i="6"/>
  <c r="F17" i="6"/>
  <c r="G17" i="6"/>
  <c r="H17" i="6"/>
  <c r="I17" i="6"/>
  <c r="J17" i="6"/>
  <c r="K17" i="6"/>
  <c r="L17" i="6"/>
  <c r="M17" i="6"/>
  <c r="N17" i="6"/>
  <c r="O17" i="6"/>
  <c r="P17" i="6"/>
  <c r="Q17" i="6"/>
  <c r="R17" i="6"/>
  <c r="S17" i="6"/>
  <c r="T17" i="6"/>
  <c r="U17" i="6"/>
  <c r="V17" i="6"/>
  <c r="W17" i="6"/>
  <c r="X17" i="6"/>
  <c r="Y17" i="6"/>
  <c r="Z17" i="6"/>
  <c r="AA17" i="6"/>
  <c r="AB17" i="6"/>
  <c r="AD17" i="6"/>
  <c r="AE17" i="6"/>
  <c r="AF17" i="6"/>
  <c r="AG17" i="6"/>
  <c r="AH17" i="6"/>
  <c r="C18" i="6"/>
  <c r="D18" i="6"/>
  <c r="E18" i="6"/>
  <c r="F18" i="6"/>
  <c r="G18" i="6"/>
  <c r="H18" i="6"/>
  <c r="I18" i="6"/>
  <c r="J18" i="6"/>
  <c r="K18" i="6"/>
  <c r="L18" i="6"/>
  <c r="M18" i="6"/>
  <c r="N18" i="6"/>
  <c r="O18" i="6"/>
  <c r="P18" i="6"/>
  <c r="Q18" i="6"/>
  <c r="R18" i="6"/>
  <c r="S18" i="6"/>
  <c r="T18" i="6"/>
  <c r="U18" i="6"/>
  <c r="V18" i="6"/>
  <c r="W18" i="6"/>
  <c r="X18" i="6"/>
  <c r="Y18" i="6"/>
  <c r="Z18" i="6"/>
  <c r="AA18" i="6"/>
  <c r="AB18" i="6"/>
  <c r="AD18" i="6"/>
  <c r="AE18" i="6"/>
  <c r="AF18" i="6"/>
  <c r="AG18" i="6"/>
  <c r="AH18" i="6"/>
  <c r="C19" i="6"/>
  <c r="D19" i="6"/>
  <c r="E19" i="6"/>
  <c r="F19" i="6"/>
  <c r="G19" i="6"/>
  <c r="H19" i="6"/>
  <c r="I19" i="6"/>
  <c r="J19" i="6"/>
  <c r="K19" i="6"/>
  <c r="L19" i="6"/>
  <c r="M19" i="6"/>
  <c r="N19" i="6"/>
  <c r="O19" i="6"/>
  <c r="P19" i="6"/>
  <c r="Q19" i="6"/>
  <c r="R19" i="6"/>
  <c r="S19" i="6"/>
  <c r="T19" i="6"/>
  <c r="U19" i="6"/>
  <c r="V19" i="6"/>
  <c r="W19" i="6"/>
  <c r="X19" i="6"/>
  <c r="Y19" i="6"/>
  <c r="Z19" i="6"/>
  <c r="AA19" i="6"/>
  <c r="AB19" i="6"/>
  <c r="AD19" i="6"/>
  <c r="AE19" i="6"/>
  <c r="AF19" i="6"/>
  <c r="AG19" i="6"/>
  <c r="AH19" i="6"/>
  <c r="C20" i="6"/>
  <c r="D20" i="6"/>
  <c r="E20" i="6"/>
  <c r="F20" i="6"/>
  <c r="G20" i="6"/>
  <c r="H20" i="6"/>
  <c r="I20" i="6"/>
  <c r="J20" i="6"/>
  <c r="K20" i="6"/>
  <c r="L20" i="6"/>
  <c r="M20" i="6"/>
  <c r="N20" i="6"/>
  <c r="O20" i="6"/>
  <c r="P20" i="6"/>
  <c r="Q20" i="6"/>
  <c r="R20" i="6"/>
  <c r="S20" i="6"/>
  <c r="T20" i="6"/>
  <c r="U20" i="6"/>
  <c r="V20" i="6"/>
  <c r="W20" i="6"/>
  <c r="X20" i="6"/>
  <c r="Y20" i="6"/>
  <c r="Z20" i="6"/>
  <c r="AA20" i="6"/>
  <c r="AB20" i="6"/>
  <c r="AD20" i="6"/>
  <c r="AE20" i="6"/>
  <c r="AF20" i="6"/>
  <c r="AG20" i="6"/>
  <c r="AH20" i="6"/>
  <c r="C21" i="6"/>
  <c r="D21" i="6"/>
  <c r="E21" i="6"/>
  <c r="F21" i="6"/>
  <c r="G21" i="6"/>
  <c r="H21" i="6"/>
  <c r="I21" i="6"/>
  <c r="J21" i="6"/>
  <c r="K21" i="6"/>
  <c r="L21" i="6"/>
  <c r="M21" i="6"/>
  <c r="N21" i="6"/>
  <c r="O21" i="6"/>
  <c r="P21" i="6"/>
  <c r="Q21" i="6"/>
  <c r="R21" i="6"/>
  <c r="S21" i="6"/>
  <c r="T21" i="6"/>
  <c r="U21" i="6"/>
  <c r="V21" i="6"/>
  <c r="W21" i="6"/>
  <c r="X21" i="6"/>
  <c r="Y21" i="6"/>
  <c r="Z21" i="6"/>
  <c r="AA21" i="6"/>
  <c r="AB21" i="6"/>
  <c r="AD21" i="6"/>
  <c r="AE21" i="6"/>
  <c r="AF21" i="6"/>
  <c r="AG21" i="6"/>
  <c r="AH21" i="6"/>
  <c r="C22" i="6"/>
  <c r="D22" i="6"/>
  <c r="E22" i="6"/>
  <c r="F22" i="6"/>
  <c r="G22" i="6"/>
  <c r="H22" i="6"/>
  <c r="I22" i="6"/>
  <c r="J22" i="6"/>
  <c r="K22" i="6"/>
  <c r="L22" i="6"/>
  <c r="M22" i="6"/>
  <c r="N22" i="6"/>
  <c r="O22" i="6"/>
  <c r="P22" i="6"/>
  <c r="Q22" i="6"/>
  <c r="R22" i="6"/>
  <c r="S22" i="6"/>
  <c r="T22" i="6"/>
  <c r="U22" i="6"/>
  <c r="V22" i="6"/>
  <c r="W22" i="6"/>
  <c r="X22" i="6"/>
  <c r="Y22" i="6"/>
  <c r="Z22" i="6"/>
  <c r="AA22" i="6"/>
  <c r="AB22" i="6"/>
  <c r="AD22" i="6"/>
  <c r="AE22" i="6"/>
  <c r="AF22" i="6"/>
  <c r="AG22" i="6"/>
  <c r="AH22" i="6"/>
  <c r="C23" i="6"/>
  <c r="D23" i="6"/>
  <c r="E23" i="6"/>
  <c r="F23" i="6"/>
  <c r="G23" i="6"/>
  <c r="H23" i="6"/>
  <c r="I23" i="6"/>
  <c r="J23" i="6"/>
  <c r="K23" i="6"/>
  <c r="L23" i="6"/>
  <c r="M23" i="6"/>
  <c r="N23" i="6"/>
  <c r="O23" i="6"/>
  <c r="P23" i="6"/>
  <c r="Q23" i="6"/>
  <c r="R23" i="6"/>
  <c r="S23" i="6"/>
  <c r="T23" i="6"/>
  <c r="U23" i="6"/>
  <c r="V23" i="6"/>
  <c r="W23" i="6"/>
  <c r="X23" i="6"/>
  <c r="Y23" i="6"/>
  <c r="Z23" i="6"/>
  <c r="AA23" i="6"/>
  <c r="AB23" i="6"/>
  <c r="AD23" i="6"/>
  <c r="AE23" i="6"/>
  <c r="AF23" i="6"/>
  <c r="AG23" i="6"/>
  <c r="AH23" i="6"/>
  <c r="C24" i="6"/>
  <c r="D24" i="6"/>
  <c r="E24" i="6"/>
  <c r="F24" i="6"/>
  <c r="G24" i="6"/>
  <c r="H24" i="6"/>
  <c r="I24" i="6"/>
  <c r="J24" i="6"/>
  <c r="K24" i="6"/>
  <c r="L24" i="6"/>
  <c r="M24" i="6"/>
  <c r="N24" i="6"/>
  <c r="O24" i="6"/>
  <c r="P24" i="6"/>
  <c r="Q24" i="6"/>
  <c r="R24" i="6"/>
  <c r="S24" i="6"/>
  <c r="T24" i="6"/>
  <c r="U24" i="6"/>
  <c r="V24" i="6"/>
  <c r="W24" i="6"/>
  <c r="X24" i="6"/>
  <c r="Y24" i="6"/>
  <c r="Z24" i="6"/>
  <c r="AA24" i="6"/>
  <c r="AB24" i="6"/>
  <c r="AD24" i="6"/>
  <c r="AE24" i="6"/>
  <c r="AF24" i="6"/>
  <c r="AG24" i="6"/>
  <c r="AH24" i="6"/>
  <c r="C25" i="6"/>
  <c r="D25" i="6"/>
  <c r="E25" i="6"/>
  <c r="F25" i="6"/>
  <c r="G25" i="6"/>
  <c r="H25" i="6"/>
  <c r="I25" i="6"/>
  <c r="J25" i="6"/>
  <c r="K25" i="6"/>
  <c r="L25" i="6"/>
  <c r="M25" i="6"/>
  <c r="N25" i="6"/>
  <c r="O25" i="6"/>
  <c r="P25" i="6"/>
  <c r="Q25" i="6"/>
  <c r="R25" i="6"/>
  <c r="S25" i="6"/>
  <c r="T25" i="6"/>
  <c r="U25" i="6"/>
  <c r="V25" i="6"/>
  <c r="W25" i="6"/>
  <c r="X25" i="6"/>
  <c r="Y25" i="6"/>
  <c r="Z25" i="6"/>
  <c r="AA25" i="6"/>
  <c r="AB25" i="6"/>
  <c r="AD25" i="6"/>
  <c r="AE25" i="6"/>
  <c r="AF25" i="6"/>
  <c r="AG25" i="6"/>
  <c r="AH25" i="6"/>
  <c r="C26" i="6"/>
  <c r="D26" i="6"/>
  <c r="E26" i="6"/>
  <c r="F26" i="6"/>
  <c r="G26" i="6"/>
  <c r="H26" i="6"/>
  <c r="I26" i="6"/>
  <c r="J26" i="6"/>
  <c r="K26" i="6"/>
  <c r="L26" i="6"/>
  <c r="M26" i="6"/>
  <c r="N26" i="6"/>
  <c r="O26" i="6"/>
  <c r="P26" i="6"/>
  <c r="Q26" i="6"/>
  <c r="R26" i="6"/>
  <c r="S26" i="6"/>
  <c r="T26" i="6"/>
  <c r="U26" i="6"/>
  <c r="V26" i="6"/>
  <c r="W26" i="6"/>
  <c r="X26" i="6"/>
  <c r="Y26" i="6"/>
  <c r="Z26" i="6"/>
  <c r="AA26" i="6"/>
  <c r="AB26" i="6"/>
  <c r="AD26" i="6"/>
  <c r="AE26" i="6"/>
  <c r="AF26" i="6"/>
  <c r="AG26" i="6"/>
  <c r="AH26" i="6"/>
  <c r="C27" i="6"/>
  <c r="D27" i="6"/>
  <c r="E27" i="6"/>
  <c r="F27" i="6"/>
  <c r="G27" i="6"/>
  <c r="H27" i="6"/>
  <c r="I27" i="6"/>
  <c r="J27" i="6"/>
  <c r="K27" i="6"/>
  <c r="L27" i="6"/>
  <c r="M27" i="6"/>
  <c r="N27" i="6"/>
  <c r="O27" i="6"/>
  <c r="P27" i="6"/>
  <c r="Q27" i="6"/>
  <c r="R27" i="6"/>
  <c r="S27" i="6"/>
  <c r="T27" i="6"/>
  <c r="U27" i="6"/>
  <c r="V27" i="6"/>
  <c r="W27" i="6"/>
  <c r="X27" i="6"/>
  <c r="Y27" i="6"/>
  <c r="Z27" i="6"/>
  <c r="AA27" i="6"/>
  <c r="AB27" i="6"/>
  <c r="AD27" i="6"/>
  <c r="AE27" i="6"/>
  <c r="AF27" i="6"/>
  <c r="AG27" i="6"/>
  <c r="AH27" i="6"/>
  <c r="C28" i="6"/>
  <c r="D28" i="6"/>
  <c r="E28" i="6"/>
  <c r="F28" i="6"/>
  <c r="G28" i="6"/>
  <c r="H28" i="6"/>
  <c r="I28" i="6"/>
  <c r="J28" i="6"/>
  <c r="K28" i="6"/>
  <c r="L28" i="6"/>
  <c r="M28" i="6"/>
  <c r="N28" i="6"/>
  <c r="O28" i="6"/>
  <c r="P28" i="6"/>
  <c r="Q28" i="6"/>
  <c r="R28" i="6"/>
  <c r="S28" i="6"/>
  <c r="T28" i="6"/>
  <c r="U28" i="6"/>
  <c r="V28" i="6"/>
  <c r="W28" i="6"/>
  <c r="X28" i="6"/>
  <c r="Y28" i="6"/>
  <c r="Z28" i="6"/>
  <c r="AA28" i="6"/>
  <c r="AB28" i="6"/>
  <c r="AD28" i="6"/>
  <c r="AE28" i="6"/>
  <c r="AF28" i="6"/>
  <c r="AG28" i="6"/>
  <c r="AH28" i="6"/>
  <c r="C29" i="6"/>
  <c r="D29" i="6"/>
  <c r="E29" i="6"/>
  <c r="F29" i="6"/>
  <c r="G29" i="6"/>
  <c r="H29" i="6"/>
  <c r="I29" i="6"/>
  <c r="J29" i="6"/>
  <c r="K29" i="6"/>
  <c r="L29" i="6"/>
  <c r="M29" i="6"/>
  <c r="N29" i="6"/>
  <c r="O29" i="6"/>
  <c r="P29" i="6"/>
  <c r="Q29" i="6"/>
  <c r="R29" i="6"/>
  <c r="S29" i="6"/>
  <c r="T29" i="6"/>
  <c r="U29" i="6"/>
  <c r="V29" i="6"/>
  <c r="W29" i="6"/>
  <c r="X29" i="6"/>
  <c r="Y29" i="6"/>
  <c r="Z29" i="6"/>
  <c r="AA29" i="6"/>
  <c r="AB29" i="6"/>
  <c r="AD29" i="6"/>
  <c r="AE29" i="6"/>
  <c r="AF29" i="6"/>
  <c r="AG29" i="6"/>
  <c r="AH29" i="6"/>
  <c r="C30" i="6"/>
  <c r="D30" i="6"/>
  <c r="E30" i="6"/>
  <c r="F30" i="6"/>
  <c r="G30" i="6"/>
  <c r="H30" i="6"/>
  <c r="I30" i="6"/>
  <c r="J30" i="6"/>
  <c r="K30" i="6"/>
  <c r="L30" i="6"/>
  <c r="M30" i="6"/>
  <c r="N30" i="6"/>
  <c r="O30" i="6"/>
  <c r="P30" i="6"/>
  <c r="Q30" i="6"/>
  <c r="R30" i="6"/>
  <c r="S30" i="6"/>
  <c r="T30" i="6"/>
  <c r="U30" i="6"/>
  <c r="V30" i="6"/>
  <c r="W30" i="6"/>
  <c r="X30" i="6"/>
  <c r="Y30" i="6"/>
  <c r="Z30" i="6"/>
  <c r="AA30" i="6"/>
  <c r="AB30" i="6"/>
  <c r="AD30" i="6"/>
  <c r="AE30" i="6"/>
  <c r="AF30" i="6"/>
  <c r="AG30" i="6"/>
  <c r="AH30" i="6"/>
  <c r="C31" i="6"/>
  <c r="D31" i="6"/>
  <c r="E31" i="6"/>
  <c r="F31" i="6"/>
  <c r="G31" i="6"/>
  <c r="H31" i="6"/>
  <c r="I31" i="6"/>
  <c r="J31" i="6"/>
  <c r="K31" i="6"/>
  <c r="L31" i="6"/>
  <c r="M31" i="6"/>
  <c r="N31" i="6"/>
  <c r="O31" i="6"/>
  <c r="P31" i="6"/>
  <c r="Q31" i="6"/>
  <c r="R31" i="6"/>
  <c r="S31" i="6"/>
  <c r="T31" i="6"/>
  <c r="U31" i="6"/>
  <c r="V31" i="6"/>
  <c r="W31" i="6"/>
  <c r="X31" i="6"/>
  <c r="Y31" i="6"/>
  <c r="Z31" i="6"/>
  <c r="AA31" i="6"/>
  <c r="AB31" i="6"/>
  <c r="AD31" i="6"/>
  <c r="AE31" i="6"/>
  <c r="AF31" i="6"/>
  <c r="AG31" i="6"/>
  <c r="AH31" i="6"/>
  <c r="C32" i="6"/>
  <c r="D32" i="6"/>
  <c r="E32" i="6"/>
  <c r="F32" i="6"/>
  <c r="G32" i="6"/>
  <c r="H32" i="6"/>
  <c r="I32" i="6"/>
  <c r="J32" i="6"/>
  <c r="K32" i="6"/>
  <c r="L32" i="6"/>
  <c r="M32" i="6"/>
  <c r="N32" i="6"/>
  <c r="O32" i="6"/>
  <c r="P32" i="6"/>
  <c r="Q32" i="6"/>
  <c r="R32" i="6"/>
  <c r="S32" i="6"/>
  <c r="T32" i="6"/>
  <c r="U32" i="6"/>
  <c r="V32" i="6"/>
  <c r="W32" i="6"/>
  <c r="X32" i="6"/>
  <c r="Y32" i="6"/>
  <c r="Z32" i="6"/>
  <c r="AA32" i="6"/>
  <c r="AB32" i="6"/>
  <c r="AD32" i="6"/>
  <c r="AE32" i="6"/>
  <c r="AF32" i="6"/>
  <c r="AG32" i="6"/>
  <c r="AH32" i="6"/>
  <c r="C33" i="6"/>
  <c r="D33" i="6"/>
  <c r="E33" i="6"/>
  <c r="F33" i="6"/>
  <c r="G33" i="6"/>
  <c r="H33" i="6"/>
  <c r="I33" i="6"/>
  <c r="J33" i="6"/>
  <c r="K33" i="6"/>
  <c r="L33" i="6"/>
  <c r="M33" i="6"/>
  <c r="N33" i="6"/>
  <c r="O33" i="6"/>
  <c r="P33" i="6"/>
  <c r="Q33" i="6"/>
  <c r="R33" i="6"/>
  <c r="S33" i="6"/>
  <c r="T33" i="6"/>
  <c r="U33" i="6"/>
  <c r="V33" i="6"/>
  <c r="W33" i="6"/>
  <c r="X33" i="6"/>
  <c r="Y33" i="6"/>
  <c r="Z33" i="6"/>
  <c r="AA33" i="6"/>
  <c r="AB33" i="6"/>
  <c r="AD33" i="6"/>
  <c r="AE33" i="6"/>
  <c r="AF33" i="6"/>
  <c r="AG33" i="6"/>
  <c r="AH33" i="6"/>
  <c r="C34" i="6"/>
  <c r="D34" i="6"/>
  <c r="E34" i="6"/>
  <c r="F34" i="6"/>
  <c r="G34" i="6"/>
  <c r="H34" i="6"/>
  <c r="I34" i="6"/>
  <c r="J34" i="6"/>
  <c r="K34" i="6"/>
  <c r="L34" i="6"/>
  <c r="M34" i="6"/>
  <c r="N34" i="6"/>
  <c r="O34" i="6"/>
  <c r="P34" i="6"/>
  <c r="Q34" i="6"/>
  <c r="R34" i="6"/>
  <c r="S34" i="6"/>
  <c r="T34" i="6"/>
  <c r="U34" i="6"/>
  <c r="V34" i="6"/>
  <c r="W34" i="6"/>
  <c r="X34" i="6"/>
  <c r="Y34" i="6"/>
  <c r="Z34" i="6"/>
  <c r="AA34" i="6"/>
  <c r="AB34" i="6"/>
  <c r="AD34" i="6"/>
  <c r="AE34" i="6"/>
  <c r="AF34" i="6"/>
  <c r="AG34" i="6"/>
  <c r="AH34" i="6"/>
  <c r="C35" i="6"/>
  <c r="D35" i="6"/>
  <c r="E35" i="6"/>
  <c r="F35" i="6"/>
  <c r="G35" i="6"/>
  <c r="H35" i="6"/>
  <c r="I35" i="6"/>
  <c r="J35" i="6"/>
  <c r="K35" i="6"/>
  <c r="L35" i="6"/>
  <c r="M35" i="6"/>
  <c r="N35" i="6"/>
  <c r="O35" i="6"/>
  <c r="P35" i="6"/>
  <c r="Q35" i="6"/>
  <c r="R35" i="6"/>
  <c r="S35" i="6"/>
  <c r="T35" i="6"/>
  <c r="U35" i="6"/>
  <c r="V35" i="6"/>
  <c r="W35" i="6"/>
  <c r="X35" i="6"/>
  <c r="Y35" i="6"/>
  <c r="Z35" i="6"/>
  <c r="AA35" i="6"/>
  <c r="AB35" i="6"/>
  <c r="AD35" i="6"/>
  <c r="AE35" i="6"/>
  <c r="AF35" i="6"/>
  <c r="AG35" i="6"/>
  <c r="AH35" i="6"/>
  <c r="C36" i="6"/>
  <c r="D36" i="6"/>
  <c r="E36" i="6"/>
  <c r="F36" i="6"/>
  <c r="G36" i="6"/>
  <c r="H36" i="6"/>
  <c r="I36" i="6"/>
  <c r="J36" i="6"/>
  <c r="K36" i="6"/>
  <c r="L36" i="6"/>
  <c r="M36" i="6"/>
  <c r="N36" i="6"/>
  <c r="O36" i="6"/>
  <c r="P36" i="6"/>
  <c r="Q36" i="6"/>
  <c r="R36" i="6"/>
  <c r="S36" i="6"/>
  <c r="T36" i="6"/>
  <c r="U36" i="6"/>
  <c r="V36" i="6"/>
  <c r="W36" i="6"/>
  <c r="X36" i="6"/>
  <c r="Y36" i="6"/>
  <c r="Z36" i="6"/>
  <c r="AA36" i="6"/>
  <c r="AB36" i="6"/>
  <c r="AD36" i="6"/>
  <c r="AE36" i="6"/>
  <c r="AF36" i="6"/>
  <c r="AG36" i="6"/>
  <c r="AH36" i="6"/>
  <c r="C37" i="6"/>
  <c r="D37" i="6"/>
  <c r="E37" i="6"/>
  <c r="F37" i="6"/>
  <c r="G37" i="6"/>
  <c r="H37" i="6"/>
  <c r="I37" i="6"/>
  <c r="J37" i="6"/>
  <c r="K37" i="6"/>
  <c r="L37" i="6"/>
  <c r="M37" i="6"/>
  <c r="N37" i="6"/>
  <c r="O37" i="6"/>
  <c r="P37" i="6"/>
  <c r="Q37" i="6"/>
  <c r="R37" i="6"/>
  <c r="S37" i="6"/>
  <c r="T37" i="6"/>
  <c r="U37" i="6"/>
  <c r="V37" i="6"/>
  <c r="W37" i="6"/>
  <c r="X37" i="6"/>
  <c r="Y37" i="6"/>
  <c r="Z37" i="6"/>
  <c r="AA37" i="6"/>
  <c r="AB37" i="6"/>
  <c r="AD37" i="6"/>
  <c r="AE37" i="6"/>
  <c r="AF37" i="6"/>
  <c r="AG37" i="6"/>
  <c r="AH37" i="6"/>
  <c r="C38" i="6"/>
  <c r="D38" i="6"/>
  <c r="E38" i="6"/>
  <c r="F38" i="6"/>
  <c r="G38" i="6"/>
  <c r="H38" i="6"/>
  <c r="I38" i="6"/>
  <c r="J38" i="6"/>
  <c r="K38" i="6"/>
  <c r="L38" i="6"/>
  <c r="M38" i="6"/>
  <c r="N38" i="6"/>
  <c r="O38" i="6"/>
  <c r="P38" i="6"/>
  <c r="Q38" i="6"/>
  <c r="R38" i="6"/>
  <c r="S38" i="6"/>
  <c r="T38" i="6"/>
  <c r="U38" i="6"/>
  <c r="V38" i="6"/>
  <c r="W38" i="6"/>
  <c r="X38" i="6"/>
  <c r="Y38" i="6"/>
  <c r="Z38" i="6"/>
  <c r="AA38" i="6"/>
  <c r="AB38" i="6"/>
  <c r="AD38" i="6"/>
  <c r="AE38" i="6"/>
  <c r="AF38" i="6"/>
  <c r="AG38" i="6"/>
  <c r="AH38" i="6"/>
  <c r="C39" i="6"/>
  <c r="D39" i="6"/>
  <c r="E39" i="6"/>
  <c r="F39" i="6"/>
  <c r="G39" i="6"/>
  <c r="H39" i="6"/>
  <c r="I39" i="6"/>
  <c r="J39" i="6"/>
  <c r="K39" i="6"/>
  <c r="L39" i="6"/>
  <c r="M39" i="6"/>
  <c r="N39" i="6"/>
  <c r="O39" i="6"/>
  <c r="P39" i="6"/>
  <c r="Q39" i="6"/>
  <c r="R39" i="6"/>
  <c r="S39" i="6"/>
  <c r="T39" i="6"/>
  <c r="U39" i="6"/>
  <c r="V39" i="6"/>
  <c r="W39" i="6"/>
  <c r="X39" i="6"/>
  <c r="Y39" i="6"/>
  <c r="Z39" i="6"/>
  <c r="AA39" i="6"/>
  <c r="AB39" i="6"/>
  <c r="AD39" i="6"/>
  <c r="AE39" i="6"/>
  <c r="AF39" i="6"/>
  <c r="AG39" i="6"/>
  <c r="AH39" i="6"/>
  <c r="C40" i="6"/>
  <c r="D40" i="6"/>
  <c r="E40" i="6"/>
  <c r="F40" i="6"/>
  <c r="G40" i="6"/>
  <c r="H40" i="6"/>
  <c r="I40" i="6"/>
  <c r="J40" i="6"/>
  <c r="K40" i="6"/>
  <c r="L40" i="6"/>
  <c r="M40" i="6"/>
  <c r="N40" i="6"/>
  <c r="O40" i="6"/>
  <c r="P40" i="6"/>
  <c r="Q40" i="6"/>
  <c r="R40" i="6"/>
  <c r="S40" i="6"/>
  <c r="T40" i="6"/>
  <c r="U40" i="6"/>
  <c r="V40" i="6"/>
  <c r="W40" i="6"/>
  <c r="X40" i="6"/>
  <c r="Y40" i="6"/>
  <c r="Z40" i="6"/>
  <c r="AA40" i="6"/>
  <c r="AB40" i="6"/>
  <c r="AD40" i="6"/>
  <c r="AE40" i="6"/>
  <c r="AF40" i="6"/>
  <c r="AG40" i="6"/>
  <c r="AH40" i="6"/>
  <c r="C41" i="6"/>
  <c r="D41" i="6"/>
  <c r="E41" i="6"/>
  <c r="F41" i="6"/>
  <c r="G41" i="6"/>
  <c r="H41" i="6"/>
  <c r="I41" i="6"/>
  <c r="J41" i="6"/>
  <c r="K41" i="6"/>
  <c r="L41" i="6"/>
  <c r="M41" i="6"/>
  <c r="N41" i="6"/>
  <c r="O41" i="6"/>
  <c r="P41" i="6"/>
  <c r="Q41" i="6"/>
  <c r="R41" i="6"/>
  <c r="S41" i="6"/>
  <c r="T41" i="6"/>
  <c r="U41" i="6"/>
  <c r="V41" i="6"/>
  <c r="W41" i="6"/>
  <c r="X41" i="6"/>
  <c r="Y41" i="6"/>
  <c r="Z41" i="6"/>
  <c r="AA41" i="6"/>
  <c r="AB41" i="6"/>
  <c r="AD41" i="6"/>
  <c r="AE41" i="6"/>
  <c r="AF41" i="6"/>
  <c r="AG41" i="6"/>
  <c r="AH41" i="6"/>
  <c r="C42" i="6"/>
  <c r="D42" i="6"/>
  <c r="E42" i="6"/>
  <c r="F42" i="6"/>
  <c r="G42" i="6"/>
  <c r="H42" i="6"/>
  <c r="I42" i="6"/>
  <c r="J42" i="6"/>
  <c r="K42" i="6"/>
  <c r="L42" i="6"/>
  <c r="M42" i="6"/>
  <c r="N42" i="6"/>
  <c r="O42" i="6"/>
  <c r="P42" i="6"/>
  <c r="Q42" i="6"/>
  <c r="R42" i="6"/>
  <c r="S42" i="6"/>
  <c r="T42" i="6"/>
  <c r="U42" i="6"/>
  <c r="V42" i="6"/>
  <c r="W42" i="6"/>
  <c r="X42" i="6"/>
  <c r="Y42" i="6"/>
  <c r="Z42" i="6"/>
  <c r="AA42" i="6"/>
  <c r="AB42" i="6"/>
  <c r="AD42" i="6"/>
  <c r="AE42" i="6"/>
  <c r="AF42" i="6"/>
  <c r="AG42" i="6"/>
  <c r="AH42" i="6"/>
  <c r="C43" i="6"/>
  <c r="D43" i="6"/>
  <c r="E43" i="6"/>
  <c r="F43" i="6"/>
  <c r="G43" i="6"/>
  <c r="H43" i="6"/>
  <c r="I43" i="6"/>
  <c r="J43" i="6"/>
  <c r="K43" i="6"/>
  <c r="L43" i="6"/>
  <c r="M43" i="6"/>
  <c r="N43" i="6"/>
  <c r="O43" i="6"/>
  <c r="P43" i="6"/>
  <c r="Q43" i="6"/>
  <c r="R43" i="6"/>
  <c r="S43" i="6"/>
  <c r="T43" i="6"/>
  <c r="U43" i="6"/>
  <c r="V43" i="6"/>
  <c r="W43" i="6"/>
  <c r="X43" i="6"/>
  <c r="Y43" i="6"/>
  <c r="Z43" i="6"/>
  <c r="AA43" i="6"/>
  <c r="AB43" i="6"/>
  <c r="AD43" i="6"/>
  <c r="AE43" i="6"/>
  <c r="AF43" i="6"/>
  <c r="AG43" i="6"/>
  <c r="AH43" i="6"/>
  <c r="C44" i="6"/>
  <c r="D44" i="6"/>
  <c r="E44" i="6"/>
  <c r="F44" i="6"/>
  <c r="G44" i="6"/>
  <c r="H44" i="6"/>
  <c r="I44" i="6"/>
  <c r="J44" i="6"/>
  <c r="K44" i="6"/>
  <c r="L44" i="6"/>
  <c r="M44" i="6"/>
  <c r="N44" i="6"/>
  <c r="O44" i="6"/>
  <c r="P44" i="6"/>
  <c r="Q44" i="6"/>
  <c r="R44" i="6"/>
  <c r="S44" i="6"/>
  <c r="T44" i="6"/>
  <c r="U44" i="6"/>
  <c r="V44" i="6"/>
  <c r="W44" i="6"/>
  <c r="X44" i="6"/>
  <c r="Y44" i="6"/>
  <c r="Z44" i="6"/>
  <c r="AA44" i="6"/>
  <c r="AB44" i="6"/>
  <c r="AD44" i="6"/>
  <c r="AE44" i="6"/>
  <c r="AF44" i="6"/>
  <c r="AG44" i="6"/>
  <c r="AH44" i="6"/>
  <c r="C45" i="6"/>
  <c r="D45" i="6"/>
  <c r="E45" i="6"/>
  <c r="F45" i="6"/>
  <c r="G45" i="6"/>
  <c r="H45" i="6"/>
  <c r="I45" i="6"/>
  <c r="J45" i="6"/>
  <c r="K45" i="6"/>
  <c r="L45" i="6"/>
  <c r="M45" i="6"/>
  <c r="N45" i="6"/>
  <c r="O45" i="6"/>
  <c r="P45" i="6"/>
  <c r="Q45" i="6"/>
  <c r="R45" i="6"/>
  <c r="S45" i="6"/>
  <c r="T45" i="6"/>
  <c r="U45" i="6"/>
  <c r="V45" i="6"/>
  <c r="W45" i="6"/>
  <c r="X45" i="6"/>
  <c r="Y45" i="6"/>
  <c r="Z45" i="6"/>
  <c r="AA45" i="6"/>
  <c r="AB45" i="6"/>
  <c r="AD45" i="6"/>
  <c r="AE45" i="6"/>
  <c r="AF45" i="6"/>
  <c r="AG45" i="6"/>
  <c r="AH45" i="6"/>
  <c r="C46" i="6"/>
  <c r="D46" i="6"/>
  <c r="E46" i="6"/>
  <c r="F46" i="6"/>
  <c r="G46" i="6"/>
  <c r="H46" i="6"/>
  <c r="I46" i="6"/>
  <c r="J46" i="6"/>
  <c r="K46" i="6"/>
  <c r="L46" i="6"/>
  <c r="M46" i="6"/>
  <c r="N46" i="6"/>
  <c r="O46" i="6"/>
  <c r="P46" i="6"/>
  <c r="Q46" i="6"/>
  <c r="R46" i="6"/>
  <c r="S46" i="6"/>
  <c r="T46" i="6"/>
  <c r="U46" i="6"/>
  <c r="V46" i="6"/>
  <c r="W46" i="6"/>
  <c r="X46" i="6"/>
  <c r="Y46" i="6"/>
  <c r="Z46" i="6"/>
  <c r="AA46" i="6"/>
  <c r="AB46" i="6"/>
  <c r="AD46" i="6"/>
  <c r="AE46" i="6"/>
  <c r="AF46" i="6"/>
  <c r="AG46" i="6"/>
  <c r="AH46" i="6"/>
  <c r="C47" i="6"/>
  <c r="D47" i="6"/>
  <c r="E47" i="6"/>
  <c r="F47" i="6"/>
  <c r="G47" i="6"/>
  <c r="H47" i="6"/>
  <c r="I47" i="6"/>
  <c r="J47" i="6"/>
  <c r="K47" i="6"/>
  <c r="L47" i="6"/>
  <c r="M47" i="6"/>
  <c r="N47" i="6"/>
  <c r="O47" i="6"/>
  <c r="P47" i="6"/>
  <c r="Q47" i="6"/>
  <c r="R47" i="6"/>
  <c r="S47" i="6"/>
  <c r="T47" i="6"/>
  <c r="U47" i="6"/>
  <c r="V47" i="6"/>
  <c r="W47" i="6"/>
  <c r="X47" i="6"/>
  <c r="Y47" i="6"/>
  <c r="Z47" i="6"/>
  <c r="AA47" i="6"/>
  <c r="AB47" i="6"/>
  <c r="AD47" i="6"/>
  <c r="AE47" i="6"/>
  <c r="AF47" i="6"/>
  <c r="AG47" i="6"/>
  <c r="AH47" i="6"/>
  <c r="C48" i="6"/>
  <c r="D48" i="6"/>
  <c r="E48" i="6"/>
  <c r="F48" i="6"/>
  <c r="G48" i="6"/>
  <c r="H48" i="6"/>
  <c r="I48" i="6"/>
  <c r="J48" i="6"/>
  <c r="K48" i="6"/>
  <c r="L48" i="6"/>
  <c r="M48" i="6"/>
  <c r="N48" i="6"/>
  <c r="O48" i="6"/>
  <c r="P48" i="6"/>
  <c r="Q48" i="6"/>
  <c r="R48" i="6"/>
  <c r="S48" i="6"/>
  <c r="T48" i="6"/>
  <c r="U48" i="6"/>
  <c r="V48" i="6"/>
  <c r="W48" i="6"/>
  <c r="X48" i="6"/>
  <c r="Y48" i="6"/>
  <c r="Z48" i="6"/>
  <c r="AA48" i="6"/>
  <c r="AB48" i="6"/>
  <c r="AD48" i="6"/>
  <c r="AE48" i="6"/>
  <c r="AF48" i="6"/>
  <c r="AG48" i="6"/>
  <c r="AH48" i="6"/>
  <c r="C49" i="6"/>
  <c r="D49" i="6"/>
  <c r="E49" i="6"/>
  <c r="F49" i="6"/>
  <c r="G49" i="6"/>
  <c r="H49" i="6"/>
  <c r="I49" i="6"/>
  <c r="J49" i="6"/>
  <c r="K49" i="6"/>
  <c r="L49" i="6"/>
  <c r="M49" i="6"/>
  <c r="N49" i="6"/>
  <c r="O49" i="6"/>
  <c r="P49" i="6"/>
  <c r="Q49" i="6"/>
  <c r="R49" i="6"/>
  <c r="S49" i="6"/>
  <c r="T49" i="6"/>
  <c r="U49" i="6"/>
  <c r="V49" i="6"/>
  <c r="W49" i="6"/>
  <c r="X49" i="6"/>
  <c r="Y49" i="6"/>
  <c r="Z49" i="6"/>
  <c r="AA49" i="6"/>
  <c r="AB49" i="6"/>
  <c r="AD49" i="6"/>
  <c r="AE49" i="6"/>
  <c r="AF49" i="6"/>
  <c r="AG49" i="6"/>
  <c r="AH49" i="6"/>
  <c r="C50" i="6"/>
  <c r="D50" i="6"/>
  <c r="E50" i="6"/>
  <c r="F50" i="6"/>
  <c r="G50" i="6"/>
  <c r="H50" i="6"/>
  <c r="I50" i="6"/>
  <c r="J50" i="6"/>
  <c r="K50" i="6"/>
  <c r="L50" i="6"/>
  <c r="M50" i="6"/>
  <c r="N50" i="6"/>
  <c r="O50" i="6"/>
  <c r="P50" i="6"/>
  <c r="Q50" i="6"/>
  <c r="R50" i="6"/>
  <c r="S50" i="6"/>
  <c r="T50" i="6"/>
  <c r="U50" i="6"/>
  <c r="V50" i="6"/>
  <c r="W50" i="6"/>
  <c r="X50" i="6"/>
  <c r="Y50" i="6"/>
  <c r="Z50" i="6"/>
  <c r="AA50" i="6"/>
  <c r="AB50" i="6"/>
  <c r="AD50" i="6"/>
  <c r="AE50" i="6"/>
  <c r="AF50" i="6"/>
  <c r="AG50" i="6"/>
  <c r="AH50" i="6"/>
  <c r="C51" i="6"/>
  <c r="D51" i="6"/>
  <c r="E51" i="6"/>
  <c r="F51" i="6"/>
  <c r="G51" i="6"/>
  <c r="H51" i="6"/>
  <c r="I51" i="6"/>
  <c r="J51" i="6"/>
  <c r="K51" i="6"/>
  <c r="L51" i="6"/>
  <c r="M51" i="6"/>
  <c r="N51" i="6"/>
  <c r="O51" i="6"/>
  <c r="P51" i="6"/>
  <c r="Q51" i="6"/>
  <c r="R51" i="6"/>
  <c r="S51" i="6"/>
  <c r="T51" i="6"/>
  <c r="U51" i="6"/>
  <c r="V51" i="6"/>
  <c r="W51" i="6"/>
  <c r="X51" i="6"/>
  <c r="Y51" i="6"/>
  <c r="Z51" i="6"/>
  <c r="AA51" i="6"/>
  <c r="AB51" i="6"/>
  <c r="AD51" i="6"/>
  <c r="AE51" i="6"/>
  <c r="AF51" i="6"/>
  <c r="AG51" i="6"/>
  <c r="AH51" i="6"/>
  <c r="C52" i="6"/>
  <c r="D52" i="6"/>
  <c r="E52" i="6"/>
  <c r="F52" i="6"/>
  <c r="G52" i="6"/>
  <c r="H52" i="6"/>
  <c r="I52" i="6"/>
  <c r="J52" i="6"/>
  <c r="K52" i="6"/>
  <c r="L52" i="6"/>
  <c r="M52" i="6"/>
  <c r="N52" i="6"/>
  <c r="O52" i="6"/>
  <c r="P52" i="6"/>
  <c r="Q52" i="6"/>
  <c r="R52" i="6"/>
  <c r="S52" i="6"/>
  <c r="T52" i="6"/>
  <c r="U52" i="6"/>
  <c r="V52" i="6"/>
  <c r="W52" i="6"/>
  <c r="X52" i="6"/>
  <c r="Y52" i="6"/>
  <c r="Z52" i="6"/>
  <c r="AA52" i="6"/>
  <c r="AB52" i="6"/>
  <c r="AD52" i="6"/>
  <c r="AE52" i="6"/>
  <c r="AF52" i="6"/>
  <c r="AG52" i="6"/>
  <c r="AH52" i="6"/>
  <c r="C53" i="6"/>
  <c r="D53" i="6"/>
  <c r="E53" i="6"/>
  <c r="F53" i="6"/>
  <c r="G53" i="6"/>
  <c r="H53" i="6"/>
  <c r="I53" i="6"/>
  <c r="J53" i="6"/>
  <c r="K53" i="6"/>
  <c r="L53" i="6"/>
  <c r="M53" i="6"/>
  <c r="N53" i="6"/>
  <c r="O53" i="6"/>
  <c r="P53" i="6"/>
  <c r="Q53" i="6"/>
  <c r="R53" i="6"/>
  <c r="S53" i="6"/>
  <c r="T53" i="6"/>
  <c r="U53" i="6"/>
  <c r="V53" i="6"/>
  <c r="W53" i="6"/>
  <c r="X53" i="6"/>
  <c r="Y53" i="6"/>
  <c r="Z53" i="6"/>
  <c r="AA53" i="6"/>
  <c r="AB53" i="6"/>
  <c r="AD53" i="6"/>
  <c r="AE53" i="6"/>
  <c r="AF53" i="6"/>
  <c r="AG53" i="6"/>
  <c r="AH53" i="6"/>
  <c r="C54" i="6"/>
  <c r="D54" i="6"/>
  <c r="E54" i="6"/>
  <c r="F54" i="6"/>
  <c r="G54" i="6"/>
  <c r="H54" i="6"/>
  <c r="I54" i="6"/>
  <c r="J54" i="6"/>
  <c r="K54" i="6"/>
  <c r="L54" i="6"/>
  <c r="M54" i="6"/>
  <c r="N54" i="6"/>
  <c r="O54" i="6"/>
  <c r="P54" i="6"/>
  <c r="Q54" i="6"/>
  <c r="R54" i="6"/>
  <c r="S54" i="6"/>
  <c r="T54" i="6"/>
  <c r="U54" i="6"/>
  <c r="V54" i="6"/>
  <c r="W54" i="6"/>
  <c r="X54" i="6"/>
  <c r="Y54" i="6"/>
  <c r="Z54" i="6"/>
  <c r="AA54" i="6"/>
  <c r="AB54" i="6"/>
  <c r="AD54" i="6"/>
  <c r="AE54" i="6"/>
  <c r="AF54" i="6"/>
  <c r="AG54" i="6"/>
  <c r="AH54" i="6"/>
  <c r="C55" i="6"/>
  <c r="D55" i="6"/>
  <c r="E55" i="6"/>
  <c r="F55" i="6"/>
  <c r="G55" i="6"/>
  <c r="H55" i="6"/>
  <c r="I55" i="6"/>
  <c r="J55" i="6"/>
  <c r="K55" i="6"/>
  <c r="L55" i="6"/>
  <c r="M55" i="6"/>
  <c r="N55" i="6"/>
  <c r="O55" i="6"/>
  <c r="P55" i="6"/>
  <c r="Q55" i="6"/>
  <c r="R55" i="6"/>
  <c r="S55" i="6"/>
  <c r="T55" i="6"/>
  <c r="U55" i="6"/>
  <c r="V55" i="6"/>
  <c r="W55" i="6"/>
  <c r="X55" i="6"/>
  <c r="Y55" i="6"/>
  <c r="Z55" i="6"/>
  <c r="AA55" i="6"/>
  <c r="AB55" i="6"/>
  <c r="AD55" i="6"/>
  <c r="AE55" i="6"/>
  <c r="AF55" i="6"/>
  <c r="AG55" i="6"/>
  <c r="AH55" i="6"/>
  <c r="C56" i="6"/>
  <c r="D56" i="6"/>
  <c r="E56" i="6"/>
  <c r="F56" i="6"/>
  <c r="G56" i="6"/>
  <c r="H56" i="6"/>
  <c r="I56" i="6"/>
  <c r="J56" i="6"/>
  <c r="K56" i="6"/>
  <c r="L56" i="6"/>
  <c r="M56" i="6"/>
  <c r="N56" i="6"/>
  <c r="O56" i="6"/>
  <c r="P56" i="6"/>
  <c r="Q56" i="6"/>
  <c r="R56" i="6"/>
  <c r="S56" i="6"/>
  <c r="T56" i="6"/>
  <c r="U56" i="6"/>
  <c r="V56" i="6"/>
  <c r="W56" i="6"/>
  <c r="X56" i="6"/>
  <c r="Y56" i="6"/>
  <c r="Z56" i="6"/>
  <c r="AA56" i="6"/>
  <c r="AB56" i="6"/>
  <c r="AD56" i="6"/>
  <c r="AE56" i="6"/>
  <c r="AF56" i="6"/>
  <c r="AG56" i="6"/>
  <c r="AH56" i="6"/>
  <c r="C57" i="6"/>
  <c r="D57" i="6"/>
  <c r="E57" i="6"/>
  <c r="F57" i="6"/>
  <c r="G57" i="6"/>
  <c r="H57" i="6"/>
  <c r="I57" i="6"/>
  <c r="J57" i="6"/>
  <c r="K57" i="6"/>
  <c r="L57" i="6"/>
  <c r="M57" i="6"/>
  <c r="N57" i="6"/>
  <c r="O57" i="6"/>
  <c r="P57" i="6"/>
  <c r="Q57" i="6"/>
  <c r="R57" i="6"/>
  <c r="S57" i="6"/>
  <c r="T57" i="6"/>
  <c r="U57" i="6"/>
  <c r="V57" i="6"/>
  <c r="W57" i="6"/>
  <c r="X57" i="6"/>
  <c r="Y57" i="6"/>
  <c r="Z57" i="6"/>
  <c r="AA57" i="6"/>
  <c r="AB57" i="6"/>
  <c r="AD57" i="6"/>
  <c r="AE57" i="6"/>
  <c r="AF57" i="6"/>
  <c r="AG57" i="6"/>
  <c r="AH57" i="6"/>
  <c r="C58" i="6"/>
  <c r="D58" i="6"/>
  <c r="E58" i="6"/>
  <c r="F58" i="6"/>
  <c r="G58" i="6"/>
  <c r="H58" i="6"/>
  <c r="I58" i="6"/>
  <c r="J58" i="6"/>
  <c r="K58" i="6"/>
  <c r="L58" i="6"/>
  <c r="M58" i="6"/>
  <c r="N58" i="6"/>
  <c r="O58" i="6"/>
  <c r="P58" i="6"/>
  <c r="Q58" i="6"/>
  <c r="R58" i="6"/>
  <c r="S58" i="6"/>
  <c r="T58" i="6"/>
  <c r="U58" i="6"/>
  <c r="V58" i="6"/>
  <c r="W58" i="6"/>
  <c r="X58" i="6"/>
  <c r="Y58" i="6"/>
  <c r="Z58" i="6"/>
  <c r="AA58" i="6"/>
  <c r="AB58" i="6"/>
  <c r="AD58" i="6"/>
  <c r="AE58" i="6"/>
  <c r="AF58" i="6"/>
  <c r="AG58" i="6"/>
  <c r="AH58" i="6"/>
  <c r="C59" i="6"/>
  <c r="D59" i="6"/>
  <c r="E59" i="6"/>
  <c r="F59" i="6"/>
  <c r="G59" i="6"/>
  <c r="H59" i="6"/>
  <c r="I59" i="6"/>
  <c r="J59" i="6"/>
  <c r="K59" i="6"/>
  <c r="L59" i="6"/>
  <c r="M59" i="6"/>
  <c r="N59" i="6"/>
  <c r="O59" i="6"/>
  <c r="P59" i="6"/>
  <c r="Q59" i="6"/>
  <c r="R59" i="6"/>
  <c r="S59" i="6"/>
  <c r="T59" i="6"/>
  <c r="U59" i="6"/>
  <c r="V59" i="6"/>
  <c r="W59" i="6"/>
  <c r="X59" i="6"/>
  <c r="Y59" i="6"/>
  <c r="Z59" i="6"/>
  <c r="AA59" i="6"/>
  <c r="AB59" i="6"/>
  <c r="AD59" i="6"/>
  <c r="AE59" i="6"/>
  <c r="AF59" i="6"/>
  <c r="AG59" i="6"/>
  <c r="AH59" i="6"/>
  <c r="C60" i="6"/>
  <c r="D60" i="6"/>
  <c r="E60" i="6"/>
  <c r="F60" i="6"/>
  <c r="G60" i="6"/>
  <c r="H60" i="6"/>
  <c r="I60" i="6"/>
  <c r="J60" i="6"/>
  <c r="K60" i="6"/>
  <c r="L60" i="6"/>
  <c r="M60" i="6"/>
  <c r="N60" i="6"/>
  <c r="O60" i="6"/>
  <c r="P60" i="6"/>
  <c r="Q60" i="6"/>
  <c r="R60" i="6"/>
  <c r="S60" i="6"/>
  <c r="T60" i="6"/>
  <c r="U60" i="6"/>
  <c r="V60" i="6"/>
  <c r="W60" i="6"/>
  <c r="X60" i="6"/>
  <c r="Y60" i="6"/>
  <c r="Z60" i="6"/>
  <c r="AA60" i="6"/>
  <c r="AB60" i="6"/>
  <c r="AD60" i="6"/>
  <c r="AE60" i="6"/>
  <c r="AF60" i="6"/>
  <c r="AG60" i="6"/>
  <c r="AH60" i="6"/>
  <c r="C61" i="6"/>
  <c r="D61" i="6"/>
  <c r="E61" i="6"/>
  <c r="F61" i="6"/>
  <c r="G61" i="6"/>
  <c r="H61" i="6"/>
  <c r="I61" i="6"/>
  <c r="J61" i="6"/>
  <c r="K61" i="6"/>
  <c r="L61" i="6"/>
  <c r="M61" i="6"/>
  <c r="N61" i="6"/>
  <c r="O61" i="6"/>
  <c r="P61" i="6"/>
  <c r="Q61" i="6"/>
  <c r="R61" i="6"/>
  <c r="S61" i="6"/>
  <c r="T61" i="6"/>
  <c r="U61" i="6"/>
  <c r="V61" i="6"/>
  <c r="W61" i="6"/>
  <c r="X61" i="6"/>
  <c r="Y61" i="6"/>
  <c r="Z61" i="6"/>
  <c r="AA61" i="6"/>
  <c r="AB61" i="6"/>
  <c r="AD61" i="6"/>
  <c r="AE61" i="6"/>
  <c r="AF61" i="6"/>
  <c r="AG61" i="6"/>
  <c r="AH61" i="6"/>
  <c r="C62" i="6"/>
  <c r="D62" i="6"/>
  <c r="E62" i="6"/>
  <c r="F62" i="6"/>
  <c r="G62" i="6"/>
  <c r="H62" i="6"/>
  <c r="I62" i="6"/>
  <c r="J62" i="6"/>
  <c r="K62" i="6"/>
  <c r="L62" i="6"/>
  <c r="M62" i="6"/>
  <c r="N62" i="6"/>
  <c r="O62" i="6"/>
  <c r="P62" i="6"/>
  <c r="Q62" i="6"/>
  <c r="R62" i="6"/>
  <c r="S62" i="6"/>
  <c r="T62" i="6"/>
  <c r="U62" i="6"/>
  <c r="V62" i="6"/>
  <c r="W62" i="6"/>
  <c r="X62" i="6"/>
  <c r="Y62" i="6"/>
  <c r="Z62" i="6"/>
  <c r="AA62" i="6"/>
  <c r="AB62" i="6"/>
  <c r="AD62" i="6"/>
  <c r="AE62" i="6"/>
  <c r="AF62" i="6"/>
  <c r="AG62" i="6"/>
  <c r="AH62" i="6"/>
  <c r="C63" i="6"/>
  <c r="D63" i="6"/>
  <c r="E63" i="6"/>
  <c r="F63" i="6"/>
  <c r="G63" i="6"/>
  <c r="H63" i="6"/>
  <c r="I63" i="6"/>
  <c r="J63" i="6"/>
  <c r="K63" i="6"/>
  <c r="L63" i="6"/>
  <c r="M63" i="6"/>
  <c r="N63" i="6"/>
  <c r="O63" i="6"/>
  <c r="P63" i="6"/>
  <c r="Q63" i="6"/>
  <c r="R63" i="6"/>
  <c r="S63" i="6"/>
  <c r="T63" i="6"/>
  <c r="U63" i="6"/>
  <c r="V63" i="6"/>
  <c r="W63" i="6"/>
  <c r="X63" i="6"/>
  <c r="Y63" i="6"/>
  <c r="Z63" i="6"/>
  <c r="AA63" i="6"/>
  <c r="AB63" i="6"/>
  <c r="AD63" i="6"/>
  <c r="AE63" i="6"/>
  <c r="AF63" i="6"/>
  <c r="AG63" i="6"/>
  <c r="AH63" i="6"/>
  <c r="C64" i="6"/>
  <c r="D64" i="6"/>
  <c r="E64" i="6"/>
  <c r="F64" i="6"/>
  <c r="G64" i="6"/>
  <c r="H64" i="6"/>
  <c r="I64" i="6"/>
  <c r="J64" i="6"/>
  <c r="K64" i="6"/>
  <c r="L64" i="6"/>
  <c r="M64" i="6"/>
  <c r="N64" i="6"/>
  <c r="O64" i="6"/>
  <c r="P64" i="6"/>
  <c r="Q64" i="6"/>
  <c r="R64" i="6"/>
  <c r="S64" i="6"/>
  <c r="T64" i="6"/>
  <c r="U64" i="6"/>
  <c r="V64" i="6"/>
  <c r="W64" i="6"/>
  <c r="X64" i="6"/>
  <c r="Y64" i="6"/>
  <c r="Z64" i="6"/>
  <c r="AA64" i="6"/>
  <c r="AB64" i="6"/>
  <c r="AD64" i="6"/>
  <c r="AE64" i="6"/>
  <c r="AF64" i="6"/>
  <c r="AG64" i="6"/>
  <c r="AH64" i="6"/>
  <c r="C65" i="6"/>
  <c r="D65" i="6"/>
  <c r="E65" i="6"/>
  <c r="F65" i="6"/>
  <c r="G65" i="6"/>
  <c r="H65" i="6"/>
  <c r="I65" i="6"/>
  <c r="J65" i="6"/>
  <c r="K65" i="6"/>
  <c r="L65" i="6"/>
  <c r="M65" i="6"/>
  <c r="N65" i="6"/>
  <c r="O65" i="6"/>
  <c r="P65" i="6"/>
  <c r="Q65" i="6"/>
  <c r="R65" i="6"/>
  <c r="S65" i="6"/>
  <c r="T65" i="6"/>
  <c r="U65" i="6"/>
  <c r="V65" i="6"/>
  <c r="W65" i="6"/>
  <c r="X65" i="6"/>
  <c r="Y65" i="6"/>
  <c r="Z65" i="6"/>
  <c r="AA65" i="6"/>
  <c r="AB65" i="6"/>
  <c r="AD65" i="6"/>
  <c r="AE65" i="6"/>
  <c r="AF65" i="6"/>
  <c r="AG65" i="6"/>
  <c r="AH65" i="6"/>
  <c r="C66" i="6"/>
  <c r="D66" i="6"/>
  <c r="E66" i="6"/>
  <c r="F66" i="6"/>
  <c r="G66" i="6"/>
  <c r="H66" i="6"/>
  <c r="I66" i="6"/>
  <c r="J66" i="6"/>
  <c r="K66" i="6"/>
  <c r="L66" i="6"/>
  <c r="M66" i="6"/>
  <c r="N66" i="6"/>
  <c r="O66" i="6"/>
  <c r="P66" i="6"/>
  <c r="Q66" i="6"/>
  <c r="R66" i="6"/>
  <c r="S66" i="6"/>
  <c r="T66" i="6"/>
  <c r="U66" i="6"/>
  <c r="V66" i="6"/>
  <c r="W66" i="6"/>
  <c r="X66" i="6"/>
  <c r="Y66" i="6"/>
  <c r="Z66" i="6"/>
  <c r="AA66" i="6"/>
  <c r="AB66" i="6"/>
  <c r="AD66" i="6"/>
  <c r="AE66" i="6"/>
  <c r="AF66" i="6"/>
  <c r="AG66" i="6"/>
  <c r="AH66" i="6"/>
  <c r="C67" i="6"/>
  <c r="D67" i="6"/>
  <c r="E67" i="6"/>
  <c r="F67" i="6"/>
  <c r="G67" i="6"/>
  <c r="H67" i="6"/>
  <c r="I67" i="6"/>
  <c r="J67" i="6"/>
  <c r="K67" i="6"/>
  <c r="L67" i="6"/>
  <c r="M67" i="6"/>
  <c r="N67" i="6"/>
  <c r="O67" i="6"/>
  <c r="P67" i="6"/>
  <c r="Q67" i="6"/>
  <c r="R67" i="6"/>
  <c r="S67" i="6"/>
  <c r="T67" i="6"/>
  <c r="U67" i="6"/>
  <c r="V67" i="6"/>
  <c r="W67" i="6"/>
  <c r="X67" i="6"/>
  <c r="Y67" i="6"/>
  <c r="Z67" i="6"/>
  <c r="AA67" i="6"/>
  <c r="AB67" i="6"/>
  <c r="AD67" i="6"/>
  <c r="AE67" i="6"/>
  <c r="AF67" i="6"/>
  <c r="AG67" i="6"/>
  <c r="AH67" i="6"/>
  <c r="C68" i="6"/>
  <c r="D68" i="6"/>
  <c r="E68" i="6"/>
  <c r="F68" i="6"/>
  <c r="G68" i="6"/>
  <c r="H68" i="6"/>
  <c r="I68" i="6"/>
  <c r="J68" i="6"/>
  <c r="K68" i="6"/>
  <c r="L68" i="6"/>
  <c r="M68" i="6"/>
  <c r="N68" i="6"/>
  <c r="O68" i="6"/>
  <c r="P68" i="6"/>
  <c r="Q68" i="6"/>
  <c r="R68" i="6"/>
  <c r="S68" i="6"/>
  <c r="T68" i="6"/>
  <c r="U68" i="6"/>
  <c r="V68" i="6"/>
  <c r="W68" i="6"/>
  <c r="X68" i="6"/>
  <c r="Y68" i="6"/>
  <c r="Z68" i="6"/>
  <c r="AA68" i="6"/>
  <c r="AB68" i="6"/>
  <c r="AD68" i="6"/>
  <c r="AE68" i="6"/>
  <c r="AF68" i="6"/>
  <c r="AG68" i="6"/>
  <c r="AH68" i="6"/>
  <c r="C69" i="6"/>
  <c r="D69" i="6"/>
  <c r="E69" i="6"/>
  <c r="F69" i="6"/>
  <c r="G69" i="6"/>
  <c r="H69" i="6"/>
  <c r="I69" i="6"/>
  <c r="J69" i="6"/>
  <c r="K69" i="6"/>
  <c r="L69" i="6"/>
  <c r="M69" i="6"/>
  <c r="N69" i="6"/>
  <c r="O69" i="6"/>
  <c r="P69" i="6"/>
  <c r="Q69" i="6"/>
  <c r="R69" i="6"/>
  <c r="S69" i="6"/>
  <c r="T69" i="6"/>
  <c r="U69" i="6"/>
  <c r="V69" i="6"/>
  <c r="W69" i="6"/>
  <c r="X69" i="6"/>
  <c r="Y69" i="6"/>
  <c r="Z69" i="6"/>
  <c r="AA69" i="6"/>
  <c r="AB69" i="6"/>
  <c r="AD69" i="6"/>
  <c r="AE69" i="6"/>
  <c r="AF69" i="6"/>
  <c r="AG69" i="6"/>
  <c r="AH69" i="6"/>
  <c r="C70" i="6"/>
  <c r="D70" i="6"/>
  <c r="E70" i="6"/>
  <c r="F70" i="6"/>
  <c r="G70" i="6"/>
  <c r="H70" i="6"/>
  <c r="I70" i="6"/>
  <c r="J70" i="6"/>
  <c r="K70" i="6"/>
  <c r="L70" i="6"/>
  <c r="M70" i="6"/>
  <c r="N70" i="6"/>
  <c r="O70" i="6"/>
  <c r="P70" i="6"/>
  <c r="Q70" i="6"/>
  <c r="R70" i="6"/>
  <c r="S70" i="6"/>
  <c r="T70" i="6"/>
  <c r="U70" i="6"/>
  <c r="V70" i="6"/>
  <c r="W70" i="6"/>
  <c r="X70" i="6"/>
  <c r="Y70" i="6"/>
  <c r="Z70" i="6"/>
  <c r="AA70" i="6"/>
  <c r="AB70" i="6"/>
  <c r="AD70" i="6"/>
  <c r="AE70" i="6"/>
  <c r="AF70" i="6"/>
  <c r="AG70" i="6"/>
  <c r="AH70" i="6"/>
  <c r="C71" i="6"/>
  <c r="D71" i="6"/>
  <c r="E71" i="6"/>
  <c r="F71" i="6"/>
  <c r="G71" i="6"/>
  <c r="H71" i="6"/>
  <c r="I71" i="6"/>
  <c r="J71" i="6"/>
  <c r="K71" i="6"/>
  <c r="L71" i="6"/>
  <c r="M71" i="6"/>
  <c r="N71" i="6"/>
  <c r="O71" i="6"/>
  <c r="P71" i="6"/>
  <c r="Q71" i="6"/>
  <c r="R71" i="6"/>
  <c r="S71" i="6"/>
  <c r="T71" i="6"/>
  <c r="U71" i="6"/>
  <c r="V71" i="6"/>
  <c r="W71" i="6"/>
  <c r="X71" i="6"/>
  <c r="Y71" i="6"/>
  <c r="Z71" i="6"/>
  <c r="AA71" i="6"/>
  <c r="AB71" i="6"/>
  <c r="AD71" i="6"/>
  <c r="AE71" i="6"/>
  <c r="AF71" i="6"/>
  <c r="AG71" i="6"/>
  <c r="AH71" i="6"/>
  <c r="C72" i="6"/>
  <c r="D72" i="6"/>
  <c r="E72" i="6"/>
  <c r="F72" i="6"/>
  <c r="G72" i="6"/>
  <c r="H72" i="6"/>
  <c r="I72" i="6"/>
  <c r="J72" i="6"/>
  <c r="K72" i="6"/>
  <c r="L72" i="6"/>
  <c r="M72" i="6"/>
  <c r="N72" i="6"/>
  <c r="O72" i="6"/>
  <c r="P72" i="6"/>
  <c r="Q72" i="6"/>
  <c r="R72" i="6"/>
  <c r="S72" i="6"/>
  <c r="T72" i="6"/>
  <c r="U72" i="6"/>
  <c r="V72" i="6"/>
  <c r="W72" i="6"/>
  <c r="X72" i="6"/>
  <c r="Y72" i="6"/>
  <c r="Z72" i="6"/>
  <c r="AA72" i="6"/>
  <c r="AB72" i="6"/>
  <c r="AD72" i="6"/>
  <c r="AE72" i="6"/>
  <c r="AF72" i="6"/>
  <c r="AG72" i="6"/>
  <c r="AH72" i="6"/>
  <c r="C73" i="6"/>
  <c r="D73" i="6"/>
  <c r="E73" i="6"/>
  <c r="F73" i="6"/>
  <c r="G73" i="6"/>
  <c r="H73" i="6"/>
  <c r="I73" i="6"/>
  <c r="J73" i="6"/>
  <c r="K73" i="6"/>
  <c r="L73" i="6"/>
  <c r="M73" i="6"/>
  <c r="N73" i="6"/>
  <c r="O73" i="6"/>
  <c r="P73" i="6"/>
  <c r="Q73" i="6"/>
  <c r="R73" i="6"/>
  <c r="S73" i="6"/>
  <c r="T73" i="6"/>
  <c r="U73" i="6"/>
  <c r="V73" i="6"/>
  <c r="W73" i="6"/>
  <c r="X73" i="6"/>
  <c r="Y73" i="6"/>
  <c r="Z73" i="6"/>
  <c r="AA73" i="6"/>
  <c r="AB73" i="6"/>
  <c r="AD73" i="6"/>
  <c r="AE73" i="6"/>
  <c r="AF73" i="6"/>
  <c r="AG73" i="6"/>
  <c r="AH73" i="6"/>
  <c r="C74" i="6"/>
  <c r="D74" i="6"/>
  <c r="E74" i="6"/>
  <c r="F74" i="6"/>
  <c r="G74" i="6"/>
  <c r="H74" i="6"/>
  <c r="I74" i="6"/>
  <c r="J74" i="6"/>
  <c r="K74" i="6"/>
  <c r="L74" i="6"/>
  <c r="M74" i="6"/>
  <c r="N74" i="6"/>
  <c r="O74" i="6"/>
  <c r="P74" i="6"/>
  <c r="Q74" i="6"/>
  <c r="R74" i="6"/>
  <c r="S74" i="6"/>
  <c r="T74" i="6"/>
  <c r="U74" i="6"/>
  <c r="V74" i="6"/>
  <c r="W74" i="6"/>
  <c r="X74" i="6"/>
  <c r="Y74" i="6"/>
  <c r="Z74" i="6"/>
  <c r="AA74" i="6"/>
  <c r="AB74" i="6"/>
  <c r="AD74" i="6"/>
  <c r="AE74" i="6"/>
  <c r="AF74" i="6"/>
  <c r="AG74" i="6"/>
  <c r="AH74" i="6"/>
  <c r="C75" i="6"/>
  <c r="D75" i="6"/>
  <c r="E75" i="6"/>
  <c r="F75" i="6"/>
  <c r="G75" i="6"/>
  <c r="H75" i="6"/>
  <c r="I75" i="6"/>
  <c r="J75" i="6"/>
  <c r="K75" i="6"/>
  <c r="L75" i="6"/>
  <c r="M75" i="6"/>
  <c r="N75" i="6"/>
  <c r="O75" i="6"/>
  <c r="P75" i="6"/>
  <c r="Q75" i="6"/>
  <c r="R75" i="6"/>
  <c r="S75" i="6"/>
  <c r="T75" i="6"/>
  <c r="U75" i="6"/>
  <c r="V75" i="6"/>
  <c r="W75" i="6"/>
  <c r="X75" i="6"/>
  <c r="Y75" i="6"/>
  <c r="Z75" i="6"/>
  <c r="AA75" i="6"/>
  <c r="AB75" i="6"/>
  <c r="AD75" i="6"/>
  <c r="AE75" i="6"/>
  <c r="AF75" i="6"/>
  <c r="AG75" i="6"/>
  <c r="AH75" i="6"/>
  <c r="C76" i="6"/>
  <c r="D76" i="6"/>
  <c r="E76" i="6"/>
  <c r="F76" i="6"/>
  <c r="G76" i="6"/>
  <c r="H76" i="6"/>
  <c r="I76" i="6"/>
  <c r="J76" i="6"/>
  <c r="K76" i="6"/>
  <c r="L76" i="6"/>
  <c r="M76" i="6"/>
  <c r="N76" i="6"/>
  <c r="O76" i="6"/>
  <c r="P76" i="6"/>
  <c r="Q76" i="6"/>
  <c r="R76" i="6"/>
  <c r="S76" i="6"/>
  <c r="T76" i="6"/>
  <c r="U76" i="6"/>
  <c r="V76" i="6"/>
  <c r="W76" i="6"/>
  <c r="X76" i="6"/>
  <c r="Y76" i="6"/>
  <c r="Z76" i="6"/>
  <c r="AA76" i="6"/>
  <c r="AB76" i="6"/>
  <c r="AD76" i="6"/>
  <c r="AE76" i="6"/>
  <c r="AF76" i="6"/>
  <c r="AG76" i="6"/>
  <c r="AH76" i="6"/>
  <c r="C77" i="6"/>
  <c r="D77" i="6"/>
  <c r="E77" i="6"/>
  <c r="F77" i="6"/>
  <c r="G77" i="6"/>
  <c r="H77" i="6"/>
  <c r="I77" i="6"/>
  <c r="J77" i="6"/>
  <c r="K77" i="6"/>
  <c r="L77" i="6"/>
  <c r="M77" i="6"/>
  <c r="N77" i="6"/>
  <c r="O77" i="6"/>
  <c r="P77" i="6"/>
  <c r="Q77" i="6"/>
  <c r="R77" i="6"/>
  <c r="S77" i="6"/>
  <c r="T77" i="6"/>
  <c r="U77" i="6"/>
  <c r="V77" i="6"/>
  <c r="W77" i="6"/>
  <c r="X77" i="6"/>
  <c r="Y77" i="6"/>
  <c r="Z77" i="6"/>
  <c r="AA77" i="6"/>
  <c r="AB77" i="6"/>
  <c r="AD77" i="6"/>
  <c r="AE77" i="6"/>
  <c r="AF77" i="6"/>
  <c r="AG77" i="6"/>
  <c r="AH77" i="6"/>
  <c r="C78" i="6"/>
  <c r="D78" i="6"/>
  <c r="E78" i="6"/>
  <c r="F78" i="6"/>
  <c r="G78" i="6"/>
  <c r="H78" i="6"/>
  <c r="I78" i="6"/>
  <c r="J78" i="6"/>
  <c r="K78" i="6"/>
  <c r="L78" i="6"/>
  <c r="M78" i="6"/>
  <c r="N78" i="6"/>
  <c r="O78" i="6"/>
  <c r="P78" i="6"/>
  <c r="Q78" i="6"/>
  <c r="R78" i="6"/>
  <c r="S78" i="6"/>
  <c r="T78" i="6"/>
  <c r="U78" i="6"/>
  <c r="V78" i="6"/>
  <c r="W78" i="6"/>
  <c r="X78" i="6"/>
  <c r="Y78" i="6"/>
  <c r="Z78" i="6"/>
  <c r="AA78" i="6"/>
  <c r="AB78" i="6"/>
  <c r="AD78" i="6"/>
  <c r="AE78" i="6"/>
  <c r="AF78" i="6"/>
  <c r="AG78" i="6"/>
  <c r="AH78" i="6"/>
  <c r="C79" i="6"/>
  <c r="D79" i="6"/>
  <c r="E79" i="6"/>
  <c r="F79" i="6"/>
  <c r="G79" i="6"/>
  <c r="H79" i="6"/>
  <c r="I79" i="6"/>
  <c r="J79" i="6"/>
  <c r="K79" i="6"/>
  <c r="L79" i="6"/>
  <c r="M79" i="6"/>
  <c r="N79" i="6"/>
  <c r="O79" i="6"/>
  <c r="P79" i="6"/>
  <c r="Q79" i="6"/>
  <c r="R79" i="6"/>
  <c r="S79" i="6"/>
  <c r="T79" i="6"/>
  <c r="U79" i="6"/>
  <c r="V79" i="6"/>
  <c r="W79" i="6"/>
  <c r="X79" i="6"/>
  <c r="Y79" i="6"/>
  <c r="Z79" i="6"/>
  <c r="AA79" i="6"/>
  <c r="AB79" i="6"/>
  <c r="AD79" i="6"/>
  <c r="AE79" i="6"/>
  <c r="AF79" i="6"/>
  <c r="AG79" i="6"/>
  <c r="AH79" i="6"/>
  <c r="C80" i="6"/>
  <c r="D80" i="6"/>
  <c r="E80" i="6"/>
  <c r="F80" i="6"/>
  <c r="G80" i="6"/>
  <c r="H80" i="6"/>
  <c r="I80" i="6"/>
  <c r="J80" i="6"/>
  <c r="K80" i="6"/>
  <c r="L80" i="6"/>
  <c r="M80" i="6"/>
  <c r="N80" i="6"/>
  <c r="O80" i="6"/>
  <c r="P80" i="6"/>
  <c r="Q80" i="6"/>
  <c r="R80" i="6"/>
  <c r="S80" i="6"/>
  <c r="T80" i="6"/>
  <c r="U80" i="6"/>
  <c r="V80" i="6"/>
  <c r="W80" i="6"/>
  <c r="X80" i="6"/>
  <c r="Y80" i="6"/>
  <c r="Z80" i="6"/>
  <c r="AA80" i="6"/>
  <c r="AB80" i="6"/>
  <c r="AD80" i="6"/>
  <c r="AE80" i="6"/>
  <c r="AF80" i="6"/>
  <c r="AG80" i="6"/>
  <c r="AH80" i="6"/>
  <c r="C81" i="6"/>
  <c r="D81" i="6"/>
  <c r="E81" i="6"/>
  <c r="F81" i="6"/>
  <c r="G81" i="6"/>
  <c r="H81" i="6"/>
  <c r="I81" i="6"/>
  <c r="J81" i="6"/>
  <c r="K81" i="6"/>
  <c r="L81" i="6"/>
  <c r="M81" i="6"/>
  <c r="N81" i="6"/>
  <c r="O81" i="6"/>
  <c r="P81" i="6"/>
  <c r="Q81" i="6"/>
  <c r="R81" i="6"/>
  <c r="S81" i="6"/>
  <c r="T81" i="6"/>
  <c r="U81" i="6"/>
  <c r="V81" i="6"/>
  <c r="W81" i="6"/>
  <c r="X81" i="6"/>
  <c r="Y81" i="6"/>
  <c r="Z81" i="6"/>
  <c r="AA81" i="6"/>
  <c r="AB81" i="6"/>
  <c r="AD81" i="6"/>
  <c r="AE81" i="6"/>
  <c r="AF81" i="6"/>
  <c r="AG81" i="6"/>
  <c r="AH81" i="6"/>
  <c r="C82" i="6"/>
  <c r="D82" i="6"/>
  <c r="E82" i="6"/>
  <c r="F82" i="6"/>
  <c r="G82" i="6"/>
  <c r="H82" i="6"/>
  <c r="I82" i="6"/>
  <c r="J82" i="6"/>
  <c r="K82" i="6"/>
  <c r="L82" i="6"/>
  <c r="M82" i="6"/>
  <c r="N82" i="6"/>
  <c r="O82" i="6"/>
  <c r="P82" i="6"/>
  <c r="Q82" i="6"/>
  <c r="R82" i="6"/>
  <c r="S82" i="6"/>
  <c r="T82" i="6"/>
  <c r="U82" i="6"/>
  <c r="V82" i="6"/>
  <c r="W82" i="6"/>
  <c r="X82" i="6"/>
  <c r="Y82" i="6"/>
  <c r="Z82" i="6"/>
  <c r="AA82" i="6"/>
  <c r="AB82" i="6"/>
  <c r="AD82" i="6"/>
  <c r="AE82" i="6"/>
  <c r="AF82" i="6"/>
  <c r="AG82" i="6"/>
  <c r="AH82" i="6"/>
  <c r="C83" i="6"/>
  <c r="D83" i="6"/>
  <c r="E83" i="6"/>
  <c r="F83" i="6"/>
  <c r="G83" i="6"/>
  <c r="H83" i="6"/>
  <c r="I83" i="6"/>
  <c r="J83" i="6"/>
  <c r="K83" i="6"/>
  <c r="L83" i="6"/>
  <c r="M83" i="6"/>
  <c r="N83" i="6"/>
  <c r="O83" i="6"/>
  <c r="P83" i="6"/>
  <c r="Q83" i="6"/>
  <c r="R83" i="6"/>
  <c r="S83" i="6"/>
  <c r="T83" i="6"/>
  <c r="U83" i="6"/>
  <c r="V83" i="6"/>
  <c r="W83" i="6"/>
  <c r="X83" i="6"/>
  <c r="Y83" i="6"/>
  <c r="Z83" i="6"/>
  <c r="AA83" i="6"/>
  <c r="AB83" i="6"/>
  <c r="AD83" i="6"/>
  <c r="AE83" i="6"/>
  <c r="AF83" i="6"/>
  <c r="AG83" i="6"/>
  <c r="AH83" i="6"/>
  <c r="C84" i="6"/>
  <c r="D84" i="6"/>
  <c r="E84" i="6"/>
  <c r="F84" i="6"/>
  <c r="G84" i="6"/>
  <c r="H84" i="6"/>
  <c r="I84" i="6"/>
  <c r="J84" i="6"/>
  <c r="K84" i="6"/>
  <c r="L84" i="6"/>
  <c r="M84" i="6"/>
  <c r="N84" i="6"/>
  <c r="O84" i="6"/>
  <c r="P84" i="6"/>
  <c r="Q84" i="6"/>
  <c r="R84" i="6"/>
  <c r="S84" i="6"/>
  <c r="T84" i="6"/>
  <c r="U84" i="6"/>
  <c r="V84" i="6"/>
  <c r="W84" i="6"/>
  <c r="X84" i="6"/>
  <c r="Y84" i="6"/>
  <c r="Z84" i="6"/>
  <c r="AA84" i="6"/>
  <c r="AB84" i="6"/>
  <c r="AD84" i="6"/>
  <c r="AE84" i="6"/>
  <c r="AF84" i="6"/>
  <c r="AG84" i="6"/>
  <c r="AH84" i="6"/>
  <c r="C85" i="6"/>
  <c r="D85" i="6"/>
  <c r="E85" i="6"/>
  <c r="F85" i="6"/>
  <c r="G85" i="6"/>
  <c r="H85" i="6"/>
  <c r="I85" i="6"/>
  <c r="J85" i="6"/>
  <c r="K85" i="6"/>
  <c r="L85" i="6"/>
  <c r="M85" i="6"/>
  <c r="N85" i="6"/>
  <c r="O85" i="6"/>
  <c r="P85" i="6"/>
  <c r="Q85" i="6"/>
  <c r="R85" i="6"/>
  <c r="S85" i="6"/>
  <c r="T85" i="6"/>
  <c r="U85" i="6"/>
  <c r="V85" i="6"/>
  <c r="W85" i="6"/>
  <c r="X85" i="6"/>
  <c r="Y85" i="6"/>
  <c r="Z85" i="6"/>
  <c r="AA85" i="6"/>
  <c r="AB85" i="6"/>
  <c r="AD85" i="6"/>
  <c r="AE85" i="6"/>
  <c r="AF85" i="6"/>
  <c r="AG85" i="6"/>
  <c r="AH85" i="6"/>
  <c r="C86" i="6"/>
  <c r="D86" i="6"/>
  <c r="E86" i="6"/>
  <c r="F86" i="6"/>
  <c r="G86" i="6"/>
  <c r="H86" i="6"/>
  <c r="I86" i="6"/>
  <c r="J86" i="6"/>
  <c r="K86" i="6"/>
  <c r="L86" i="6"/>
  <c r="M86" i="6"/>
  <c r="N86" i="6"/>
  <c r="O86" i="6"/>
  <c r="P86" i="6"/>
  <c r="Q86" i="6"/>
  <c r="R86" i="6"/>
  <c r="S86" i="6"/>
  <c r="T86" i="6"/>
  <c r="U86" i="6"/>
  <c r="V86" i="6"/>
  <c r="W86" i="6"/>
  <c r="X86" i="6"/>
  <c r="Y86" i="6"/>
  <c r="Z86" i="6"/>
  <c r="AA86" i="6"/>
  <c r="AB86" i="6"/>
  <c r="AD86" i="6"/>
  <c r="AE86" i="6"/>
  <c r="AF86" i="6"/>
  <c r="AG86" i="6"/>
  <c r="AH86" i="6"/>
  <c r="C87" i="6"/>
  <c r="D87" i="6"/>
  <c r="E87" i="6"/>
  <c r="F87" i="6"/>
  <c r="G87" i="6"/>
  <c r="H87" i="6"/>
  <c r="I87" i="6"/>
  <c r="J87" i="6"/>
  <c r="K87" i="6"/>
  <c r="L87" i="6"/>
  <c r="M87" i="6"/>
  <c r="N87" i="6"/>
  <c r="O87" i="6"/>
  <c r="P87" i="6"/>
  <c r="Q87" i="6"/>
  <c r="R87" i="6"/>
  <c r="S87" i="6"/>
  <c r="T87" i="6"/>
  <c r="U87" i="6"/>
  <c r="V87" i="6"/>
  <c r="W87" i="6"/>
  <c r="X87" i="6"/>
  <c r="Y87" i="6"/>
  <c r="Z87" i="6"/>
  <c r="AA87" i="6"/>
  <c r="AB87" i="6"/>
  <c r="AD87" i="6"/>
  <c r="AE87" i="6"/>
  <c r="AF87" i="6"/>
  <c r="AG87" i="6"/>
  <c r="AH87" i="6"/>
  <c r="C88" i="6"/>
  <c r="D88" i="6"/>
  <c r="E88" i="6"/>
  <c r="F88" i="6"/>
  <c r="G88" i="6"/>
  <c r="H88" i="6"/>
  <c r="I88" i="6"/>
  <c r="J88" i="6"/>
  <c r="K88" i="6"/>
  <c r="L88" i="6"/>
  <c r="M88" i="6"/>
  <c r="N88" i="6"/>
  <c r="O88" i="6"/>
  <c r="P88" i="6"/>
  <c r="Q88" i="6"/>
  <c r="R88" i="6"/>
  <c r="S88" i="6"/>
  <c r="T88" i="6"/>
  <c r="U88" i="6"/>
  <c r="V88" i="6"/>
  <c r="W88" i="6"/>
  <c r="X88" i="6"/>
  <c r="Y88" i="6"/>
  <c r="Z88" i="6"/>
  <c r="AA88" i="6"/>
  <c r="AB88" i="6"/>
  <c r="AD88" i="6"/>
  <c r="AE88" i="6"/>
  <c r="AF88" i="6"/>
  <c r="AG88" i="6"/>
  <c r="AH88" i="6"/>
  <c r="C89" i="6"/>
  <c r="D89" i="6"/>
  <c r="E89" i="6"/>
  <c r="F89" i="6"/>
  <c r="G89" i="6"/>
  <c r="H89" i="6"/>
  <c r="I89" i="6"/>
  <c r="J89" i="6"/>
  <c r="K89" i="6"/>
  <c r="L89" i="6"/>
  <c r="M89" i="6"/>
  <c r="N89" i="6"/>
  <c r="O89" i="6"/>
  <c r="P89" i="6"/>
  <c r="Q89" i="6"/>
  <c r="R89" i="6"/>
  <c r="S89" i="6"/>
  <c r="T89" i="6"/>
  <c r="U89" i="6"/>
  <c r="V89" i="6"/>
  <c r="W89" i="6"/>
  <c r="X89" i="6"/>
  <c r="Y89" i="6"/>
  <c r="Z89" i="6"/>
  <c r="AA89" i="6"/>
  <c r="AB89" i="6"/>
  <c r="AD89" i="6"/>
  <c r="AE89" i="6"/>
  <c r="AF89" i="6"/>
  <c r="AG89" i="6"/>
  <c r="AH89" i="6"/>
  <c r="C90" i="6"/>
  <c r="D90" i="6"/>
  <c r="E90" i="6"/>
  <c r="F90" i="6"/>
  <c r="G90" i="6"/>
  <c r="H90" i="6"/>
  <c r="I90" i="6"/>
  <c r="J90" i="6"/>
  <c r="K90" i="6"/>
  <c r="L90" i="6"/>
  <c r="M90" i="6"/>
  <c r="N90" i="6"/>
  <c r="O90" i="6"/>
  <c r="P90" i="6"/>
  <c r="Q90" i="6"/>
  <c r="R90" i="6"/>
  <c r="S90" i="6"/>
  <c r="T90" i="6"/>
  <c r="U90" i="6"/>
  <c r="V90" i="6"/>
  <c r="W90" i="6"/>
  <c r="X90" i="6"/>
  <c r="Y90" i="6"/>
  <c r="Z90" i="6"/>
  <c r="AA90" i="6"/>
  <c r="AB90" i="6"/>
  <c r="AD90" i="6"/>
  <c r="AE90" i="6"/>
  <c r="AF90" i="6"/>
  <c r="AG90" i="6"/>
  <c r="AH90" i="6"/>
  <c r="C91" i="6"/>
  <c r="D91" i="6"/>
  <c r="E91" i="6"/>
  <c r="F91" i="6"/>
  <c r="G91" i="6"/>
  <c r="H91" i="6"/>
  <c r="I91" i="6"/>
  <c r="J91" i="6"/>
  <c r="K91" i="6"/>
  <c r="L91" i="6"/>
  <c r="M91" i="6"/>
  <c r="N91" i="6"/>
  <c r="O91" i="6"/>
  <c r="P91" i="6"/>
  <c r="Q91" i="6"/>
  <c r="R91" i="6"/>
  <c r="S91" i="6"/>
  <c r="T91" i="6"/>
  <c r="U91" i="6"/>
  <c r="V91" i="6"/>
  <c r="W91" i="6"/>
  <c r="X91" i="6"/>
  <c r="Y91" i="6"/>
  <c r="Z91" i="6"/>
  <c r="AA91" i="6"/>
  <c r="AB91" i="6"/>
  <c r="AD91" i="6"/>
  <c r="AE91" i="6"/>
  <c r="AF91" i="6"/>
  <c r="AG91" i="6"/>
  <c r="AH91" i="6"/>
  <c r="C92" i="6"/>
  <c r="D92" i="6"/>
  <c r="E92" i="6"/>
  <c r="F92" i="6"/>
  <c r="G92" i="6"/>
  <c r="H92" i="6"/>
  <c r="I92" i="6"/>
  <c r="J92" i="6"/>
  <c r="K92" i="6"/>
  <c r="L92" i="6"/>
  <c r="M92" i="6"/>
  <c r="N92" i="6"/>
  <c r="O92" i="6"/>
  <c r="P92" i="6"/>
  <c r="Q92" i="6"/>
  <c r="R92" i="6"/>
  <c r="S92" i="6"/>
  <c r="T92" i="6"/>
  <c r="U92" i="6"/>
  <c r="V92" i="6"/>
  <c r="W92" i="6"/>
  <c r="X92" i="6"/>
  <c r="Y92" i="6"/>
  <c r="Z92" i="6"/>
  <c r="AA92" i="6"/>
  <c r="AB92" i="6"/>
  <c r="AD92" i="6"/>
  <c r="AE92" i="6"/>
  <c r="AF92" i="6"/>
  <c r="AG92" i="6"/>
  <c r="AH92" i="6"/>
  <c r="C93" i="6"/>
  <c r="D93" i="6"/>
  <c r="E93" i="6"/>
  <c r="F93" i="6"/>
  <c r="G93" i="6"/>
  <c r="H93" i="6"/>
  <c r="I93" i="6"/>
  <c r="J93" i="6"/>
  <c r="K93" i="6"/>
  <c r="L93" i="6"/>
  <c r="M93" i="6"/>
  <c r="N93" i="6"/>
  <c r="O93" i="6"/>
  <c r="P93" i="6"/>
  <c r="Q93" i="6"/>
  <c r="R93" i="6"/>
  <c r="S93" i="6"/>
  <c r="T93" i="6"/>
  <c r="U93" i="6"/>
  <c r="V93" i="6"/>
  <c r="W93" i="6"/>
  <c r="X93" i="6"/>
  <c r="Y93" i="6"/>
  <c r="Z93" i="6"/>
  <c r="AA93" i="6"/>
  <c r="AB93" i="6"/>
  <c r="AD93" i="6"/>
  <c r="AE93" i="6"/>
  <c r="AF93" i="6"/>
  <c r="AG93" i="6"/>
  <c r="AH93" i="6"/>
  <c r="C94" i="6"/>
  <c r="D94" i="6"/>
  <c r="E94" i="6"/>
  <c r="F94" i="6"/>
  <c r="G94" i="6"/>
  <c r="H94" i="6"/>
  <c r="I94" i="6"/>
  <c r="J94" i="6"/>
  <c r="K94" i="6"/>
  <c r="L94" i="6"/>
  <c r="M94" i="6"/>
  <c r="N94" i="6"/>
  <c r="O94" i="6"/>
  <c r="P94" i="6"/>
  <c r="Q94" i="6"/>
  <c r="R94" i="6"/>
  <c r="S94" i="6"/>
  <c r="T94" i="6"/>
  <c r="U94" i="6"/>
  <c r="V94" i="6"/>
  <c r="W94" i="6"/>
  <c r="X94" i="6"/>
  <c r="Y94" i="6"/>
  <c r="Z94" i="6"/>
  <c r="AA94" i="6"/>
  <c r="AB94" i="6"/>
  <c r="AD94" i="6"/>
  <c r="AE94" i="6"/>
  <c r="AF94" i="6"/>
  <c r="AG94" i="6"/>
  <c r="AH94" i="6"/>
  <c r="C95" i="6"/>
  <c r="D95" i="6"/>
  <c r="E95" i="6"/>
  <c r="F95" i="6"/>
  <c r="G95" i="6"/>
  <c r="H95" i="6"/>
  <c r="I95" i="6"/>
  <c r="J95" i="6"/>
  <c r="K95" i="6"/>
  <c r="L95" i="6"/>
  <c r="M95" i="6"/>
  <c r="N95" i="6"/>
  <c r="O95" i="6"/>
  <c r="P95" i="6"/>
  <c r="Q95" i="6"/>
  <c r="R95" i="6"/>
  <c r="S95" i="6"/>
  <c r="T95" i="6"/>
  <c r="U95" i="6"/>
  <c r="V95" i="6"/>
  <c r="W95" i="6"/>
  <c r="X95" i="6"/>
  <c r="Y95" i="6"/>
  <c r="Z95" i="6"/>
  <c r="AA95" i="6"/>
  <c r="AB95" i="6"/>
  <c r="AD95" i="6"/>
  <c r="AE95" i="6"/>
  <c r="AF95" i="6"/>
  <c r="AG95" i="6"/>
  <c r="AH95" i="6"/>
  <c r="C96" i="6"/>
  <c r="D96" i="6"/>
  <c r="E96" i="6"/>
  <c r="F96" i="6"/>
  <c r="G96" i="6"/>
  <c r="H96" i="6"/>
  <c r="I96" i="6"/>
  <c r="J96" i="6"/>
  <c r="K96" i="6"/>
  <c r="L96" i="6"/>
  <c r="M96" i="6"/>
  <c r="N96" i="6"/>
  <c r="O96" i="6"/>
  <c r="P96" i="6"/>
  <c r="Q96" i="6"/>
  <c r="R96" i="6"/>
  <c r="S96" i="6"/>
  <c r="T96" i="6"/>
  <c r="U96" i="6"/>
  <c r="V96" i="6"/>
  <c r="W96" i="6"/>
  <c r="X96" i="6"/>
  <c r="Y96" i="6"/>
  <c r="Z96" i="6"/>
  <c r="AA96" i="6"/>
  <c r="AB96" i="6"/>
  <c r="AD96" i="6"/>
  <c r="AE96" i="6"/>
  <c r="AF96" i="6"/>
  <c r="AG96" i="6"/>
  <c r="AH96" i="6"/>
  <c r="C97" i="6"/>
  <c r="D97" i="6"/>
  <c r="E97" i="6"/>
  <c r="F97" i="6"/>
  <c r="G97" i="6"/>
  <c r="H97" i="6"/>
  <c r="I97" i="6"/>
  <c r="J97" i="6"/>
  <c r="K97" i="6"/>
  <c r="L97" i="6"/>
  <c r="M97" i="6"/>
  <c r="N97" i="6"/>
  <c r="O97" i="6"/>
  <c r="P97" i="6"/>
  <c r="Q97" i="6"/>
  <c r="R97" i="6"/>
  <c r="S97" i="6"/>
  <c r="T97" i="6"/>
  <c r="U97" i="6"/>
  <c r="V97" i="6"/>
  <c r="W97" i="6"/>
  <c r="X97" i="6"/>
  <c r="Y97" i="6"/>
  <c r="Z97" i="6"/>
  <c r="AA97" i="6"/>
  <c r="AB97" i="6"/>
  <c r="AD97" i="6"/>
  <c r="AE97" i="6"/>
  <c r="AF97" i="6"/>
  <c r="AG97" i="6"/>
  <c r="AH97" i="6"/>
  <c r="C98" i="6"/>
  <c r="D98" i="6"/>
  <c r="E98" i="6"/>
  <c r="F98" i="6"/>
  <c r="G98" i="6"/>
  <c r="H98" i="6"/>
  <c r="I98" i="6"/>
  <c r="J98" i="6"/>
  <c r="K98" i="6"/>
  <c r="L98" i="6"/>
  <c r="M98" i="6"/>
  <c r="N98" i="6"/>
  <c r="O98" i="6"/>
  <c r="P98" i="6"/>
  <c r="Q98" i="6"/>
  <c r="R98" i="6"/>
  <c r="S98" i="6"/>
  <c r="T98" i="6"/>
  <c r="U98" i="6"/>
  <c r="V98" i="6"/>
  <c r="W98" i="6"/>
  <c r="X98" i="6"/>
  <c r="Y98" i="6"/>
  <c r="Z98" i="6"/>
  <c r="AA98" i="6"/>
  <c r="AB98" i="6"/>
  <c r="AD98" i="6"/>
  <c r="AE98" i="6"/>
  <c r="AF98" i="6"/>
  <c r="AG98" i="6"/>
  <c r="AH98" i="6"/>
  <c r="C99" i="6"/>
  <c r="D99" i="6"/>
  <c r="E99" i="6"/>
  <c r="F99" i="6"/>
  <c r="G99" i="6"/>
  <c r="H99" i="6"/>
  <c r="I99" i="6"/>
  <c r="J99" i="6"/>
  <c r="K99" i="6"/>
  <c r="L99" i="6"/>
  <c r="M99" i="6"/>
  <c r="N99" i="6"/>
  <c r="O99" i="6"/>
  <c r="P99" i="6"/>
  <c r="Q99" i="6"/>
  <c r="R99" i="6"/>
  <c r="S99" i="6"/>
  <c r="T99" i="6"/>
  <c r="U99" i="6"/>
  <c r="V99" i="6"/>
  <c r="W99" i="6"/>
  <c r="X99" i="6"/>
  <c r="Y99" i="6"/>
  <c r="Z99" i="6"/>
  <c r="AA99" i="6"/>
  <c r="AB99" i="6"/>
  <c r="AD99" i="6"/>
  <c r="AE99" i="6"/>
  <c r="AF99" i="6"/>
  <c r="AG99" i="6"/>
  <c r="AH99" i="6"/>
  <c r="C100" i="6"/>
  <c r="D100" i="6"/>
  <c r="E100" i="6"/>
  <c r="F100" i="6"/>
  <c r="G100" i="6"/>
  <c r="H100" i="6"/>
  <c r="I100" i="6"/>
  <c r="J100" i="6"/>
  <c r="K100" i="6"/>
  <c r="L100" i="6"/>
  <c r="M100" i="6"/>
  <c r="N100" i="6"/>
  <c r="O100" i="6"/>
  <c r="P100" i="6"/>
  <c r="Q100" i="6"/>
  <c r="R100" i="6"/>
  <c r="S100" i="6"/>
  <c r="T100" i="6"/>
  <c r="U100" i="6"/>
  <c r="V100" i="6"/>
  <c r="W100" i="6"/>
  <c r="X100" i="6"/>
  <c r="Y100" i="6"/>
  <c r="Z100" i="6"/>
  <c r="AA100" i="6"/>
  <c r="AB100" i="6"/>
  <c r="AD100" i="6"/>
  <c r="AE100" i="6"/>
  <c r="AF100" i="6"/>
  <c r="AG100" i="6"/>
  <c r="AH100" i="6"/>
  <c r="C101" i="6"/>
  <c r="D101" i="6"/>
  <c r="E101" i="6"/>
  <c r="F101" i="6"/>
  <c r="G101" i="6"/>
  <c r="H101" i="6"/>
  <c r="I101" i="6"/>
  <c r="J101" i="6"/>
  <c r="K101" i="6"/>
  <c r="L101" i="6"/>
  <c r="M101" i="6"/>
  <c r="N101" i="6"/>
  <c r="O101" i="6"/>
  <c r="P101" i="6"/>
  <c r="Q101" i="6"/>
  <c r="R101" i="6"/>
  <c r="S101" i="6"/>
  <c r="T101" i="6"/>
  <c r="U101" i="6"/>
  <c r="V101" i="6"/>
  <c r="W101" i="6"/>
  <c r="X101" i="6"/>
  <c r="Y101" i="6"/>
  <c r="Z101" i="6"/>
  <c r="AA101" i="6"/>
  <c r="AB101" i="6"/>
  <c r="AD101" i="6"/>
  <c r="AE101" i="6"/>
  <c r="AF101" i="6"/>
  <c r="AG101" i="6"/>
  <c r="AH101" i="6"/>
  <c r="C102" i="6"/>
  <c r="D102" i="6"/>
  <c r="E102" i="6"/>
  <c r="F102" i="6"/>
  <c r="G102" i="6"/>
  <c r="H102" i="6"/>
  <c r="I102" i="6"/>
  <c r="J102" i="6"/>
  <c r="K102" i="6"/>
  <c r="L102" i="6"/>
  <c r="M102" i="6"/>
  <c r="N102" i="6"/>
  <c r="O102" i="6"/>
  <c r="P102" i="6"/>
  <c r="Q102" i="6"/>
  <c r="R102" i="6"/>
  <c r="S102" i="6"/>
  <c r="T102" i="6"/>
  <c r="U102" i="6"/>
  <c r="V102" i="6"/>
  <c r="W102" i="6"/>
  <c r="X102" i="6"/>
  <c r="Y102" i="6"/>
  <c r="Z102" i="6"/>
  <c r="AA102" i="6"/>
  <c r="AB102" i="6"/>
  <c r="AD102" i="6"/>
  <c r="AE102" i="6"/>
  <c r="AF102" i="6"/>
  <c r="AG102" i="6"/>
  <c r="AH102" i="6"/>
  <c r="C103" i="6"/>
  <c r="D103" i="6"/>
  <c r="E103" i="6"/>
  <c r="F103" i="6"/>
  <c r="G103" i="6"/>
  <c r="H103" i="6"/>
  <c r="I103" i="6"/>
  <c r="J103" i="6"/>
  <c r="K103" i="6"/>
  <c r="L103" i="6"/>
  <c r="M103" i="6"/>
  <c r="N103" i="6"/>
  <c r="O103" i="6"/>
  <c r="P103" i="6"/>
  <c r="Q103" i="6"/>
  <c r="R103" i="6"/>
  <c r="S103" i="6"/>
  <c r="T103" i="6"/>
  <c r="U103" i="6"/>
  <c r="V103" i="6"/>
  <c r="W103" i="6"/>
  <c r="X103" i="6"/>
  <c r="Y103" i="6"/>
  <c r="Z103" i="6"/>
  <c r="AA103" i="6"/>
  <c r="AB103" i="6"/>
  <c r="AD103" i="6"/>
  <c r="AE103" i="6"/>
  <c r="AF103" i="6"/>
  <c r="AG103" i="6"/>
  <c r="AH103" i="6"/>
  <c r="C104" i="6"/>
  <c r="D104" i="6"/>
  <c r="E104" i="6"/>
  <c r="F104" i="6"/>
  <c r="G104" i="6"/>
  <c r="H104" i="6"/>
  <c r="I104" i="6"/>
  <c r="J104" i="6"/>
  <c r="K104" i="6"/>
  <c r="L104" i="6"/>
  <c r="M104" i="6"/>
  <c r="N104" i="6"/>
  <c r="O104" i="6"/>
  <c r="P104" i="6"/>
  <c r="Q104" i="6"/>
  <c r="R104" i="6"/>
  <c r="S104" i="6"/>
  <c r="T104" i="6"/>
  <c r="U104" i="6"/>
  <c r="V104" i="6"/>
  <c r="W104" i="6"/>
  <c r="X104" i="6"/>
  <c r="Y104" i="6"/>
  <c r="Z104" i="6"/>
  <c r="AA104" i="6"/>
  <c r="AB104" i="6"/>
  <c r="AD104" i="6"/>
  <c r="AE104" i="6"/>
  <c r="AF104" i="6"/>
  <c r="AG104" i="6"/>
  <c r="AH104" i="6"/>
  <c r="C105" i="6"/>
  <c r="D105" i="6"/>
  <c r="E105" i="6"/>
  <c r="F105" i="6"/>
  <c r="G105" i="6"/>
  <c r="H105" i="6"/>
  <c r="I105" i="6"/>
  <c r="J105" i="6"/>
  <c r="K105" i="6"/>
  <c r="L105" i="6"/>
  <c r="M105" i="6"/>
  <c r="N105" i="6"/>
  <c r="O105" i="6"/>
  <c r="P105" i="6"/>
  <c r="Q105" i="6"/>
  <c r="R105" i="6"/>
  <c r="S105" i="6"/>
  <c r="T105" i="6"/>
  <c r="U105" i="6"/>
  <c r="V105" i="6"/>
  <c r="W105" i="6"/>
  <c r="X105" i="6"/>
  <c r="Y105" i="6"/>
  <c r="Z105" i="6"/>
  <c r="AA105" i="6"/>
  <c r="AB105" i="6"/>
  <c r="AD105" i="6"/>
  <c r="AE105" i="6"/>
  <c r="AF105" i="6"/>
  <c r="AG105" i="6"/>
  <c r="AH105" i="6"/>
  <c r="C106" i="6"/>
  <c r="D106" i="6"/>
  <c r="E106" i="6"/>
  <c r="F106" i="6"/>
  <c r="G106" i="6"/>
  <c r="H106" i="6"/>
  <c r="I106" i="6"/>
  <c r="J106" i="6"/>
  <c r="K106" i="6"/>
  <c r="L106" i="6"/>
  <c r="M106" i="6"/>
  <c r="N106" i="6"/>
  <c r="O106" i="6"/>
  <c r="P106" i="6"/>
  <c r="Q106" i="6"/>
  <c r="R106" i="6"/>
  <c r="S106" i="6"/>
  <c r="T106" i="6"/>
  <c r="U106" i="6"/>
  <c r="V106" i="6"/>
  <c r="W106" i="6"/>
  <c r="X106" i="6"/>
  <c r="Y106" i="6"/>
  <c r="Z106" i="6"/>
  <c r="AA106" i="6"/>
  <c r="AB106" i="6"/>
  <c r="AD106" i="6"/>
  <c r="AE106" i="6"/>
  <c r="AF106" i="6"/>
  <c r="AG106" i="6"/>
  <c r="AH106" i="6"/>
  <c r="C107" i="6"/>
  <c r="D107" i="6"/>
  <c r="E107" i="6"/>
  <c r="F107" i="6"/>
  <c r="G107" i="6"/>
  <c r="H107" i="6"/>
  <c r="I107" i="6"/>
  <c r="J107" i="6"/>
  <c r="K107" i="6"/>
  <c r="L107" i="6"/>
  <c r="M107" i="6"/>
  <c r="N107" i="6"/>
  <c r="O107" i="6"/>
  <c r="P107" i="6"/>
  <c r="Q107" i="6"/>
  <c r="R107" i="6"/>
  <c r="S107" i="6"/>
  <c r="T107" i="6"/>
  <c r="U107" i="6"/>
  <c r="V107" i="6"/>
  <c r="W107" i="6"/>
  <c r="X107" i="6"/>
  <c r="Y107" i="6"/>
  <c r="Z107" i="6"/>
  <c r="AA107" i="6"/>
  <c r="AB107" i="6"/>
  <c r="AD107" i="6"/>
  <c r="AE107" i="6"/>
  <c r="AF107" i="6"/>
  <c r="AG107" i="6"/>
  <c r="AH107" i="6"/>
  <c r="C108" i="6"/>
  <c r="D108" i="6"/>
  <c r="E108" i="6"/>
  <c r="F108" i="6"/>
  <c r="G108" i="6"/>
  <c r="H108" i="6"/>
  <c r="I108" i="6"/>
  <c r="J108" i="6"/>
  <c r="K108" i="6"/>
  <c r="L108" i="6"/>
  <c r="M108" i="6"/>
  <c r="N108" i="6"/>
  <c r="O108" i="6"/>
  <c r="P108" i="6"/>
  <c r="Q108" i="6"/>
  <c r="R108" i="6"/>
  <c r="S108" i="6"/>
  <c r="T108" i="6"/>
  <c r="U108" i="6"/>
  <c r="V108" i="6"/>
  <c r="W108" i="6"/>
  <c r="X108" i="6"/>
  <c r="Y108" i="6"/>
  <c r="Z108" i="6"/>
  <c r="AA108" i="6"/>
  <c r="AB108" i="6"/>
  <c r="AD108" i="6"/>
  <c r="AE108" i="6"/>
  <c r="AF108" i="6"/>
  <c r="AG108" i="6"/>
  <c r="AH108" i="6"/>
  <c r="C109" i="6"/>
  <c r="D109" i="6"/>
  <c r="E109" i="6"/>
  <c r="F109" i="6"/>
  <c r="G109" i="6"/>
  <c r="H109" i="6"/>
  <c r="I109" i="6"/>
  <c r="J109" i="6"/>
  <c r="K109" i="6"/>
  <c r="L109" i="6"/>
  <c r="M109" i="6"/>
  <c r="N109" i="6"/>
  <c r="O109" i="6"/>
  <c r="P109" i="6"/>
  <c r="Q109" i="6"/>
  <c r="R109" i="6"/>
  <c r="S109" i="6"/>
  <c r="T109" i="6"/>
  <c r="U109" i="6"/>
  <c r="V109" i="6"/>
  <c r="W109" i="6"/>
  <c r="X109" i="6"/>
  <c r="Y109" i="6"/>
  <c r="Z109" i="6"/>
  <c r="AA109" i="6"/>
  <c r="AB109" i="6"/>
  <c r="AD109" i="6"/>
  <c r="AE109" i="6"/>
  <c r="AF109" i="6"/>
  <c r="AG109" i="6"/>
  <c r="AH109" i="6"/>
  <c r="C110" i="6"/>
  <c r="D110" i="6"/>
  <c r="E110" i="6"/>
  <c r="F110" i="6"/>
  <c r="G110" i="6"/>
  <c r="H110" i="6"/>
  <c r="I110" i="6"/>
  <c r="J110" i="6"/>
  <c r="K110" i="6"/>
  <c r="L110" i="6"/>
  <c r="M110" i="6"/>
  <c r="N110" i="6"/>
  <c r="O110" i="6"/>
  <c r="P110" i="6"/>
  <c r="Q110" i="6"/>
  <c r="R110" i="6"/>
  <c r="S110" i="6"/>
  <c r="T110" i="6"/>
  <c r="U110" i="6"/>
  <c r="V110" i="6"/>
  <c r="W110" i="6"/>
  <c r="X110" i="6"/>
  <c r="Y110" i="6"/>
  <c r="Z110" i="6"/>
  <c r="AA110" i="6"/>
  <c r="AB110" i="6"/>
  <c r="AD110" i="6"/>
  <c r="AE110" i="6"/>
  <c r="AF110" i="6"/>
  <c r="AG110" i="6"/>
  <c r="AH110" i="6"/>
  <c r="C111" i="6"/>
  <c r="D111" i="6"/>
  <c r="E111" i="6"/>
  <c r="F111" i="6"/>
  <c r="G111" i="6"/>
  <c r="H111" i="6"/>
  <c r="I111" i="6"/>
  <c r="J111" i="6"/>
  <c r="K111" i="6"/>
  <c r="L111" i="6"/>
  <c r="M111" i="6"/>
  <c r="N111" i="6"/>
  <c r="O111" i="6"/>
  <c r="P111" i="6"/>
  <c r="Q111" i="6"/>
  <c r="R111" i="6"/>
  <c r="S111" i="6"/>
  <c r="T111" i="6"/>
  <c r="U111" i="6"/>
  <c r="V111" i="6"/>
  <c r="W111" i="6"/>
  <c r="X111" i="6"/>
  <c r="Y111" i="6"/>
  <c r="Z111" i="6"/>
  <c r="AA111" i="6"/>
  <c r="AB111" i="6"/>
  <c r="AD111" i="6"/>
  <c r="AE111" i="6"/>
  <c r="AF111" i="6"/>
  <c r="AG111" i="6"/>
  <c r="AH111" i="6"/>
  <c r="C112" i="6"/>
  <c r="D112" i="6"/>
  <c r="E112" i="6"/>
  <c r="F112" i="6"/>
  <c r="G112" i="6"/>
  <c r="H112" i="6"/>
  <c r="I112" i="6"/>
  <c r="J112" i="6"/>
  <c r="K112" i="6"/>
  <c r="L112" i="6"/>
  <c r="M112" i="6"/>
  <c r="N112" i="6"/>
  <c r="O112" i="6"/>
  <c r="P112" i="6"/>
  <c r="Q112" i="6"/>
  <c r="R112" i="6"/>
  <c r="S112" i="6"/>
  <c r="T112" i="6"/>
  <c r="U112" i="6"/>
  <c r="V112" i="6"/>
  <c r="W112" i="6"/>
  <c r="X112" i="6"/>
  <c r="Y112" i="6"/>
  <c r="Z112" i="6"/>
  <c r="AA112" i="6"/>
  <c r="AB112" i="6"/>
  <c r="AD112" i="6"/>
  <c r="AE112" i="6"/>
  <c r="AF112" i="6"/>
  <c r="AG112" i="6"/>
  <c r="AH112" i="6"/>
  <c r="C113" i="6"/>
  <c r="D113" i="6"/>
  <c r="E113" i="6"/>
  <c r="F113" i="6"/>
  <c r="G113" i="6"/>
  <c r="H113" i="6"/>
  <c r="I113" i="6"/>
  <c r="J113" i="6"/>
  <c r="K113" i="6"/>
  <c r="L113" i="6"/>
  <c r="M113" i="6"/>
  <c r="N113" i="6"/>
  <c r="O113" i="6"/>
  <c r="P113" i="6"/>
  <c r="Q113" i="6"/>
  <c r="R113" i="6"/>
  <c r="S113" i="6"/>
  <c r="T113" i="6"/>
  <c r="U113" i="6"/>
  <c r="V113" i="6"/>
  <c r="W113" i="6"/>
  <c r="X113" i="6"/>
  <c r="Y113" i="6"/>
  <c r="Z113" i="6"/>
  <c r="AA113" i="6"/>
  <c r="AB113" i="6"/>
  <c r="AD113" i="6"/>
  <c r="AE113" i="6"/>
  <c r="AF113" i="6"/>
  <c r="AG113" i="6"/>
  <c r="AH113" i="6"/>
  <c r="C114" i="6"/>
  <c r="D114" i="6"/>
  <c r="E114" i="6"/>
  <c r="F114" i="6"/>
  <c r="G114" i="6"/>
  <c r="H114" i="6"/>
  <c r="I114" i="6"/>
  <c r="J114" i="6"/>
  <c r="K114" i="6"/>
  <c r="L114" i="6"/>
  <c r="M114" i="6"/>
  <c r="N114" i="6"/>
  <c r="O114" i="6"/>
  <c r="P114" i="6"/>
  <c r="Q114" i="6"/>
  <c r="R114" i="6"/>
  <c r="S114" i="6"/>
  <c r="T114" i="6"/>
  <c r="U114" i="6"/>
  <c r="V114" i="6"/>
  <c r="W114" i="6"/>
  <c r="X114" i="6"/>
  <c r="Y114" i="6"/>
  <c r="Z114" i="6"/>
  <c r="AA114" i="6"/>
  <c r="AB114" i="6"/>
  <c r="AD114" i="6"/>
  <c r="AE114" i="6"/>
  <c r="AF114" i="6"/>
  <c r="AG114" i="6"/>
  <c r="AH114" i="6"/>
  <c r="C115" i="6"/>
  <c r="D115" i="6"/>
  <c r="E115" i="6"/>
  <c r="F115" i="6"/>
  <c r="G115" i="6"/>
  <c r="H115" i="6"/>
  <c r="I115" i="6"/>
  <c r="J115" i="6"/>
  <c r="K115" i="6"/>
  <c r="L115" i="6"/>
  <c r="M115" i="6"/>
  <c r="N115" i="6"/>
  <c r="O115" i="6"/>
  <c r="P115" i="6"/>
  <c r="Q115" i="6"/>
  <c r="R115" i="6"/>
  <c r="S115" i="6"/>
  <c r="T115" i="6"/>
  <c r="U115" i="6"/>
  <c r="V115" i="6"/>
  <c r="W115" i="6"/>
  <c r="X115" i="6"/>
  <c r="Y115" i="6"/>
  <c r="Z115" i="6"/>
  <c r="AA115" i="6"/>
  <c r="AB115" i="6"/>
  <c r="AD115" i="6"/>
  <c r="AE115" i="6"/>
  <c r="AF115" i="6"/>
  <c r="AG115" i="6"/>
  <c r="AH115" i="6"/>
  <c r="C116" i="6"/>
  <c r="D116" i="6"/>
  <c r="E116" i="6"/>
  <c r="F116" i="6"/>
  <c r="G116" i="6"/>
  <c r="H116" i="6"/>
  <c r="I116" i="6"/>
  <c r="J116" i="6"/>
  <c r="K116" i="6"/>
  <c r="L116" i="6"/>
  <c r="M116" i="6"/>
  <c r="N116" i="6"/>
  <c r="O116" i="6"/>
  <c r="P116" i="6"/>
  <c r="Q116" i="6"/>
  <c r="R116" i="6"/>
  <c r="S116" i="6"/>
  <c r="T116" i="6"/>
  <c r="U116" i="6"/>
  <c r="V116" i="6"/>
  <c r="W116" i="6"/>
  <c r="X116" i="6"/>
  <c r="Y116" i="6"/>
  <c r="Z116" i="6"/>
  <c r="AA116" i="6"/>
  <c r="AB116" i="6"/>
  <c r="AD116" i="6"/>
  <c r="AE116" i="6"/>
  <c r="AF116" i="6"/>
  <c r="AG116" i="6"/>
  <c r="AH116" i="6"/>
  <c r="C117" i="6"/>
  <c r="D117" i="6"/>
  <c r="E117" i="6"/>
  <c r="F117" i="6"/>
  <c r="G117" i="6"/>
  <c r="H117" i="6"/>
  <c r="I117" i="6"/>
  <c r="J117" i="6"/>
  <c r="K117" i="6"/>
  <c r="L117" i="6"/>
  <c r="M117" i="6"/>
  <c r="N117" i="6"/>
  <c r="O117" i="6"/>
  <c r="P117" i="6"/>
  <c r="Q117" i="6"/>
  <c r="R117" i="6"/>
  <c r="S117" i="6"/>
  <c r="T117" i="6"/>
  <c r="U117" i="6"/>
  <c r="V117" i="6"/>
  <c r="W117" i="6"/>
  <c r="X117" i="6"/>
  <c r="Y117" i="6"/>
  <c r="Z117" i="6"/>
  <c r="AA117" i="6"/>
  <c r="AB117" i="6"/>
  <c r="AD117" i="6"/>
  <c r="AE117" i="6"/>
  <c r="AF117" i="6"/>
  <c r="AG117" i="6"/>
  <c r="AH117" i="6"/>
  <c r="C118" i="6"/>
  <c r="D118" i="6"/>
  <c r="E118" i="6"/>
  <c r="F118" i="6"/>
  <c r="G118" i="6"/>
  <c r="H118" i="6"/>
  <c r="I118" i="6"/>
  <c r="J118" i="6"/>
  <c r="K118" i="6"/>
  <c r="L118" i="6"/>
  <c r="M118" i="6"/>
  <c r="N118" i="6"/>
  <c r="O118" i="6"/>
  <c r="P118" i="6"/>
  <c r="Q118" i="6"/>
  <c r="R118" i="6"/>
  <c r="S118" i="6"/>
  <c r="T118" i="6"/>
  <c r="U118" i="6"/>
  <c r="V118" i="6"/>
  <c r="W118" i="6"/>
  <c r="X118" i="6"/>
  <c r="Y118" i="6"/>
  <c r="Z118" i="6"/>
  <c r="AA118" i="6"/>
  <c r="AB118" i="6"/>
  <c r="AD118" i="6"/>
  <c r="AE118" i="6"/>
  <c r="AF118" i="6"/>
  <c r="AG118" i="6"/>
  <c r="AH118" i="6"/>
  <c r="C119" i="6"/>
  <c r="D119" i="6"/>
  <c r="E119" i="6"/>
  <c r="F119" i="6"/>
  <c r="G119" i="6"/>
  <c r="H119" i="6"/>
  <c r="I119" i="6"/>
  <c r="J119" i="6"/>
  <c r="K119" i="6"/>
  <c r="L119" i="6"/>
  <c r="M119" i="6"/>
  <c r="N119" i="6"/>
  <c r="O119" i="6"/>
  <c r="P119" i="6"/>
  <c r="Q119" i="6"/>
  <c r="R119" i="6"/>
  <c r="S119" i="6"/>
  <c r="T119" i="6"/>
  <c r="U119" i="6"/>
  <c r="V119" i="6"/>
  <c r="W119" i="6"/>
  <c r="X119" i="6"/>
  <c r="Y119" i="6"/>
  <c r="Z119" i="6"/>
  <c r="AA119" i="6"/>
  <c r="AB119" i="6"/>
  <c r="AD119" i="6"/>
  <c r="AE119" i="6"/>
  <c r="AF119" i="6"/>
  <c r="AG119" i="6"/>
  <c r="AH119" i="6"/>
  <c r="C120" i="6"/>
  <c r="D120" i="6"/>
  <c r="E120" i="6"/>
  <c r="F120" i="6"/>
  <c r="G120" i="6"/>
  <c r="H120" i="6"/>
  <c r="I120" i="6"/>
  <c r="J120" i="6"/>
  <c r="K120" i="6"/>
  <c r="L120" i="6"/>
  <c r="M120" i="6"/>
  <c r="N120" i="6"/>
  <c r="O120" i="6"/>
  <c r="P120" i="6"/>
  <c r="Q120" i="6"/>
  <c r="R120" i="6"/>
  <c r="S120" i="6"/>
  <c r="T120" i="6"/>
  <c r="U120" i="6"/>
  <c r="V120" i="6"/>
  <c r="W120" i="6"/>
  <c r="X120" i="6"/>
  <c r="Y120" i="6"/>
  <c r="Z120" i="6"/>
  <c r="AA120" i="6"/>
  <c r="AB120" i="6"/>
  <c r="AD120" i="6"/>
  <c r="AE120" i="6"/>
  <c r="AF120" i="6"/>
  <c r="AG120" i="6"/>
  <c r="AH120" i="6"/>
  <c r="C121" i="6"/>
  <c r="D121" i="6"/>
  <c r="E121" i="6"/>
  <c r="F121" i="6"/>
  <c r="G121" i="6"/>
  <c r="H121" i="6"/>
  <c r="I121" i="6"/>
  <c r="J121" i="6"/>
  <c r="K121" i="6"/>
  <c r="L121" i="6"/>
  <c r="M121" i="6"/>
  <c r="N121" i="6"/>
  <c r="O121" i="6"/>
  <c r="P121" i="6"/>
  <c r="Q121" i="6"/>
  <c r="R121" i="6"/>
  <c r="S121" i="6"/>
  <c r="T121" i="6"/>
  <c r="U121" i="6"/>
  <c r="V121" i="6"/>
  <c r="W121" i="6"/>
  <c r="X121" i="6"/>
  <c r="Y121" i="6"/>
  <c r="Z121" i="6"/>
  <c r="AA121" i="6"/>
  <c r="AB121" i="6"/>
  <c r="AD121" i="6"/>
  <c r="AE121" i="6"/>
  <c r="AF121" i="6"/>
  <c r="AG121" i="6"/>
  <c r="AH121" i="6"/>
  <c r="C122" i="6"/>
  <c r="D122" i="6"/>
  <c r="E122" i="6"/>
  <c r="F122" i="6"/>
  <c r="G122" i="6"/>
  <c r="H122" i="6"/>
  <c r="I122" i="6"/>
  <c r="J122" i="6"/>
  <c r="K122" i="6"/>
  <c r="L122" i="6"/>
  <c r="M122" i="6"/>
  <c r="N122" i="6"/>
  <c r="O122" i="6"/>
  <c r="P122" i="6"/>
  <c r="Q122" i="6"/>
  <c r="R122" i="6"/>
  <c r="S122" i="6"/>
  <c r="T122" i="6"/>
  <c r="U122" i="6"/>
  <c r="V122" i="6"/>
  <c r="W122" i="6"/>
  <c r="X122" i="6"/>
  <c r="Y122" i="6"/>
  <c r="Z122" i="6"/>
  <c r="AA122" i="6"/>
  <c r="AB122" i="6"/>
  <c r="AD122" i="6"/>
  <c r="AE122" i="6"/>
  <c r="AF122" i="6"/>
  <c r="AG122" i="6"/>
  <c r="AH122" i="6"/>
  <c r="C123" i="6"/>
  <c r="D123" i="6"/>
  <c r="E123" i="6"/>
  <c r="F123" i="6"/>
  <c r="G123" i="6"/>
  <c r="H123" i="6"/>
  <c r="I123" i="6"/>
  <c r="J123" i="6"/>
  <c r="K123" i="6"/>
  <c r="L123" i="6"/>
  <c r="M123" i="6"/>
  <c r="N123" i="6"/>
  <c r="O123" i="6"/>
  <c r="P123" i="6"/>
  <c r="Q123" i="6"/>
  <c r="R123" i="6"/>
  <c r="S123" i="6"/>
  <c r="T123" i="6"/>
  <c r="U123" i="6"/>
  <c r="V123" i="6"/>
  <c r="W123" i="6"/>
  <c r="X123" i="6"/>
  <c r="Y123" i="6"/>
  <c r="Z123" i="6"/>
  <c r="AA123" i="6"/>
  <c r="AB123" i="6"/>
  <c r="AD123" i="6"/>
  <c r="AE123" i="6"/>
  <c r="AF123" i="6"/>
  <c r="AG123" i="6"/>
  <c r="AH123" i="6"/>
  <c r="C124" i="6"/>
  <c r="D124" i="6"/>
  <c r="E124" i="6"/>
  <c r="F124" i="6"/>
  <c r="G124" i="6"/>
  <c r="H124" i="6"/>
  <c r="I124" i="6"/>
  <c r="J124" i="6"/>
  <c r="K124" i="6"/>
  <c r="L124" i="6"/>
  <c r="M124" i="6"/>
  <c r="N124" i="6"/>
  <c r="O124" i="6"/>
  <c r="P124" i="6"/>
  <c r="Q124" i="6"/>
  <c r="R124" i="6"/>
  <c r="S124" i="6"/>
  <c r="T124" i="6"/>
  <c r="U124" i="6"/>
  <c r="V124" i="6"/>
  <c r="W124" i="6"/>
  <c r="X124" i="6"/>
  <c r="Y124" i="6"/>
  <c r="Z124" i="6"/>
  <c r="AA124" i="6"/>
  <c r="AB124" i="6"/>
  <c r="AD124" i="6"/>
  <c r="AE124" i="6"/>
  <c r="AF124" i="6"/>
  <c r="AG124" i="6"/>
  <c r="AH124" i="6"/>
  <c r="C125" i="6"/>
  <c r="D125" i="6"/>
  <c r="E125" i="6"/>
  <c r="F125" i="6"/>
  <c r="G125" i="6"/>
  <c r="H125" i="6"/>
  <c r="I125" i="6"/>
  <c r="J125" i="6"/>
  <c r="K125" i="6"/>
  <c r="L125" i="6"/>
  <c r="M125" i="6"/>
  <c r="N125" i="6"/>
  <c r="O125" i="6"/>
  <c r="P125" i="6"/>
  <c r="Q125" i="6"/>
  <c r="R125" i="6"/>
  <c r="S125" i="6"/>
  <c r="T125" i="6"/>
  <c r="U125" i="6"/>
  <c r="V125" i="6"/>
  <c r="W125" i="6"/>
  <c r="X125" i="6"/>
  <c r="Y125" i="6"/>
  <c r="Z125" i="6"/>
  <c r="AA125" i="6"/>
  <c r="AB125" i="6"/>
  <c r="AD125" i="6"/>
  <c r="AE125" i="6"/>
  <c r="AF125" i="6"/>
  <c r="AG125" i="6"/>
  <c r="AH125" i="6"/>
  <c r="C126" i="6"/>
  <c r="D126" i="6"/>
  <c r="E126" i="6"/>
  <c r="F126" i="6"/>
  <c r="G126" i="6"/>
  <c r="H126" i="6"/>
  <c r="I126" i="6"/>
  <c r="J126" i="6"/>
  <c r="K126" i="6"/>
  <c r="L126" i="6"/>
  <c r="M126" i="6"/>
  <c r="N126" i="6"/>
  <c r="O126" i="6"/>
  <c r="P126" i="6"/>
  <c r="Q126" i="6"/>
  <c r="R126" i="6"/>
  <c r="S126" i="6"/>
  <c r="T126" i="6"/>
  <c r="U126" i="6"/>
  <c r="V126" i="6"/>
  <c r="W126" i="6"/>
  <c r="X126" i="6"/>
  <c r="Y126" i="6"/>
  <c r="Z126" i="6"/>
  <c r="AA126" i="6"/>
  <c r="AB126" i="6"/>
  <c r="AD126" i="6"/>
  <c r="AE126" i="6"/>
  <c r="AF126" i="6"/>
  <c r="AG126" i="6"/>
  <c r="AH126" i="6"/>
  <c r="C127" i="6"/>
  <c r="D127" i="6"/>
  <c r="E127" i="6"/>
  <c r="F127" i="6"/>
  <c r="G127" i="6"/>
  <c r="H127" i="6"/>
  <c r="I127" i="6"/>
  <c r="J127" i="6"/>
  <c r="K127" i="6"/>
  <c r="L127" i="6"/>
  <c r="M127" i="6"/>
  <c r="N127" i="6"/>
  <c r="O127" i="6"/>
  <c r="P127" i="6"/>
  <c r="Q127" i="6"/>
  <c r="R127" i="6"/>
  <c r="S127" i="6"/>
  <c r="T127" i="6"/>
  <c r="U127" i="6"/>
  <c r="V127" i="6"/>
  <c r="W127" i="6"/>
  <c r="X127" i="6"/>
  <c r="Y127" i="6"/>
  <c r="Z127" i="6"/>
  <c r="AA127" i="6"/>
  <c r="AB127" i="6"/>
  <c r="AD127" i="6"/>
  <c r="AE127" i="6"/>
  <c r="AF127" i="6"/>
  <c r="AG127" i="6"/>
  <c r="AH127" i="6"/>
  <c r="C128" i="6"/>
  <c r="D128" i="6"/>
  <c r="E128" i="6"/>
  <c r="F128" i="6"/>
  <c r="G128" i="6"/>
  <c r="H128" i="6"/>
  <c r="I128" i="6"/>
  <c r="J128" i="6"/>
  <c r="K128" i="6"/>
  <c r="L128" i="6"/>
  <c r="M128" i="6"/>
  <c r="N128" i="6"/>
  <c r="O128" i="6"/>
  <c r="P128" i="6"/>
  <c r="Q128" i="6"/>
  <c r="R128" i="6"/>
  <c r="S128" i="6"/>
  <c r="T128" i="6"/>
  <c r="U128" i="6"/>
  <c r="V128" i="6"/>
  <c r="W128" i="6"/>
  <c r="X128" i="6"/>
  <c r="Y128" i="6"/>
  <c r="Z128" i="6"/>
  <c r="AA128" i="6"/>
  <c r="AB128" i="6"/>
  <c r="AD128" i="6"/>
  <c r="AE128" i="6"/>
  <c r="AF128" i="6"/>
  <c r="AG128" i="6"/>
  <c r="AH128" i="6"/>
  <c r="C129" i="6"/>
  <c r="D129" i="6"/>
  <c r="E129" i="6"/>
  <c r="F129" i="6"/>
  <c r="G129" i="6"/>
  <c r="H129" i="6"/>
  <c r="I129" i="6"/>
  <c r="J129" i="6"/>
  <c r="K129" i="6"/>
  <c r="L129" i="6"/>
  <c r="M129" i="6"/>
  <c r="N129" i="6"/>
  <c r="O129" i="6"/>
  <c r="P129" i="6"/>
  <c r="Q129" i="6"/>
  <c r="R129" i="6"/>
  <c r="S129" i="6"/>
  <c r="T129" i="6"/>
  <c r="U129" i="6"/>
  <c r="V129" i="6"/>
  <c r="W129" i="6"/>
  <c r="X129" i="6"/>
  <c r="Y129" i="6"/>
  <c r="Z129" i="6"/>
  <c r="AA129" i="6"/>
  <c r="AB129" i="6"/>
  <c r="AD129" i="6"/>
  <c r="AE129" i="6"/>
  <c r="AF129" i="6"/>
  <c r="AG129" i="6"/>
  <c r="AH129" i="6"/>
  <c r="C130" i="6"/>
  <c r="D130" i="6"/>
  <c r="E130" i="6"/>
  <c r="F130" i="6"/>
  <c r="G130" i="6"/>
  <c r="H130" i="6"/>
  <c r="I130" i="6"/>
  <c r="J130" i="6"/>
  <c r="K130" i="6"/>
  <c r="L130" i="6"/>
  <c r="M130" i="6"/>
  <c r="N130" i="6"/>
  <c r="O130" i="6"/>
  <c r="P130" i="6"/>
  <c r="Q130" i="6"/>
  <c r="R130" i="6"/>
  <c r="S130" i="6"/>
  <c r="T130" i="6"/>
  <c r="U130" i="6"/>
  <c r="V130" i="6"/>
  <c r="W130" i="6"/>
  <c r="X130" i="6"/>
  <c r="Y130" i="6"/>
  <c r="Z130" i="6"/>
  <c r="AA130" i="6"/>
  <c r="AB130" i="6"/>
  <c r="AD130" i="6"/>
  <c r="AE130" i="6"/>
  <c r="AF130" i="6"/>
  <c r="AG130" i="6"/>
  <c r="AH130" i="6"/>
  <c r="C131" i="6"/>
  <c r="D131" i="6"/>
  <c r="E131" i="6"/>
  <c r="F131" i="6"/>
  <c r="G131" i="6"/>
  <c r="H131" i="6"/>
  <c r="I131" i="6"/>
  <c r="J131" i="6"/>
  <c r="K131" i="6"/>
  <c r="L131" i="6"/>
  <c r="M131" i="6"/>
  <c r="N131" i="6"/>
  <c r="O131" i="6"/>
  <c r="P131" i="6"/>
  <c r="Q131" i="6"/>
  <c r="R131" i="6"/>
  <c r="S131" i="6"/>
  <c r="T131" i="6"/>
  <c r="U131" i="6"/>
  <c r="V131" i="6"/>
  <c r="W131" i="6"/>
  <c r="X131" i="6"/>
  <c r="Y131" i="6"/>
  <c r="Z131" i="6"/>
  <c r="AA131" i="6"/>
  <c r="AB131" i="6"/>
  <c r="AD131" i="6"/>
  <c r="AE131" i="6"/>
  <c r="AF131" i="6"/>
  <c r="AG131" i="6"/>
  <c r="AH131" i="6"/>
  <c r="C132" i="6"/>
  <c r="D132" i="6"/>
  <c r="E132" i="6"/>
  <c r="F132" i="6"/>
  <c r="G132" i="6"/>
  <c r="H132" i="6"/>
  <c r="I132" i="6"/>
  <c r="J132" i="6"/>
  <c r="K132" i="6"/>
  <c r="L132" i="6"/>
  <c r="M132" i="6"/>
  <c r="N132" i="6"/>
  <c r="O132" i="6"/>
  <c r="P132" i="6"/>
  <c r="Q132" i="6"/>
  <c r="R132" i="6"/>
  <c r="S132" i="6"/>
  <c r="T132" i="6"/>
  <c r="U132" i="6"/>
  <c r="V132" i="6"/>
  <c r="W132" i="6"/>
  <c r="X132" i="6"/>
  <c r="Y132" i="6"/>
  <c r="Z132" i="6"/>
  <c r="AA132" i="6"/>
  <c r="AB132" i="6"/>
  <c r="AD132" i="6"/>
  <c r="AE132" i="6"/>
  <c r="AF132" i="6"/>
  <c r="AG132" i="6"/>
  <c r="AH132" i="6"/>
  <c r="C133" i="6"/>
  <c r="D133" i="6"/>
  <c r="E133" i="6"/>
  <c r="F133" i="6"/>
  <c r="G133" i="6"/>
  <c r="H133" i="6"/>
  <c r="I133" i="6"/>
  <c r="J133" i="6"/>
  <c r="K133" i="6"/>
  <c r="L133" i="6"/>
  <c r="M133" i="6"/>
  <c r="N133" i="6"/>
  <c r="O133" i="6"/>
  <c r="P133" i="6"/>
  <c r="Q133" i="6"/>
  <c r="R133" i="6"/>
  <c r="S133" i="6"/>
  <c r="T133" i="6"/>
  <c r="U133" i="6"/>
  <c r="V133" i="6"/>
  <c r="W133" i="6"/>
  <c r="X133" i="6"/>
  <c r="Y133" i="6"/>
  <c r="Z133" i="6"/>
  <c r="AA133" i="6"/>
  <c r="AB133" i="6"/>
  <c r="AD133" i="6"/>
  <c r="AE133" i="6"/>
  <c r="AF133" i="6"/>
  <c r="AG133" i="6"/>
  <c r="AH133" i="6"/>
  <c r="C134" i="6"/>
  <c r="D134" i="6"/>
  <c r="E134" i="6"/>
  <c r="F134" i="6"/>
  <c r="G134" i="6"/>
  <c r="H134" i="6"/>
  <c r="I134" i="6"/>
  <c r="J134" i="6"/>
  <c r="K134" i="6"/>
  <c r="L134" i="6"/>
  <c r="M134" i="6"/>
  <c r="N134" i="6"/>
  <c r="O134" i="6"/>
  <c r="P134" i="6"/>
  <c r="Q134" i="6"/>
  <c r="R134" i="6"/>
  <c r="S134" i="6"/>
  <c r="T134" i="6"/>
  <c r="U134" i="6"/>
  <c r="V134" i="6"/>
  <c r="W134" i="6"/>
  <c r="X134" i="6"/>
  <c r="Y134" i="6"/>
  <c r="Z134" i="6"/>
  <c r="AA134" i="6"/>
  <c r="AB134" i="6"/>
  <c r="AD134" i="6"/>
  <c r="AE134" i="6"/>
  <c r="AF134" i="6"/>
  <c r="AG134" i="6"/>
  <c r="AH134" i="6"/>
  <c r="C135" i="6"/>
  <c r="D135" i="6"/>
  <c r="E135" i="6"/>
  <c r="F135" i="6"/>
  <c r="G135" i="6"/>
  <c r="H135" i="6"/>
  <c r="I135" i="6"/>
  <c r="J135" i="6"/>
  <c r="K135" i="6"/>
  <c r="L135" i="6"/>
  <c r="M135" i="6"/>
  <c r="N135" i="6"/>
  <c r="O135" i="6"/>
  <c r="P135" i="6"/>
  <c r="Q135" i="6"/>
  <c r="R135" i="6"/>
  <c r="S135" i="6"/>
  <c r="T135" i="6"/>
  <c r="U135" i="6"/>
  <c r="V135" i="6"/>
  <c r="W135" i="6"/>
  <c r="X135" i="6"/>
  <c r="Y135" i="6"/>
  <c r="Z135" i="6"/>
  <c r="AA135" i="6"/>
  <c r="AB135" i="6"/>
  <c r="AD135" i="6"/>
  <c r="AE135" i="6"/>
  <c r="AF135" i="6"/>
  <c r="AG135" i="6"/>
  <c r="AH135" i="6"/>
  <c r="C136" i="6"/>
  <c r="D136" i="6"/>
  <c r="E136" i="6"/>
  <c r="F136" i="6"/>
  <c r="G136" i="6"/>
  <c r="H136" i="6"/>
  <c r="I136" i="6"/>
  <c r="J136" i="6"/>
  <c r="K136" i="6"/>
  <c r="L136" i="6"/>
  <c r="M136" i="6"/>
  <c r="N136" i="6"/>
  <c r="O136" i="6"/>
  <c r="P136" i="6"/>
  <c r="Q136" i="6"/>
  <c r="R136" i="6"/>
  <c r="S136" i="6"/>
  <c r="T136" i="6"/>
  <c r="U136" i="6"/>
  <c r="V136" i="6"/>
  <c r="W136" i="6"/>
  <c r="X136" i="6"/>
  <c r="Y136" i="6"/>
  <c r="Z136" i="6"/>
  <c r="AA136" i="6"/>
  <c r="AB136" i="6"/>
  <c r="AD136" i="6"/>
  <c r="AE136" i="6"/>
  <c r="AF136" i="6"/>
  <c r="AG136" i="6"/>
  <c r="AH136" i="6"/>
  <c r="C137" i="6"/>
  <c r="D137" i="6"/>
  <c r="E137" i="6"/>
  <c r="F137" i="6"/>
  <c r="G137" i="6"/>
  <c r="H137" i="6"/>
  <c r="I137" i="6"/>
  <c r="J137" i="6"/>
  <c r="K137" i="6"/>
  <c r="L137" i="6"/>
  <c r="M137" i="6"/>
  <c r="N137" i="6"/>
  <c r="O137" i="6"/>
  <c r="P137" i="6"/>
  <c r="Q137" i="6"/>
  <c r="R137" i="6"/>
  <c r="S137" i="6"/>
  <c r="T137" i="6"/>
  <c r="U137" i="6"/>
  <c r="V137" i="6"/>
  <c r="W137" i="6"/>
  <c r="X137" i="6"/>
  <c r="Y137" i="6"/>
  <c r="Z137" i="6"/>
  <c r="AA137" i="6"/>
  <c r="AB137" i="6"/>
  <c r="AD137" i="6"/>
  <c r="AE137" i="6"/>
  <c r="AF137" i="6"/>
  <c r="AG137" i="6"/>
  <c r="AH137" i="6"/>
  <c r="C138" i="6"/>
  <c r="D138" i="6"/>
  <c r="E138" i="6"/>
  <c r="F138" i="6"/>
  <c r="G138" i="6"/>
  <c r="H138" i="6"/>
  <c r="I138" i="6"/>
  <c r="J138" i="6"/>
  <c r="K138" i="6"/>
  <c r="L138" i="6"/>
  <c r="M138" i="6"/>
  <c r="N138" i="6"/>
  <c r="O138" i="6"/>
  <c r="P138" i="6"/>
  <c r="Q138" i="6"/>
  <c r="R138" i="6"/>
  <c r="S138" i="6"/>
  <c r="T138" i="6"/>
  <c r="U138" i="6"/>
  <c r="V138" i="6"/>
  <c r="W138" i="6"/>
  <c r="X138" i="6"/>
  <c r="Y138" i="6"/>
  <c r="Z138" i="6"/>
  <c r="AA138" i="6"/>
  <c r="AB138" i="6"/>
  <c r="AD138" i="6"/>
  <c r="AE138" i="6"/>
  <c r="AF138" i="6"/>
  <c r="AG138" i="6"/>
  <c r="AH138" i="6"/>
  <c r="C139" i="6"/>
  <c r="D139" i="6"/>
  <c r="E139" i="6"/>
  <c r="F139" i="6"/>
  <c r="G139" i="6"/>
  <c r="H139" i="6"/>
  <c r="I139" i="6"/>
  <c r="J139" i="6"/>
  <c r="K139" i="6"/>
  <c r="L139" i="6"/>
  <c r="M139" i="6"/>
  <c r="N139" i="6"/>
  <c r="O139" i="6"/>
  <c r="P139" i="6"/>
  <c r="Q139" i="6"/>
  <c r="R139" i="6"/>
  <c r="S139" i="6"/>
  <c r="T139" i="6"/>
  <c r="U139" i="6"/>
  <c r="V139" i="6"/>
  <c r="W139" i="6"/>
  <c r="X139" i="6"/>
  <c r="Y139" i="6"/>
  <c r="Z139" i="6"/>
  <c r="AA139" i="6"/>
  <c r="AB139" i="6"/>
  <c r="AD139" i="6"/>
  <c r="AE139" i="6"/>
  <c r="AF139" i="6"/>
  <c r="AG139" i="6"/>
  <c r="AH139" i="6"/>
  <c r="C140" i="6"/>
  <c r="D140" i="6"/>
  <c r="E140" i="6"/>
  <c r="F140" i="6"/>
  <c r="G140" i="6"/>
  <c r="H140" i="6"/>
  <c r="I140" i="6"/>
  <c r="J140" i="6"/>
  <c r="K140" i="6"/>
  <c r="L140" i="6"/>
  <c r="M140" i="6"/>
  <c r="N140" i="6"/>
  <c r="O140" i="6"/>
  <c r="P140" i="6"/>
  <c r="Q140" i="6"/>
  <c r="R140" i="6"/>
  <c r="S140" i="6"/>
  <c r="T140" i="6"/>
  <c r="U140" i="6"/>
  <c r="V140" i="6"/>
  <c r="W140" i="6"/>
  <c r="X140" i="6"/>
  <c r="Y140" i="6"/>
  <c r="Z140" i="6"/>
  <c r="AA140" i="6"/>
  <c r="AB140" i="6"/>
  <c r="AD140" i="6"/>
  <c r="AE140" i="6"/>
  <c r="AF140" i="6"/>
  <c r="AG140" i="6"/>
  <c r="AH140" i="6"/>
  <c r="C141" i="6"/>
  <c r="D141" i="6"/>
  <c r="E141" i="6"/>
  <c r="F141" i="6"/>
  <c r="G141" i="6"/>
  <c r="H141" i="6"/>
  <c r="I141" i="6"/>
  <c r="J141" i="6"/>
  <c r="K141" i="6"/>
  <c r="L141" i="6"/>
  <c r="M141" i="6"/>
  <c r="N141" i="6"/>
  <c r="O141" i="6"/>
  <c r="P141" i="6"/>
  <c r="Q141" i="6"/>
  <c r="R141" i="6"/>
  <c r="S141" i="6"/>
  <c r="T141" i="6"/>
  <c r="U141" i="6"/>
  <c r="V141" i="6"/>
  <c r="W141" i="6"/>
  <c r="X141" i="6"/>
  <c r="Y141" i="6"/>
  <c r="Z141" i="6"/>
  <c r="AA141" i="6"/>
  <c r="AB141" i="6"/>
  <c r="AD141" i="6"/>
  <c r="AE141" i="6"/>
  <c r="AF141" i="6"/>
  <c r="AG141" i="6"/>
  <c r="AH141" i="6"/>
  <c r="C142" i="6"/>
  <c r="D142" i="6"/>
  <c r="E142" i="6"/>
  <c r="F142" i="6"/>
  <c r="G142" i="6"/>
  <c r="H142" i="6"/>
  <c r="I142" i="6"/>
  <c r="J142" i="6"/>
  <c r="K142" i="6"/>
  <c r="L142" i="6"/>
  <c r="M142" i="6"/>
  <c r="N142" i="6"/>
  <c r="O142" i="6"/>
  <c r="P142" i="6"/>
  <c r="Q142" i="6"/>
  <c r="R142" i="6"/>
  <c r="S142" i="6"/>
  <c r="T142" i="6"/>
  <c r="U142" i="6"/>
  <c r="V142" i="6"/>
  <c r="W142" i="6"/>
  <c r="X142" i="6"/>
  <c r="Y142" i="6"/>
  <c r="Z142" i="6"/>
  <c r="AA142" i="6"/>
  <c r="AB142" i="6"/>
  <c r="AD142" i="6"/>
  <c r="AE142" i="6"/>
  <c r="AF142" i="6"/>
  <c r="AG142" i="6"/>
  <c r="AH142" i="6"/>
  <c r="C143" i="6"/>
  <c r="D143" i="6"/>
  <c r="E143" i="6"/>
  <c r="F143" i="6"/>
  <c r="G143" i="6"/>
  <c r="H143" i="6"/>
  <c r="I143" i="6"/>
  <c r="J143" i="6"/>
  <c r="K143" i="6"/>
  <c r="L143" i="6"/>
  <c r="M143" i="6"/>
  <c r="N143" i="6"/>
  <c r="O143" i="6"/>
  <c r="P143" i="6"/>
  <c r="Q143" i="6"/>
  <c r="R143" i="6"/>
  <c r="S143" i="6"/>
  <c r="T143" i="6"/>
  <c r="U143" i="6"/>
  <c r="V143" i="6"/>
  <c r="W143" i="6"/>
  <c r="X143" i="6"/>
  <c r="Y143" i="6"/>
  <c r="Z143" i="6"/>
  <c r="AA143" i="6"/>
  <c r="AB143" i="6"/>
  <c r="AD143" i="6"/>
  <c r="AE143" i="6"/>
  <c r="AF143" i="6"/>
  <c r="AG143" i="6"/>
  <c r="AH143" i="6"/>
  <c r="C144" i="6"/>
  <c r="D144" i="6"/>
  <c r="E144" i="6"/>
  <c r="F144" i="6"/>
  <c r="G144" i="6"/>
  <c r="H144" i="6"/>
  <c r="I144" i="6"/>
  <c r="J144" i="6"/>
  <c r="K144" i="6"/>
  <c r="L144" i="6"/>
  <c r="M144" i="6"/>
  <c r="N144" i="6"/>
  <c r="O144" i="6"/>
  <c r="P144" i="6"/>
  <c r="Q144" i="6"/>
  <c r="R144" i="6"/>
  <c r="S144" i="6"/>
  <c r="T144" i="6"/>
  <c r="U144" i="6"/>
  <c r="V144" i="6"/>
  <c r="W144" i="6"/>
  <c r="X144" i="6"/>
  <c r="Y144" i="6"/>
  <c r="Z144" i="6"/>
  <c r="AA144" i="6"/>
  <c r="AB144" i="6"/>
  <c r="AD144" i="6"/>
  <c r="AE144" i="6"/>
  <c r="AF144" i="6"/>
  <c r="AG144" i="6"/>
  <c r="AH144" i="6"/>
  <c r="C145" i="6"/>
  <c r="D145" i="6"/>
  <c r="E145" i="6"/>
  <c r="F145" i="6"/>
  <c r="G145" i="6"/>
  <c r="H145" i="6"/>
  <c r="I145" i="6"/>
  <c r="J145" i="6"/>
  <c r="K145" i="6"/>
  <c r="L145" i="6"/>
  <c r="M145" i="6"/>
  <c r="N145" i="6"/>
  <c r="O145" i="6"/>
  <c r="P145" i="6"/>
  <c r="Q145" i="6"/>
  <c r="R145" i="6"/>
  <c r="S145" i="6"/>
  <c r="T145" i="6"/>
  <c r="U145" i="6"/>
  <c r="V145" i="6"/>
  <c r="W145" i="6"/>
  <c r="X145" i="6"/>
  <c r="Y145" i="6"/>
  <c r="Z145" i="6"/>
  <c r="AA145" i="6"/>
  <c r="AB145" i="6"/>
  <c r="AD145" i="6"/>
  <c r="AE145" i="6"/>
  <c r="AF145" i="6"/>
  <c r="AG145" i="6"/>
  <c r="AH145" i="6"/>
  <c r="C146" i="6"/>
  <c r="D146" i="6"/>
  <c r="E146" i="6"/>
  <c r="F146" i="6"/>
  <c r="G146" i="6"/>
  <c r="H146" i="6"/>
  <c r="I146" i="6"/>
  <c r="J146" i="6"/>
  <c r="K146" i="6"/>
  <c r="L146" i="6"/>
  <c r="M146" i="6"/>
  <c r="N146" i="6"/>
  <c r="O146" i="6"/>
  <c r="P146" i="6"/>
  <c r="Q146" i="6"/>
  <c r="R146" i="6"/>
  <c r="S146" i="6"/>
  <c r="T146" i="6"/>
  <c r="U146" i="6"/>
  <c r="V146" i="6"/>
  <c r="W146" i="6"/>
  <c r="X146" i="6"/>
  <c r="Y146" i="6"/>
  <c r="Z146" i="6"/>
  <c r="AA146" i="6"/>
  <c r="AB146" i="6"/>
  <c r="AD146" i="6"/>
  <c r="AE146" i="6"/>
  <c r="AF146" i="6"/>
  <c r="AG146" i="6"/>
  <c r="AH146" i="6"/>
  <c r="C147" i="6"/>
  <c r="D147" i="6"/>
  <c r="E147" i="6"/>
  <c r="F147" i="6"/>
  <c r="G147" i="6"/>
  <c r="H147" i="6"/>
  <c r="I147" i="6"/>
  <c r="J147" i="6"/>
  <c r="K147" i="6"/>
  <c r="L147" i="6"/>
  <c r="M147" i="6"/>
  <c r="N147" i="6"/>
  <c r="O147" i="6"/>
  <c r="P147" i="6"/>
  <c r="Q147" i="6"/>
  <c r="R147" i="6"/>
  <c r="S147" i="6"/>
  <c r="T147" i="6"/>
  <c r="U147" i="6"/>
  <c r="V147" i="6"/>
  <c r="W147" i="6"/>
  <c r="X147" i="6"/>
  <c r="Y147" i="6"/>
  <c r="Z147" i="6"/>
  <c r="AA147" i="6"/>
  <c r="AB147" i="6"/>
  <c r="AD147" i="6"/>
  <c r="AE147" i="6"/>
  <c r="AF147" i="6"/>
  <c r="AG147" i="6"/>
  <c r="AH147" i="6"/>
  <c r="C148" i="6"/>
  <c r="D148" i="6"/>
  <c r="E148" i="6"/>
  <c r="F148" i="6"/>
  <c r="G148" i="6"/>
  <c r="H148" i="6"/>
  <c r="I148" i="6"/>
  <c r="J148" i="6"/>
  <c r="K148" i="6"/>
  <c r="L148" i="6"/>
  <c r="M148" i="6"/>
  <c r="N148" i="6"/>
  <c r="O148" i="6"/>
  <c r="P148" i="6"/>
  <c r="Q148" i="6"/>
  <c r="R148" i="6"/>
  <c r="S148" i="6"/>
  <c r="T148" i="6"/>
  <c r="U148" i="6"/>
  <c r="V148" i="6"/>
  <c r="W148" i="6"/>
  <c r="X148" i="6"/>
  <c r="Y148" i="6"/>
  <c r="Z148" i="6"/>
  <c r="AA148" i="6"/>
  <c r="AB148" i="6"/>
  <c r="AD148" i="6"/>
  <c r="AE148" i="6"/>
  <c r="AF148" i="6"/>
  <c r="AG148" i="6"/>
  <c r="AH148" i="6"/>
  <c r="C149" i="6"/>
  <c r="D149" i="6"/>
  <c r="E149" i="6"/>
  <c r="F149" i="6"/>
  <c r="G149" i="6"/>
  <c r="H149" i="6"/>
  <c r="I149" i="6"/>
  <c r="J149" i="6"/>
  <c r="K149" i="6"/>
  <c r="L149" i="6"/>
  <c r="M149" i="6"/>
  <c r="N149" i="6"/>
  <c r="O149" i="6"/>
  <c r="P149" i="6"/>
  <c r="Q149" i="6"/>
  <c r="R149" i="6"/>
  <c r="S149" i="6"/>
  <c r="T149" i="6"/>
  <c r="U149" i="6"/>
  <c r="V149" i="6"/>
  <c r="W149" i="6"/>
  <c r="X149" i="6"/>
  <c r="Y149" i="6"/>
  <c r="Z149" i="6"/>
  <c r="AA149" i="6"/>
  <c r="AB149" i="6"/>
  <c r="AD149" i="6"/>
  <c r="AE149" i="6"/>
  <c r="AF149" i="6"/>
  <c r="AG149" i="6"/>
  <c r="AH149" i="6"/>
  <c r="C150" i="6"/>
  <c r="D150" i="6"/>
  <c r="E150" i="6"/>
  <c r="F150" i="6"/>
  <c r="G150" i="6"/>
  <c r="H150" i="6"/>
  <c r="I150" i="6"/>
  <c r="J150" i="6"/>
  <c r="K150" i="6"/>
  <c r="L150" i="6"/>
  <c r="M150" i="6"/>
  <c r="N150" i="6"/>
  <c r="O150" i="6"/>
  <c r="P150" i="6"/>
  <c r="Q150" i="6"/>
  <c r="R150" i="6"/>
  <c r="S150" i="6"/>
  <c r="T150" i="6"/>
  <c r="U150" i="6"/>
  <c r="V150" i="6"/>
  <c r="W150" i="6"/>
  <c r="X150" i="6"/>
  <c r="Y150" i="6"/>
  <c r="Z150" i="6"/>
  <c r="AA150" i="6"/>
  <c r="AB150" i="6"/>
  <c r="AD150" i="6"/>
  <c r="AE150" i="6"/>
  <c r="AF150" i="6"/>
  <c r="AG150" i="6"/>
  <c r="AH150" i="6"/>
  <c r="C151" i="6"/>
  <c r="D151" i="6"/>
  <c r="E151" i="6"/>
  <c r="F151" i="6"/>
  <c r="G151" i="6"/>
  <c r="H151" i="6"/>
  <c r="I151" i="6"/>
  <c r="J151" i="6"/>
  <c r="K151" i="6"/>
  <c r="L151" i="6"/>
  <c r="M151" i="6"/>
  <c r="N151" i="6"/>
  <c r="O151" i="6"/>
  <c r="P151" i="6"/>
  <c r="Q151" i="6"/>
  <c r="R151" i="6"/>
  <c r="S151" i="6"/>
  <c r="T151" i="6"/>
  <c r="U151" i="6"/>
  <c r="V151" i="6"/>
  <c r="W151" i="6"/>
  <c r="X151" i="6"/>
  <c r="Y151" i="6"/>
  <c r="Z151" i="6"/>
  <c r="AA151" i="6"/>
  <c r="AB151" i="6"/>
  <c r="AD151" i="6"/>
  <c r="AE151" i="6"/>
  <c r="AF151" i="6"/>
  <c r="AG151" i="6"/>
  <c r="AH151" i="6"/>
  <c r="C152" i="6"/>
  <c r="D152" i="6"/>
  <c r="E152" i="6"/>
  <c r="F152" i="6"/>
  <c r="G152" i="6"/>
  <c r="H152" i="6"/>
  <c r="I152" i="6"/>
  <c r="J152" i="6"/>
  <c r="K152" i="6"/>
  <c r="L152" i="6"/>
  <c r="M152" i="6"/>
  <c r="N152" i="6"/>
  <c r="O152" i="6"/>
  <c r="P152" i="6"/>
  <c r="Q152" i="6"/>
  <c r="R152" i="6"/>
  <c r="S152" i="6"/>
  <c r="T152" i="6"/>
  <c r="U152" i="6"/>
  <c r="V152" i="6"/>
  <c r="W152" i="6"/>
  <c r="X152" i="6"/>
  <c r="Y152" i="6"/>
  <c r="Z152" i="6"/>
  <c r="AA152" i="6"/>
  <c r="AB152" i="6"/>
  <c r="AD152" i="6"/>
  <c r="AE152" i="6"/>
  <c r="AF152" i="6"/>
  <c r="AG152" i="6"/>
  <c r="AH152" i="6"/>
  <c r="C153" i="6"/>
  <c r="D153" i="6"/>
  <c r="E153" i="6"/>
  <c r="F153" i="6"/>
  <c r="G153" i="6"/>
  <c r="H153" i="6"/>
  <c r="I153" i="6"/>
  <c r="J153" i="6"/>
  <c r="K153" i="6"/>
  <c r="L153" i="6"/>
  <c r="M153" i="6"/>
  <c r="N153" i="6"/>
  <c r="O153" i="6"/>
  <c r="P153" i="6"/>
  <c r="Q153" i="6"/>
  <c r="R153" i="6"/>
  <c r="S153" i="6"/>
  <c r="T153" i="6"/>
  <c r="U153" i="6"/>
  <c r="V153" i="6"/>
  <c r="W153" i="6"/>
  <c r="X153" i="6"/>
  <c r="Y153" i="6"/>
  <c r="Z153" i="6"/>
  <c r="AA153" i="6"/>
  <c r="AB153" i="6"/>
  <c r="AD153" i="6"/>
  <c r="AE153" i="6"/>
  <c r="AF153" i="6"/>
  <c r="AG153" i="6"/>
  <c r="AH153" i="6"/>
  <c r="C154" i="6"/>
  <c r="D154" i="6"/>
  <c r="E154" i="6"/>
  <c r="F154" i="6"/>
  <c r="G154" i="6"/>
  <c r="H154" i="6"/>
  <c r="I154" i="6"/>
  <c r="J154" i="6"/>
  <c r="K154" i="6"/>
  <c r="L154" i="6"/>
  <c r="M154" i="6"/>
  <c r="N154" i="6"/>
  <c r="O154" i="6"/>
  <c r="P154" i="6"/>
  <c r="Q154" i="6"/>
  <c r="R154" i="6"/>
  <c r="S154" i="6"/>
  <c r="T154" i="6"/>
  <c r="U154" i="6"/>
  <c r="V154" i="6"/>
  <c r="W154" i="6"/>
  <c r="X154" i="6"/>
  <c r="Y154" i="6"/>
  <c r="Z154" i="6"/>
  <c r="AA154" i="6"/>
  <c r="AB154" i="6"/>
  <c r="AD154" i="6"/>
  <c r="AE154" i="6"/>
  <c r="AF154" i="6"/>
  <c r="AG154" i="6"/>
  <c r="AH154" i="6"/>
  <c r="C155" i="6"/>
  <c r="D155" i="6"/>
  <c r="E155" i="6"/>
  <c r="F155" i="6"/>
  <c r="G155" i="6"/>
  <c r="H155" i="6"/>
  <c r="I155" i="6"/>
  <c r="J155" i="6"/>
  <c r="K155" i="6"/>
  <c r="L155" i="6"/>
  <c r="M155" i="6"/>
  <c r="N155" i="6"/>
  <c r="O155" i="6"/>
  <c r="P155" i="6"/>
  <c r="Q155" i="6"/>
  <c r="R155" i="6"/>
  <c r="S155" i="6"/>
  <c r="T155" i="6"/>
  <c r="U155" i="6"/>
  <c r="V155" i="6"/>
  <c r="W155" i="6"/>
  <c r="X155" i="6"/>
  <c r="Y155" i="6"/>
  <c r="Z155" i="6"/>
  <c r="AA155" i="6"/>
  <c r="AB155" i="6"/>
  <c r="AD155" i="6"/>
  <c r="AE155" i="6"/>
  <c r="AF155" i="6"/>
  <c r="AG155" i="6"/>
  <c r="AH155" i="6"/>
  <c r="C156" i="6"/>
  <c r="D156" i="6"/>
  <c r="E156" i="6"/>
  <c r="F156" i="6"/>
  <c r="G156" i="6"/>
  <c r="H156" i="6"/>
  <c r="I156" i="6"/>
  <c r="J156" i="6"/>
  <c r="K156" i="6"/>
  <c r="L156" i="6"/>
  <c r="M156" i="6"/>
  <c r="N156" i="6"/>
  <c r="O156" i="6"/>
  <c r="P156" i="6"/>
  <c r="Q156" i="6"/>
  <c r="R156" i="6"/>
  <c r="S156" i="6"/>
  <c r="T156" i="6"/>
  <c r="U156" i="6"/>
  <c r="V156" i="6"/>
  <c r="W156" i="6"/>
  <c r="X156" i="6"/>
  <c r="Y156" i="6"/>
  <c r="Z156" i="6"/>
  <c r="AA156" i="6"/>
  <c r="AB156" i="6"/>
  <c r="AD156" i="6"/>
  <c r="AE156" i="6"/>
  <c r="AF156" i="6"/>
  <c r="AG156" i="6"/>
  <c r="AH156" i="6"/>
  <c r="C157" i="6"/>
  <c r="D157" i="6"/>
  <c r="E157" i="6"/>
  <c r="F157" i="6"/>
  <c r="G157" i="6"/>
  <c r="H157" i="6"/>
  <c r="I157" i="6"/>
  <c r="J157" i="6"/>
  <c r="K157" i="6"/>
  <c r="L157" i="6"/>
  <c r="M157" i="6"/>
  <c r="N157" i="6"/>
  <c r="O157" i="6"/>
  <c r="P157" i="6"/>
  <c r="Q157" i="6"/>
  <c r="R157" i="6"/>
  <c r="S157" i="6"/>
  <c r="T157" i="6"/>
  <c r="U157" i="6"/>
  <c r="V157" i="6"/>
  <c r="W157" i="6"/>
  <c r="X157" i="6"/>
  <c r="Y157" i="6"/>
  <c r="Z157" i="6"/>
  <c r="AA157" i="6"/>
  <c r="AB157" i="6"/>
  <c r="AD157" i="6"/>
  <c r="AE157" i="6"/>
  <c r="AF157" i="6"/>
  <c r="AG157" i="6"/>
  <c r="AH157" i="6"/>
  <c r="C158" i="6"/>
  <c r="D158" i="6"/>
  <c r="E158" i="6"/>
  <c r="F158" i="6"/>
  <c r="G158" i="6"/>
  <c r="H158" i="6"/>
  <c r="I158" i="6"/>
  <c r="J158" i="6"/>
  <c r="K158" i="6"/>
  <c r="L158" i="6"/>
  <c r="M158" i="6"/>
  <c r="N158" i="6"/>
  <c r="O158" i="6"/>
  <c r="P158" i="6"/>
  <c r="Q158" i="6"/>
  <c r="R158" i="6"/>
  <c r="S158" i="6"/>
  <c r="T158" i="6"/>
  <c r="U158" i="6"/>
  <c r="V158" i="6"/>
  <c r="W158" i="6"/>
  <c r="X158" i="6"/>
  <c r="Y158" i="6"/>
  <c r="Z158" i="6"/>
  <c r="AA158" i="6"/>
  <c r="AB158" i="6"/>
  <c r="AD158" i="6"/>
  <c r="AE158" i="6"/>
  <c r="AF158" i="6"/>
  <c r="AG158" i="6"/>
  <c r="AH158" i="6"/>
  <c r="C159" i="6"/>
  <c r="D159" i="6"/>
  <c r="E159" i="6"/>
  <c r="F159" i="6"/>
  <c r="G159" i="6"/>
  <c r="H159" i="6"/>
  <c r="I159" i="6"/>
  <c r="J159" i="6"/>
  <c r="K159" i="6"/>
  <c r="L159" i="6"/>
  <c r="M159" i="6"/>
  <c r="N159" i="6"/>
  <c r="O159" i="6"/>
  <c r="P159" i="6"/>
  <c r="Q159" i="6"/>
  <c r="R159" i="6"/>
  <c r="S159" i="6"/>
  <c r="T159" i="6"/>
  <c r="U159" i="6"/>
  <c r="V159" i="6"/>
  <c r="W159" i="6"/>
  <c r="X159" i="6"/>
  <c r="Y159" i="6"/>
  <c r="Z159" i="6"/>
  <c r="AA159" i="6"/>
  <c r="AB159" i="6"/>
  <c r="AD159" i="6"/>
  <c r="AE159" i="6"/>
  <c r="AF159" i="6"/>
  <c r="AG159" i="6"/>
  <c r="AH159" i="6"/>
  <c r="C160" i="6"/>
  <c r="D160" i="6"/>
  <c r="E160" i="6"/>
  <c r="F160" i="6"/>
  <c r="G160" i="6"/>
  <c r="H160" i="6"/>
  <c r="I160" i="6"/>
  <c r="J160" i="6"/>
  <c r="K160" i="6"/>
  <c r="L160" i="6"/>
  <c r="M160" i="6"/>
  <c r="N160" i="6"/>
  <c r="O160" i="6"/>
  <c r="P160" i="6"/>
  <c r="Q160" i="6"/>
  <c r="R160" i="6"/>
  <c r="S160" i="6"/>
  <c r="T160" i="6"/>
  <c r="U160" i="6"/>
  <c r="V160" i="6"/>
  <c r="W160" i="6"/>
  <c r="X160" i="6"/>
  <c r="Y160" i="6"/>
  <c r="Z160" i="6"/>
  <c r="AA160" i="6"/>
  <c r="AB160" i="6"/>
  <c r="AD160" i="6"/>
  <c r="AE160" i="6"/>
  <c r="AF160" i="6"/>
  <c r="AG160" i="6"/>
  <c r="AH160" i="6"/>
  <c r="C161" i="6"/>
  <c r="D161" i="6"/>
  <c r="E161" i="6"/>
  <c r="F161" i="6"/>
  <c r="G161" i="6"/>
  <c r="H161" i="6"/>
  <c r="I161" i="6"/>
  <c r="J161" i="6"/>
  <c r="K161" i="6"/>
  <c r="L161" i="6"/>
  <c r="M161" i="6"/>
  <c r="N161" i="6"/>
  <c r="O161" i="6"/>
  <c r="P161" i="6"/>
  <c r="Q161" i="6"/>
  <c r="R161" i="6"/>
  <c r="S161" i="6"/>
  <c r="T161" i="6"/>
  <c r="U161" i="6"/>
  <c r="V161" i="6"/>
  <c r="W161" i="6"/>
  <c r="X161" i="6"/>
  <c r="Y161" i="6"/>
  <c r="Z161" i="6"/>
  <c r="AA161" i="6"/>
  <c r="AB161" i="6"/>
  <c r="AD161" i="6"/>
  <c r="AE161" i="6"/>
  <c r="AF161" i="6"/>
  <c r="AG161" i="6"/>
  <c r="AH161" i="6"/>
  <c r="C162" i="6"/>
  <c r="D162" i="6"/>
  <c r="E162" i="6"/>
  <c r="F162" i="6"/>
  <c r="G162" i="6"/>
  <c r="H162" i="6"/>
  <c r="I162" i="6"/>
  <c r="J162" i="6"/>
  <c r="K162" i="6"/>
  <c r="L162" i="6"/>
  <c r="M162" i="6"/>
  <c r="N162" i="6"/>
  <c r="O162" i="6"/>
  <c r="P162" i="6"/>
  <c r="Q162" i="6"/>
  <c r="R162" i="6"/>
  <c r="S162" i="6"/>
  <c r="T162" i="6"/>
  <c r="U162" i="6"/>
  <c r="V162" i="6"/>
  <c r="W162" i="6"/>
  <c r="X162" i="6"/>
  <c r="Y162" i="6"/>
  <c r="Z162" i="6"/>
  <c r="AA162" i="6"/>
  <c r="AB162" i="6"/>
  <c r="AD162" i="6"/>
  <c r="AE162" i="6"/>
  <c r="AF162" i="6"/>
  <c r="AG162" i="6"/>
  <c r="AH162" i="6"/>
  <c r="C163" i="6"/>
  <c r="D163" i="6"/>
  <c r="E163" i="6"/>
  <c r="F163" i="6"/>
  <c r="G163" i="6"/>
  <c r="H163" i="6"/>
  <c r="I163" i="6"/>
  <c r="J163" i="6"/>
  <c r="K163" i="6"/>
  <c r="L163" i="6"/>
  <c r="M163" i="6"/>
  <c r="N163" i="6"/>
  <c r="O163" i="6"/>
  <c r="P163" i="6"/>
  <c r="Q163" i="6"/>
  <c r="R163" i="6"/>
  <c r="S163" i="6"/>
  <c r="T163" i="6"/>
  <c r="U163" i="6"/>
  <c r="V163" i="6"/>
  <c r="W163" i="6"/>
  <c r="X163" i="6"/>
  <c r="Y163" i="6"/>
  <c r="Z163" i="6"/>
  <c r="AA163" i="6"/>
  <c r="AB163" i="6"/>
  <c r="AD163" i="6"/>
  <c r="AE163" i="6"/>
  <c r="AF163" i="6"/>
  <c r="AG163" i="6"/>
  <c r="AH163" i="6"/>
  <c r="C164" i="6"/>
  <c r="D164" i="6"/>
  <c r="E164" i="6"/>
  <c r="F164" i="6"/>
  <c r="G164" i="6"/>
  <c r="H164" i="6"/>
  <c r="I164" i="6"/>
  <c r="J164" i="6"/>
  <c r="K164" i="6"/>
  <c r="L164" i="6"/>
  <c r="M164" i="6"/>
  <c r="N164" i="6"/>
  <c r="O164" i="6"/>
  <c r="P164" i="6"/>
  <c r="Q164" i="6"/>
  <c r="R164" i="6"/>
  <c r="S164" i="6"/>
  <c r="T164" i="6"/>
  <c r="U164" i="6"/>
  <c r="V164" i="6"/>
  <c r="W164" i="6"/>
  <c r="X164" i="6"/>
  <c r="Y164" i="6"/>
  <c r="Z164" i="6"/>
  <c r="AA164" i="6"/>
  <c r="AB164" i="6"/>
  <c r="AD164" i="6"/>
  <c r="AE164" i="6"/>
  <c r="AF164" i="6"/>
  <c r="AG164" i="6"/>
  <c r="AH164" i="6"/>
  <c r="C165" i="6"/>
  <c r="D165" i="6"/>
  <c r="E165" i="6"/>
  <c r="F165" i="6"/>
  <c r="G165" i="6"/>
  <c r="H165" i="6"/>
  <c r="I165" i="6"/>
  <c r="J165" i="6"/>
  <c r="K165" i="6"/>
  <c r="L165" i="6"/>
  <c r="M165" i="6"/>
  <c r="N165" i="6"/>
  <c r="O165" i="6"/>
  <c r="P165" i="6"/>
  <c r="Q165" i="6"/>
  <c r="R165" i="6"/>
  <c r="S165" i="6"/>
  <c r="T165" i="6"/>
  <c r="U165" i="6"/>
  <c r="V165" i="6"/>
  <c r="W165" i="6"/>
  <c r="X165" i="6"/>
  <c r="Y165" i="6"/>
  <c r="Z165" i="6"/>
  <c r="AA165" i="6"/>
  <c r="AB165" i="6"/>
  <c r="AD165" i="6"/>
  <c r="AE165" i="6"/>
  <c r="AF165" i="6"/>
  <c r="AG165" i="6"/>
  <c r="AH165" i="6"/>
  <c r="C166" i="6"/>
  <c r="D166" i="6"/>
  <c r="E166" i="6"/>
  <c r="F166" i="6"/>
  <c r="G166" i="6"/>
  <c r="H166" i="6"/>
  <c r="I166" i="6"/>
  <c r="J166" i="6"/>
  <c r="K166" i="6"/>
  <c r="L166" i="6"/>
  <c r="M166" i="6"/>
  <c r="N166" i="6"/>
  <c r="O166" i="6"/>
  <c r="P166" i="6"/>
  <c r="Q166" i="6"/>
  <c r="R166" i="6"/>
  <c r="S166" i="6"/>
  <c r="T166" i="6"/>
  <c r="U166" i="6"/>
  <c r="V166" i="6"/>
  <c r="W166" i="6"/>
  <c r="X166" i="6"/>
  <c r="Y166" i="6"/>
  <c r="Z166" i="6"/>
  <c r="AA166" i="6"/>
  <c r="AB166" i="6"/>
  <c r="AD166" i="6"/>
  <c r="AE166" i="6"/>
  <c r="AF166" i="6"/>
  <c r="AG166" i="6"/>
  <c r="AH166" i="6"/>
  <c r="C167" i="6"/>
  <c r="D167" i="6"/>
  <c r="E167" i="6"/>
  <c r="F167" i="6"/>
  <c r="G167" i="6"/>
  <c r="H167" i="6"/>
  <c r="I167" i="6"/>
  <c r="J167" i="6"/>
  <c r="K167" i="6"/>
  <c r="L167" i="6"/>
  <c r="M167" i="6"/>
  <c r="N167" i="6"/>
  <c r="O167" i="6"/>
  <c r="P167" i="6"/>
  <c r="Q167" i="6"/>
  <c r="R167" i="6"/>
  <c r="S167" i="6"/>
  <c r="T167" i="6"/>
  <c r="U167" i="6"/>
  <c r="V167" i="6"/>
  <c r="W167" i="6"/>
  <c r="X167" i="6"/>
  <c r="Y167" i="6"/>
  <c r="Z167" i="6"/>
  <c r="AA167" i="6"/>
  <c r="AB167" i="6"/>
  <c r="AD167" i="6"/>
  <c r="AE167" i="6"/>
  <c r="AF167" i="6"/>
  <c r="AG167" i="6"/>
  <c r="AH167" i="6"/>
  <c r="C168" i="6"/>
  <c r="D168" i="6"/>
  <c r="E168" i="6"/>
  <c r="F168" i="6"/>
  <c r="G168" i="6"/>
  <c r="H168" i="6"/>
  <c r="I168" i="6"/>
  <c r="J168" i="6"/>
  <c r="K168" i="6"/>
  <c r="L168" i="6"/>
  <c r="M168" i="6"/>
  <c r="N168" i="6"/>
  <c r="O168" i="6"/>
  <c r="P168" i="6"/>
  <c r="Q168" i="6"/>
  <c r="R168" i="6"/>
  <c r="S168" i="6"/>
  <c r="T168" i="6"/>
  <c r="U168" i="6"/>
  <c r="V168" i="6"/>
  <c r="W168" i="6"/>
  <c r="X168" i="6"/>
  <c r="Y168" i="6"/>
  <c r="Z168" i="6"/>
  <c r="AA168" i="6"/>
  <c r="AB168" i="6"/>
  <c r="AD168" i="6"/>
  <c r="AE168" i="6"/>
  <c r="AF168" i="6"/>
  <c r="AG168" i="6"/>
  <c r="AH168" i="6"/>
  <c r="C169" i="6"/>
  <c r="D169" i="6"/>
  <c r="E169" i="6"/>
  <c r="F169" i="6"/>
  <c r="G169" i="6"/>
  <c r="H169" i="6"/>
  <c r="I169" i="6"/>
  <c r="J169" i="6"/>
  <c r="K169" i="6"/>
  <c r="L169" i="6"/>
  <c r="M169" i="6"/>
  <c r="N169" i="6"/>
  <c r="O169" i="6"/>
  <c r="P169" i="6"/>
  <c r="Q169" i="6"/>
  <c r="R169" i="6"/>
  <c r="S169" i="6"/>
  <c r="T169" i="6"/>
  <c r="U169" i="6"/>
  <c r="V169" i="6"/>
  <c r="W169" i="6"/>
  <c r="X169" i="6"/>
  <c r="Y169" i="6"/>
  <c r="Z169" i="6"/>
  <c r="AA169" i="6"/>
  <c r="AB169" i="6"/>
  <c r="AD169" i="6"/>
  <c r="AE169" i="6"/>
  <c r="AF169" i="6"/>
  <c r="AG169" i="6"/>
  <c r="AH169" i="6"/>
  <c r="C170" i="6"/>
  <c r="D170" i="6"/>
  <c r="E170" i="6"/>
  <c r="F170" i="6"/>
  <c r="G170" i="6"/>
  <c r="H170" i="6"/>
  <c r="I170" i="6"/>
  <c r="J170" i="6"/>
  <c r="K170" i="6"/>
  <c r="L170" i="6"/>
  <c r="M170" i="6"/>
  <c r="N170" i="6"/>
  <c r="O170" i="6"/>
  <c r="P170" i="6"/>
  <c r="Q170" i="6"/>
  <c r="R170" i="6"/>
  <c r="S170" i="6"/>
  <c r="T170" i="6"/>
  <c r="U170" i="6"/>
  <c r="V170" i="6"/>
  <c r="W170" i="6"/>
  <c r="X170" i="6"/>
  <c r="Y170" i="6"/>
  <c r="Z170" i="6"/>
  <c r="AA170" i="6"/>
  <c r="AB170" i="6"/>
  <c r="AD170" i="6"/>
  <c r="AE170" i="6"/>
  <c r="AF170" i="6"/>
  <c r="AG170" i="6"/>
  <c r="AH170" i="6"/>
  <c r="C171" i="6"/>
  <c r="D171" i="6"/>
  <c r="E171" i="6"/>
  <c r="F171" i="6"/>
  <c r="G171" i="6"/>
  <c r="H171" i="6"/>
  <c r="I171" i="6"/>
  <c r="J171" i="6"/>
  <c r="K171" i="6"/>
  <c r="L171" i="6"/>
  <c r="M171" i="6"/>
  <c r="N171" i="6"/>
  <c r="O171" i="6"/>
  <c r="P171" i="6"/>
  <c r="Q171" i="6"/>
  <c r="R171" i="6"/>
  <c r="S171" i="6"/>
  <c r="T171" i="6"/>
  <c r="U171" i="6"/>
  <c r="V171" i="6"/>
  <c r="W171" i="6"/>
  <c r="X171" i="6"/>
  <c r="Y171" i="6"/>
  <c r="Z171" i="6"/>
  <c r="AA171" i="6"/>
  <c r="AB171" i="6"/>
  <c r="AD171" i="6"/>
  <c r="AE171" i="6"/>
  <c r="AF171" i="6"/>
  <c r="AG171" i="6"/>
  <c r="AH171" i="6"/>
  <c r="C172" i="6"/>
  <c r="D172" i="6"/>
  <c r="E172" i="6"/>
  <c r="F172" i="6"/>
  <c r="G172" i="6"/>
  <c r="H172" i="6"/>
  <c r="I172" i="6"/>
  <c r="J172" i="6"/>
  <c r="K172" i="6"/>
  <c r="L172" i="6"/>
  <c r="M172" i="6"/>
  <c r="N172" i="6"/>
  <c r="O172" i="6"/>
  <c r="P172" i="6"/>
  <c r="Q172" i="6"/>
  <c r="R172" i="6"/>
  <c r="S172" i="6"/>
  <c r="T172" i="6"/>
  <c r="U172" i="6"/>
  <c r="V172" i="6"/>
  <c r="W172" i="6"/>
  <c r="X172" i="6"/>
  <c r="Y172" i="6"/>
  <c r="Z172" i="6"/>
  <c r="AA172" i="6"/>
  <c r="AB172" i="6"/>
  <c r="AD172" i="6"/>
  <c r="AE172" i="6"/>
  <c r="AF172" i="6"/>
  <c r="AG172" i="6"/>
  <c r="AH172" i="6"/>
  <c r="C173" i="6"/>
  <c r="D173" i="6"/>
  <c r="E173" i="6"/>
  <c r="F173" i="6"/>
  <c r="G173" i="6"/>
  <c r="H173" i="6"/>
  <c r="I173" i="6"/>
  <c r="J173" i="6"/>
  <c r="K173" i="6"/>
  <c r="L173" i="6"/>
  <c r="M173" i="6"/>
  <c r="N173" i="6"/>
  <c r="O173" i="6"/>
  <c r="P173" i="6"/>
  <c r="Q173" i="6"/>
  <c r="R173" i="6"/>
  <c r="S173" i="6"/>
  <c r="T173" i="6"/>
  <c r="U173" i="6"/>
  <c r="V173" i="6"/>
  <c r="W173" i="6"/>
  <c r="X173" i="6"/>
  <c r="Y173" i="6"/>
  <c r="Z173" i="6"/>
  <c r="AA173" i="6"/>
  <c r="AB173" i="6"/>
  <c r="AD173" i="6"/>
  <c r="AE173" i="6"/>
  <c r="AF173" i="6"/>
  <c r="AG173" i="6"/>
  <c r="AH173" i="6"/>
  <c r="C174" i="6"/>
  <c r="D174" i="6"/>
  <c r="E174" i="6"/>
  <c r="F174" i="6"/>
  <c r="G174" i="6"/>
  <c r="H174" i="6"/>
  <c r="I174" i="6"/>
  <c r="J174" i="6"/>
  <c r="K174" i="6"/>
  <c r="L174" i="6"/>
  <c r="M174" i="6"/>
  <c r="N174" i="6"/>
  <c r="O174" i="6"/>
  <c r="P174" i="6"/>
  <c r="Q174" i="6"/>
  <c r="R174" i="6"/>
  <c r="S174" i="6"/>
  <c r="T174" i="6"/>
  <c r="U174" i="6"/>
  <c r="V174" i="6"/>
  <c r="W174" i="6"/>
  <c r="X174" i="6"/>
  <c r="Y174" i="6"/>
  <c r="Z174" i="6"/>
  <c r="AA174" i="6"/>
  <c r="AB174" i="6"/>
  <c r="AD174" i="6"/>
  <c r="AE174" i="6"/>
  <c r="AF174" i="6"/>
  <c r="AG174" i="6"/>
  <c r="AH174" i="6"/>
  <c r="C175" i="6"/>
  <c r="D175" i="6"/>
  <c r="E175" i="6"/>
  <c r="F175" i="6"/>
  <c r="G175" i="6"/>
  <c r="H175" i="6"/>
  <c r="I175" i="6"/>
  <c r="J175" i="6"/>
  <c r="K175" i="6"/>
  <c r="L175" i="6"/>
  <c r="M175" i="6"/>
  <c r="N175" i="6"/>
  <c r="O175" i="6"/>
  <c r="P175" i="6"/>
  <c r="Q175" i="6"/>
  <c r="R175" i="6"/>
  <c r="S175" i="6"/>
  <c r="T175" i="6"/>
  <c r="U175" i="6"/>
  <c r="V175" i="6"/>
  <c r="W175" i="6"/>
  <c r="X175" i="6"/>
  <c r="Y175" i="6"/>
  <c r="Z175" i="6"/>
  <c r="AA175" i="6"/>
  <c r="AB175" i="6"/>
  <c r="AD175" i="6"/>
  <c r="AE175" i="6"/>
  <c r="AF175" i="6"/>
  <c r="AG175" i="6"/>
  <c r="AH175" i="6"/>
  <c r="C176" i="6"/>
  <c r="D176" i="6"/>
  <c r="E176" i="6"/>
  <c r="F176" i="6"/>
  <c r="G176" i="6"/>
  <c r="H176" i="6"/>
  <c r="I176" i="6"/>
  <c r="J176" i="6"/>
  <c r="K176" i="6"/>
  <c r="L176" i="6"/>
  <c r="M176" i="6"/>
  <c r="N176" i="6"/>
  <c r="O176" i="6"/>
  <c r="P176" i="6"/>
  <c r="Q176" i="6"/>
  <c r="R176" i="6"/>
  <c r="S176" i="6"/>
  <c r="T176" i="6"/>
  <c r="U176" i="6"/>
  <c r="V176" i="6"/>
  <c r="W176" i="6"/>
  <c r="X176" i="6"/>
  <c r="Y176" i="6"/>
  <c r="Z176" i="6"/>
  <c r="AA176" i="6"/>
  <c r="AB176" i="6"/>
  <c r="AD176" i="6"/>
  <c r="AE176" i="6"/>
  <c r="AF176" i="6"/>
  <c r="AG176" i="6"/>
  <c r="AH176" i="6"/>
  <c r="C177" i="6"/>
  <c r="D177" i="6"/>
  <c r="E177" i="6"/>
  <c r="F177" i="6"/>
  <c r="G177" i="6"/>
  <c r="H177" i="6"/>
  <c r="I177" i="6"/>
  <c r="J177" i="6"/>
  <c r="K177" i="6"/>
  <c r="L177" i="6"/>
  <c r="M177" i="6"/>
  <c r="N177" i="6"/>
  <c r="O177" i="6"/>
  <c r="P177" i="6"/>
  <c r="Q177" i="6"/>
  <c r="R177" i="6"/>
  <c r="S177" i="6"/>
  <c r="T177" i="6"/>
  <c r="U177" i="6"/>
  <c r="V177" i="6"/>
  <c r="W177" i="6"/>
  <c r="X177" i="6"/>
  <c r="Y177" i="6"/>
  <c r="Z177" i="6"/>
  <c r="AA177" i="6"/>
  <c r="AB177" i="6"/>
  <c r="AD177" i="6"/>
  <c r="AE177" i="6"/>
  <c r="AF177" i="6"/>
  <c r="AG177" i="6"/>
  <c r="AH177" i="6"/>
  <c r="C178" i="6"/>
  <c r="D178" i="6"/>
  <c r="E178" i="6"/>
  <c r="F178" i="6"/>
  <c r="G178" i="6"/>
  <c r="H178" i="6"/>
  <c r="I178" i="6"/>
  <c r="J178" i="6"/>
  <c r="K178" i="6"/>
  <c r="L178" i="6"/>
  <c r="M178" i="6"/>
  <c r="N178" i="6"/>
  <c r="O178" i="6"/>
  <c r="P178" i="6"/>
  <c r="Q178" i="6"/>
  <c r="R178" i="6"/>
  <c r="S178" i="6"/>
  <c r="T178" i="6"/>
  <c r="U178" i="6"/>
  <c r="V178" i="6"/>
  <c r="W178" i="6"/>
  <c r="X178" i="6"/>
  <c r="Y178" i="6"/>
  <c r="Z178" i="6"/>
  <c r="AA178" i="6"/>
  <c r="AB178" i="6"/>
  <c r="AD178" i="6"/>
  <c r="AE178" i="6"/>
  <c r="AF178" i="6"/>
  <c r="AG178" i="6"/>
  <c r="AH178" i="6"/>
  <c r="C179" i="6"/>
  <c r="D179" i="6"/>
  <c r="E179" i="6"/>
  <c r="F179" i="6"/>
  <c r="G179" i="6"/>
  <c r="H179" i="6"/>
  <c r="I179" i="6"/>
  <c r="J179" i="6"/>
  <c r="K179" i="6"/>
  <c r="L179" i="6"/>
  <c r="M179" i="6"/>
  <c r="N179" i="6"/>
  <c r="O179" i="6"/>
  <c r="P179" i="6"/>
  <c r="Q179" i="6"/>
  <c r="R179" i="6"/>
  <c r="S179" i="6"/>
  <c r="T179" i="6"/>
  <c r="U179" i="6"/>
  <c r="V179" i="6"/>
  <c r="W179" i="6"/>
  <c r="X179" i="6"/>
  <c r="Y179" i="6"/>
  <c r="Z179" i="6"/>
  <c r="AA179" i="6"/>
  <c r="AB179" i="6"/>
  <c r="AD179" i="6"/>
  <c r="AE179" i="6"/>
  <c r="AF179" i="6"/>
  <c r="AG179" i="6"/>
  <c r="AH179" i="6"/>
  <c r="C180" i="6"/>
  <c r="D180" i="6"/>
  <c r="E180" i="6"/>
  <c r="F180" i="6"/>
  <c r="G180" i="6"/>
  <c r="H180" i="6"/>
  <c r="I180" i="6"/>
  <c r="J180" i="6"/>
  <c r="K180" i="6"/>
  <c r="L180" i="6"/>
  <c r="M180" i="6"/>
  <c r="N180" i="6"/>
  <c r="O180" i="6"/>
  <c r="P180" i="6"/>
  <c r="Q180" i="6"/>
  <c r="R180" i="6"/>
  <c r="S180" i="6"/>
  <c r="T180" i="6"/>
  <c r="U180" i="6"/>
  <c r="V180" i="6"/>
  <c r="W180" i="6"/>
  <c r="X180" i="6"/>
  <c r="Y180" i="6"/>
  <c r="Z180" i="6"/>
  <c r="AA180" i="6"/>
  <c r="AB180" i="6"/>
  <c r="AD180" i="6"/>
  <c r="AE180" i="6"/>
  <c r="AF180" i="6"/>
  <c r="AG180" i="6"/>
  <c r="AH180" i="6"/>
  <c r="C181" i="6"/>
  <c r="D181" i="6"/>
  <c r="E181" i="6"/>
  <c r="F181" i="6"/>
  <c r="G181" i="6"/>
  <c r="H181" i="6"/>
  <c r="I181" i="6"/>
  <c r="J181" i="6"/>
  <c r="K181" i="6"/>
  <c r="L181" i="6"/>
  <c r="M181" i="6"/>
  <c r="N181" i="6"/>
  <c r="O181" i="6"/>
  <c r="P181" i="6"/>
  <c r="Q181" i="6"/>
  <c r="R181" i="6"/>
  <c r="S181" i="6"/>
  <c r="T181" i="6"/>
  <c r="U181" i="6"/>
  <c r="V181" i="6"/>
  <c r="W181" i="6"/>
  <c r="X181" i="6"/>
  <c r="Y181" i="6"/>
  <c r="Z181" i="6"/>
  <c r="AA181" i="6"/>
  <c r="AB181" i="6"/>
  <c r="AD181" i="6"/>
  <c r="AE181" i="6"/>
  <c r="AF181" i="6"/>
  <c r="AG181" i="6"/>
  <c r="AH181" i="6"/>
  <c r="C182" i="6"/>
  <c r="D182" i="6"/>
  <c r="E182" i="6"/>
  <c r="F182" i="6"/>
  <c r="G182" i="6"/>
  <c r="H182" i="6"/>
  <c r="I182" i="6"/>
  <c r="J182" i="6"/>
  <c r="K182" i="6"/>
  <c r="L182" i="6"/>
  <c r="M182" i="6"/>
  <c r="N182" i="6"/>
  <c r="O182" i="6"/>
  <c r="P182" i="6"/>
  <c r="Q182" i="6"/>
  <c r="R182" i="6"/>
  <c r="S182" i="6"/>
  <c r="T182" i="6"/>
  <c r="U182" i="6"/>
  <c r="V182" i="6"/>
  <c r="W182" i="6"/>
  <c r="X182" i="6"/>
  <c r="Y182" i="6"/>
  <c r="Z182" i="6"/>
  <c r="AA182" i="6"/>
  <c r="AB182" i="6"/>
  <c r="AD182" i="6"/>
  <c r="AE182" i="6"/>
  <c r="AF182" i="6"/>
  <c r="AG182" i="6"/>
  <c r="AH182" i="6"/>
  <c r="C183" i="6"/>
  <c r="D183" i="6"/>
  <c r="E183" i="6"/>
  <c r="F183" i="6"/>
  <c r="G183" i="6"/>
  <c r="H183" i="6"/>
  <c r="I183" i="6"/>
  <c r="J183" i="6"/>
  <c r="K183" i="6"/>
  <c r="L183" i="6"/>
  <c r="M183" i="6"/>
  <c r="N183" i="6"/>
  <c r="O183" i="6"/>
  <c r="P183" i="6"/>
  <c r="Q183" i="6"/>
  <c r="R183" i="6"/>
  <c r="S183" i="6"/>
  <c r="T183" i="6"/>
  <c r="U183" i="6"/>
  <c r="V183" i="6"/>
  <c r="W183" i="6"/>
  <c r="X183" i="6"/>
  <c r="Y183" i="6"/>
  <c r="Z183" i="6"/>
  <c r="AA183" i="6"/>
  <c r="AB183" i="6"/>
  <c r="AD183" i="6"/>
  <c r="AE183" i="6"/>
  <c r="AF183" i="6"/>
  <c r="AG183" i="6"/>
  <c r="AH183" i="6"/>
  <c r="C184" i="6"/>
  <c r="D184" i="6"/>
  <c r="E184" i="6"/>
  <c r="F184" i="6"/>
  <c r="G184" i="6"/>
  <c r="H184" i="6"/>
  <c r="I184" i="6"/>
  <c r="J184" i="6"/>
  <c r="K184" i="6"/>
  <c r="L184" i="6"/>
  <c r="M184" i="6"/>
  <c r="N184" i="6"/>
  <c r="O184" i="6"/>
  <c r="P184" i="6"/>
  <c r="Q184" i="6"/>
  <c r="R184" i="6"/>
  <c r="S184" i="6"/>
  <c r="T184" i="6"/>
  <c r="U184" i="6"/>
  <c r="V184" i="6"/>
  <c r="W184" i="6"/>
  <c r="X184" i="6"/>
  <c r="Y184" i="6"/>
  <c r="Z184" i="6"/>
  <c r="AA184" i="6"/>
  <c r="AB184" i="6"/>
  <c r="AD184" i="6"/>
  <c r="AE184" i="6"/>
  <c r="AF184" i="6"/>
  <c r="AG184" i="6"/>
  <c r="AH184" i="6"/>
  <c r="C185" i="6"/>
  <c r="D185" i="6"/>
  <c r="E185" i="6"/>
  <c r="F185" i="6"/>
  <c r="G185" i="6"/>
  <c r="H185" i="6"/>
  <c r="I185" i="6"/>
  <c r="J185" i="6"/>
  <c r="K185" i="6"/>
  <c r="L185" i="6"/>
  <c r="M185" i="6"/>
  <c r="N185" i="6"/>
  <c r="O185" i="6"/>
  <c r="P185" i="6"/>
  <c r="Q185" i="6"/>
  <c r="R185" i="6"/>
  <c r="S185" i="6"/>
  <c r="T185" i="6"/>
  <c r="U185" i="6"/>
  <c r="V185" i="6"/>
  <c r="W185" i="6"/>
  <c r="X185" i="6"/>
  <c r="Y185" i="6"/>
  <c r="Z185" i="6"/>
  <c r="AA185" i="6"/>
  <c r="AB185" i="6"/>
  <c r="AD185" i="6"/>
  <c r="AE185" i="6"/>
  <c r="AF185" i="6"/>
  <c r="AG185" i="6"/>
  <c r="AH185" i="6"/>
  <c r="C186" i="6"/>
  <c r="D186" i="6"/>
  <c r="E186" i="6"/>
  <c r="F186" i="6"/>
  <c r="G186" i="6"/>
  <c r="H186" i="6"/>
  <c r="I186" i="6"/>
  <c r="J186" i="6"/>
  <c r="K186" i="6"/>
  <c r="L186" i="6"/>
  <c r="M186" i="6"/>
  <c r="N186" i="6"/>
  <c r="O186" i="6"/>
  <c r="P186" i="6"/>
  <c r="Q186" i="6"/>
  <c r="R186" i="6"/>
  <c r="S186" i="6"/>
  <c r="T186" i="6"/>
  <c r="U186" i="6"/>
  <c r="V186" i="6"/>
  <c r="W186" i="6"/>
  <c r="X186" i="6"/>
  <c r="Y186" i="6"/>
  <c r="Z186" i="6"/>
  <c r="AA186" i="6"/>
  <c r="AB186" i="6"/>
  <c r="AD186" i="6"/>
  <c r="AE186" i="6"/>
  <c r="AF186" i="6"/>
  <c r="AG186" i="6"/>
  <c r="AH186" i="6"/>
  <c r="C187" i="6"/>
  <c r="D187" i="6"/>
  <c r="E187" i="6"/>
  <c r="F187" i="6"/>
  <c r="G187" i="6"/>
  <c r="H187" i="6"/>
  <c r="I187" i="6"/>
  <c r="J187" i="6"/>
  <c r="K187" i="6"/>
  <c r="L187" i="6"/>
  <c r="M187" i="6"/>
  <c r="N187" i="6"/>
  <c r="O187" i="6"/>
  <c r="P187" i="6"/>
  <c r="Q187" i="6"/>
  <c r="R187" i="6"/>
  <c r="S187" i="6"/>
  <c r="T187" i="6"/>
  <c r="U187" i="6"/>
  <c r="V187" i="6"/>
  <c r="W187" i="6"/>
  <c r="X187" i="6"/>
  <c r="Y187" i="6"/>
  <c r="Z187" i="6"/>
  <c r="AA187" i="6"/>
  <c r="AB187" i="6"/>
  <c r="AD187" i="6"/>
  <c r="AE187" i="6"/>
  <c r="AF187" i="6"/>
  <c r="AG187" i="6"/>
  <c r="AH187" i="6"/>
  <c r="C188" i="6"/>
  <c r="D188" i="6"/>
  <c r="E188" i="6"/>
  <c r="F188" i="6"/>
  <c r="G188" i="6"/>
  <c r="H188" i="6"/>
  <c r="I188" i="6"/>
  <c r="J188" i="6"/>
  <c r="K188" i="6"/>
  <c r="L188" i="6"/>
  <c r="M188" i="6"/>
  <c r="N188" i="6"/>
  <c r="O188" i="6"/>
  <c r="P188" i="6"/>
  <c r="Q188" i="6"/>
  <c r="R188" i="6"/>
  <c r="S188" i="6"/>
  <c r="T188" i="6"/>
  <c r="U188" i="6"/>
  <c r="V188" i="6"/>
  <c r="W188" i="6"/>
  <c r="X188" i="6"/>
  <c r="Y188" i="6"/>
  <c r="Z188" i="6"/>
  <c r="AA188" i="6"/>
  <c r="AB188" i="6"/>
  <c r="AD188" i="6"/>
  <c r="AE188" i="6"/>
  <c r="AF188" i="6"/>
  <c r="AG188" i="6"/>
  <c r="AH188" i="6"/>
  <c r="C189" i="6"/>
  <c r="D189" i="6"/>
  <c r="E189" i="6"/>
  <c r="F189" i="6"/>
  <c r="G189" i="6"/>
  <c r="H189" i="6"/>
  <c r="I189" i="6"/>
  <c r="J189" i="6"/>
  <c r="K189" i="6"/>
  <c r="L189" i="6"/>
  <c r="M189" i="6"/>
  <c r="N189" i="6"/>
  <c r="O189" i="6"/>
  <c r="P189" i="6"/>
  <c r="Q189" i="6"/>
  <c r="R189" i="6"/>
  <c r="S189" i="6"/>
  <c r="T189" i="6"/>
  <c r="U189" i="6"/>
  <c r="V189" i="6"/>
  <c r="W189" i="6"/>
  <c r="X189" i="6"/>
  <c r="Y189" i="6"/>
  <c r="Z189" i="6"/>
  <c r="AA189" i="6"/>
  <c r="AB189" i="6"/>
  <c r="AD189" i="6"/>
  <c r="AE189" i="6"/>
  <c r="AF189" i="6"/>
  <c r="AG189" i="6"/>
  <c r="AH189" i="6"/>
  <c r="C190" i="6"/>
  <c r="D190" i="6"/>
  <c r="E190" i="6"/>
  <c r="F190" i="6"/>
  <c r="G190" i="6"/>
  <c r="H190" i="6"/>
  <c r="I190" i="6"/>
  <c r="J190" i="6"/>
  <c r="K190" i="6"/>
  <c r="L190" i="6"/>
  <c r="M190" i="6"/>
  <c r="N190" i="6"/>
  <c r="O190" i="6"/>
  <c r="P190" i="6"/>
  <c r="Q190" i="6"/>
  <c r="R190" i="6"/>
  <c r="S190" i="6"/>
  <c r="T190" i="6"/>
  <c r="U190" i="6"/>
  <c r="V190" i="6"/>
  <c r="W190" i="6"/>
  <c r="X190" i="6"/>
  <c r="Y190" i="6"/>
  <c r="Z190" i="6"/>
  <c r="AA190" i="6"/>
  <c r="AB190" i="6"/>
  <c r="AD190" i="6"/>
  <c r="AE190" i="6"/>
  <c r="AF190" i="6"/>
  <c r="AG190" i="6"/>
  <c r="AH190" i="6"/>
  <c r="C191" i="6"/>
  <c r="D191" i="6"/>
  <c r="E191" i="6"/>
  <c r="F191" i="6"/>
  <c r="G191" i="6"/>
  <c r="H191" i="6"/>
  <c r="I191" i="6"/>
  <c r="J191" i="6"/>
  <c r="K191" i="6"/>
  <c r="L191" i="6"/>
  <c r="M191" i="6"/>
  <c r="N191" i="6"/>
  <c r="O191" i="6"/>
  <c r="P191" i="6"/>
  <c r="Q191" i="6"/>
  <c r="R191" i="6"/>
  <c r="S191" i="6"/>
  <c r="T191" i="6"/>
  <c r="U191" i="6"/>
  <c r="V191" i="6"/>
  <c r="W191" i="6"/>
  <c r="X191" i="6"/>
  <c r="Y191" i="6"/>
  <c r="Z191" i="6"/>
  <c r="AA191" i="6"/>
  <c r="AB191" i="6"/>
  <c r="AD191" i="6"/>
  <c r="AE191" i="6"/>
  <c r="AF191" i="6"/>
  <c r="AG191" i="6"/>
  <c r="AH191" i="6"/>
  <c r="C192" i="6"/>
  <c r="D192" i="6"/>
  <c r="E192" i="6"/>
  <c r="F192" i="6"/>
  <c r="G192" i="6"/>
  <c r="H192" i="6"/>
  <c r="I192" i="6"/>
  <c r="J192" i="6"/>
  <c r="K192" i="6"/>
  <c r="L192" i="6"/>
  <c r="M192" i="6"/>
  <c r="N192" i="6"/>
  <c r="O192" i="6"/>
  <c r="P192" i="6"/>
  <c r="Q192" i="6"/>
  <c r="R192" i="6"/>
  <c r="S192" i="6"/>
  <c r="T192" i="6"/>
  <c r="U192" i="6"/>
  <c r="V192" i="6"/>
  <c r="W192" i="6"/>
  <c r="X192" i="6"/>
  <c r="Y192" i="6"/>
  <c r="Z192" i="6"/>
  <c r="AA192" i="6"/>
  <c r="AB192" i="6"/>
  <c r="AD192" i="6"/>
  <c r="AE192" i="6"/>
  <c r="AF192" i="6"/>
  <c r="AG192" i="6"/>
  <c r="AH192" i="6"/>
  <c r="C193" i="6"/>
  <c r="D193" i="6"/>
  <c r="E193" i="6"/>
  <c r="F193" i="6"/>
  <c r="G193" i="6"/>
  <c r="H193" i="6"/>
  <c r="I193" i="6"/>
  <c r="J193" i="6"/>
  <c r="K193" i="6"/>
  <c r="L193" i="6"/>
  <c r="M193" i="6"/>
  <c r="N193" i="6"/>
  <c r="O193" i="6"/>
  <c r="P193" i="6"/>
  <c r="Q193" i="6"/>
  <c r="R193" i="6"/>
  <c r="S193" i="6"/>
  <c r="T193" i="6"/>
  <c r="U193" i="6"/>
  <c r="V193" i="6"/>
  <c r="W193" i="6"/>
  <c r="X193" i="6"/>
  <c r="Y193" i="6"/>
  <c r="Z193" i="6"/>
  <c r="AA193" i="6"/>
  <c r="AB193" i="6"/>
  <c r="AD193" i="6"/>
  <c r="AE193" i="6"/>
  <c r="AF193" i="6"/>
  <c r="AG193" i="6"/>
  <c r="AH193" i="6"/>
  <c r="C194" i="6"/>
  <c r="D194" i="6"/>
  <c r="E194" i="6"/>
  <c r="F194" i="6"/>
  <c r="G194" i="6"/>
  <c r="H194" i="6"/>
  <c r="I194" i="6"/>
  <c r="J194" i="6"/>
  <c r="K194" i="6"/>
  <c r="L194" i="6"/>
  <c r="M194" i="6"/>
  <c r="N194" i="6"/>
  <c r="O194" i="6"/>
  <c r="P194" i="6"/>
  <c r="Q194" i="6"/>
  <c r="R194" i="6"/>
  <c r="S194" i="6"/>
  <c r="T194" i="6"/>
  <c r="U194" i="6"/>
  <c r="V194" i="6"/>
  <c r="W194" i="6"/>
  <c r="X194" i="6"/>
  <c r="Y194" i="6"/>
  <c r="Z194" i="6"/>
  <c r="AA194" i="6"/>
  <c r="AB194" i="6"/>
  <c r="AD194" i="6"/>
  <c r="AE194" i="6"/>
  <c r="AF194" i="6"/>
  <c r="AG194" i="6"/>
  <c r="AH194" i="6"/>
  <c r="C195" i="6"/>
  <c r="D195" i="6"/>
  <c r="E195" i="6"/>
  <c r="F195" i="6"/>
  <c r="G195" i="6"/>
  <c r="H195" i="6"/>
  <c r="I195" i="6"/>
  <c r="J195" i="6"/>
  <c r="K195" i="6"/>
  <c r="L195" i="6"/>
  <c r="M195" i="6"/>
  <c r="N195" i="6"/>
  <c r="O195" i="6"/>
  <c r="P195" i="6"/>
  <c r="Q195" i="6"/>
  <c r="R195" i="6"/>
  <c r="S195" i="6"/>
  <c r="T195" i="6"/>
  <c r="U195" i="6"/>
  <c r="V195" i="6"/>
  <c r="W195" i="6"/>
  <c r="X195" i="6"/>
  <c r="Y195" i="6"/>
  <c r="Z195" i="6"/>
  <c r="AA195" i="6"/>
  <c r="AB195" i="6"/>
  <c r="AD195" i="6"/>
  <c r="AE195" i="6"/>
  <c r="AF195" i="6"/>
  <c r="AG195" i="6"/>
  <c r="AH195" i="6"/>
  <c r="C196" i="6"/>
  <c r="D196" i="6"/>
  <c r="E196" i="6"/>
  <c r="F196" i="6"/>
  <c r="G196" i="6"/>
  <c r="H196" i="6"/>
  <c r="I196" i="6"/>
  <c r="J196" i="6"/>
  <c r="K196" i="6"/>
  <c r="L196" i="6"/>
  <c r="M196" i="6"/>
  <c r="N196" i="6"/>
  <c r="O196" i="6"/>
  <c r="P196" i="6"/>
  <c r="Q196" i="6"/>
  <c r="R196" i="6"/>
  <c r="S196" i="6"/>
  <c r="T196" i="6"/>
  <c r="U196" i="6"/>
  <c r="V196" i="6"/>
  <c r="W196" i="6"/>
  <c r="X196" i="6"/>
  <c r="Y196" i="6"/>
  <c r="Z196" i="6"/>
  <c r="AA196" i="6"/>
  <c r="AB196" i="6"/>
  <c r="AD196" i="6"/>
  <c r="AE196" i="6"/>
  <c r="AF196" i="6"/>
  <c r="AG196" i="6"/>
  <c r="AH196" i="6"/>
  <c r="C197" i="6"/>
  <c r="D197" i="6"/>
  <c r="E197" i="6"/>
  <c r="F197" i="6"/>
  <c r="G197" i="6"/>
  <c r="H197" i="6"/>
  <c r="I197" i="6"/>
  <c r="J197" i="6"/>
  <c r="K197" i="6"/>
  <c r="L197" i="6"/>
  <c r="M197" i="6"/>
  <c r="N197" i="6"/>
  <c r="O197" i="6"/>
  <c r="P197" i="6"/>
  <c r="Q197" i="6"/>
  <c r="R197" i="6"/>
  <c r="S197" i="6"/>
  <c r="T197" i="6"/>
  <c r="U197" i="6"/>
  <c r="V197" i="6"/>
  <c r="W197" i="6"/>
  <c r="X197" i="6"/>
  <c r="Y197" i="6"/>
  <c r="Z197" i="6"/>
  <c r="AA197" i="6"/>
  <c r="AB197" i="6"/>
  <c r="AD197" i="6"/>
  <c r="AE197" i="6"/>
  <c r="AF197" i="6"/>
  <c r="AG197" i="6"/>
  <c r="AH197" i="6"/>
  <c r="C198" i="6"/>
  <c r="D198" i="6"/>
  <c r="E198" i="6"/>
  <c r="F198" i="6"/>
  <c r="G198" i="6"/>
  <c r="H198" i="6"/>
  <c r="I198" i="6"/>
  <c r="J198" i="6"/>
  <c r="K198" i="6"/>
  <c r="L198" i="6"/>
  <c r="M198" i="6"/>
  <c r="N198" i="6"/>
  <c r="O198" i="6"/>
  <c r="P198" i="6"/>
  <c r="Q198" i="6"/>
  <c r="R198" i="6"/>
  <c r="S198" i="6"/>
  <c r="T198" i="6"/>
  <c r="U198" i="6"/>
  <c r="V198" i="6"/>
  <c r="W198" i="6"/>
  <c r="X198" i="6"/>
  <c r="Y198" i="6"/>
  <c r="Z198" i="6"/>
  <c r="AA198" i="6"/>
  <c r="AB198" i="6"/>
  <c r="AD198" i="6"/>
  <c r="AE198" i="6"/>
  <c r="AF198" i="6"/>
  <c r="AG198" i="6"/>
  <c r="AH198" i="6"/>
  <c r="C199" i="6"/>
  <c r="D199" i="6"/>
  <c r="E199" i="6"/>
  <c r="F199" i="6"/>
  <c r="G199" i="6"/>
  <c r="H199" i="6"/>
  <c r="I199" i="6"/>
  <c r="J199" i="6"/>
  <c r="K199" i="6"/>
  <c r="L199" i="6"/>
  <c r="M199" i="6"/>
  <c r="N199" i="6"/>
  <c r="O199" i="6"/>
  <c r="P199" i="6"/>
  <c r="Q199" i="6"/>
  <c r="R199" i="6"/>
  <c r="S199" i="6"/>
  <c r="T199" i="6"/>
  <c r="U199" i="6"/>
  <c r="V199" i="6"/>
  <c r="W199" i="6"/>
  <c r="X199" i="6"/>
  <c r="Y199" i="6"/>
  <c r="Z199" i="6"/>
  <c r="AA199" i="6"/>
  <c r="AB199" i="6"/>
  <c r="AD199" i="6"/>
  <c r="AE199" i="6"/>
  <c r="AF199" i="6"/>
  <c r="AG199" i="6"/>
  <c r="AH199" i="6"/>
  <c r="C200" i="6"/>
  <c r="D200" i="6"/>
  <c r="E200" i="6"/>
  <c r="F200" i="6"/>
  <c r="G200" i="6"/>
  <c r="H200" i="6"/>
  <c r="I200" i="6"/>
  <c r="J200" i="6"/>
  <c r="K200" i="6"/>
  <c r="L200" i="6"/>
  <c r="M200" i="6"/>
  <c r="N200" i="6"/>
  <c r="O200" i="6"/>
  <c r="P200" i="6"/>
  <c r="Q200" i="6"/>
  <c r="R200" i="6"/>
  <c r="S200" i="6"/>
  <c r="T200" i="6"/>
  <c r="U200" i="6"/>
  <c r="V200" i="6"/>
  <c r="W200" i="6"/>
  <c r="X200" i="6"/>
  <c r="Y200" i="6"/>
  <c r="Z200" i="6"/>
  <c r="AA200" i="6"/>
  <c r="AB200" i="6"/>
  <c r="AD200" i="6"/>
  <c r="AE200" i="6"/>
  <c r="AF200" i="6"/>
  <c r="AG200" i="6"/>
  <c r="AH200" i="6"/>
  <c r="C201" i="6"/>
  <c r="D201" i="6"/>
  <c r="E201" i="6"/>
  <c r="F201" i="6"/>
  <c r="G201" i="6"/>
  <c r="H201" i="6"/>
  <c r="I201" i="6"/>
  <c r="J201" i="6"/>
  <c r="K201" i="6"/>
  <c r="L201" i="6"/>
  <c r="M201" i="6"/>
  <c r="N201" i="6"/>
  <c r="O201" i="6"/>
  <c r="P201" i="6"/>
  <c r="Q201" i="6"/>
  <c r="R201" i="6"/>
  <c r="S201" i="6"/>
  <c r="T201" i="6"/>
  <c r="U201" i="6"/>
  <c r="V201" i="6"/>
  <c r="W201" i="6"/>
  <c r="X201" i="6"/>
  <c r="Y201" i="6"/>
  <c r="Z201" i="6"/>
  <c r="AA201" i="6"/>
  <c r="AB201" i="6"/>
  <c r="AD201" i="6"/>
  <c r="AE201" i="6"/>
  <c r="AF201" i="6"/>
  <c r="AG201" i="6"/>
  <c r="AH201" i="6"/>
  <c r="C202" i="6"/>
  <c r="D202" i="6"/>
  <c r="E202" i="6"/>
  <c r="F202" i="6"/>
  <c r="G202" i="6"/>
  <c r="H202" i="6"/>
  <c r="I202" i="6"/>
  <c r="J202" i="6"/>
  <c r="K202" i="6"/>
  <c r="L202" i="6"/>
  <c r="M202" i="6"/>
  <c r="N202" i="6"/>
  <c r="O202" i="6"/>
  <c r="P202" i="6"/>
  <c r="Q202" i="6"/>
  <c r="R202" i="6"/>
  <c r="S202" i="6"/>
  <c r="T202" i="6"/>
  <c r="U202" i="6"/>
  <c r="V202" i="6"/>
  <c r="W202" i="6"/>
  <c r="X202" i="6"/>
  <c r="Y202" i="6"/>
  <c r="Z202" i="6"/>
  <c r="AA202" i="6"/>
  <c r="AB202" i="6"/>
  <c r="AD202" i="6"/>
  <c r="AE202" i="6"/>
  <c r="AF202" i="6"/>
  <c r="AG202" i="6"/>
  <c r="AH202" i="6"/>
  <c r="C203" i="6"/>
  <c r="D203" i="6"/>
  <c r="E203" i="6"/>
  <c r="F203" i="6"/>
  <c r="G203" i="6"/>
  <c r="H203" i="6"/>
  <c r="I203" i="6"/>
  <c r="J203" i="6"/>
  <c r="K203" i="6"/>
  <c r="L203" i="6"/>
  <c r="M203" i="6"/>
  <c r="N203" i="6"/>
  <c r="O203" i="6"/>
  <c r="P203" i="6"/>
  <c r="Q203" i="6"/>
  <c r="R203" i="6"/>
  <c r="S203" i="6"/>
  <c r="T203" i="6"/>
  <c r="U203" i="6"/>
  <c r="V203" i="6"/>
  <c r="W203" i="6"/>
  <c r="X203" i="6"/>
  <c r="Y203" i="6"/>
  <c r="Z203" i="6"/>
  <c r="AA203" i="6"/>
  <c r="AB203" i="6"/>
  <c r="AD203" i="6"/>
  <c r="AE203" i="6"/>
  <c r="AF203" i="6"/>
  <c r="AG203" i="6"/>
  <c r="AH203" i="6"/>
  <c r="C204" i="6"/>
  <c r="D204" i="6"/>
  <c r="E204" i="6"/>
  <c r="F204" i="6"/>
  <c r="G204" i="6"/>
  <c r="H204" i="6"/>
  <c r="I204" i="6"/>
  <c r="J204" i="6"/>
  <c r="K204" i="6"/>
  <c r="L204" i="6"/>
  <c r="M204" i="6"/>
  <c r="N204" i="6"/>
  <c r="O204" i="6"/>
  <c r="P204" i="6"/>
  <c r="Q204" i="6"/>
  <c r="R204" i="6"/>
  <c r="S204" i="6"/>
  <c r="T204" i="6"/>
  <c r="U204" i="6"/>
  <c r="V204" i="6"/>
  <c r="W204" i="6"/>
  <c r="X204" i="6"/>
  <c r="Y204" i="6"/>
  <c r="Z204" i="6"/>
  <c r="AA204" i="6"/>
  <c r="AB204" i="6"/>
  <c r="AD204" i="6"/>
  <c r="AE204" i="6"/>
  <c r="AF204" i="6"/>
  <c r="AG204" i="6"/>
  <c r="AH204" i="6"/>
  <c r="C205" i="6"/>
  <c r="D205" i="6"/>
  <c r="E205" i="6"/>
  <c r="F205" i="6"/>
  <c r="G205" i="6"/>
  <c r="H205" i="6"/>
  <c r="I205" i="6"/>
  <c r="J205" i="6"/>
  <c r="K205" i="6"/>
  <c r="L205" i="6"/>
  <c r="M205" i="6"/>
  <c r="N205" i="6"/>
  <c r="O205" i="6"/>
  <c r="P205" i="6"/>
  <c r="Q205" i="6"/>
  <c r="R205" i="6"/>
  <c r="S205" i="6"/>
  <c r="T205" i="6"/>
  <c r="U205" i="6"/>
  <c r="V205" i="6"/>
  <c r="W205" i="6"/>
  <c r="X205" i="6"/>
  <c r="Y205" i="6"/>
  <c r="Z205" i="6"/>
  <c r="AA205" i="6"/>
  <c r="AB205" i="6"/>
  <c r="AD205" i="6"/>
  <c r="AE205" i="6"/>
  <c r="AF205" i="6"/>
  <c r="AG205" i="6"/>
  <c r="AH205" i="6"/>
  <c r="C206" i="6"/>
  <c r="D206" i="6"/>
  <c r="E206" i="6"/>
  <c r="F206" i="6"/>
  <c r="G206" i="6"/>
  <c r="H206" i="6"/>
  <c r="I206" i="6"/>
  <c r="J206" i="6"/>
  <c r="K206" i="6"/>
  <c r="L206" i="6"/>
  <c r="M206" i="6"/>
  <c r="N206" i="6"/>
  <c r="O206" i="6"/>
  <c r="P206" i="6"/>
  <c r="Q206" i="6"/>
  <c r="R206" i="6"/>
  <c r="S206" i="6"/>
  <c r="T206" i="6"/>
  <c r="U206" i="6"/>
  <c r="V206" i="6"/>
  <c r="W206" i="6"/>
  <c r="X206" i="6"/>
  <c r="Y206" i="6"/>
  <c r="Z206" i="6"/>
  <c r="AA206" i="6"/>
  <c r="AB206" i="6"/>
  <c r="AD206" i="6"/>
  <c r="AE206" i="6"/>
  <c r="AF206" i="6"/>
  <c r="AG206" i="6"/>
  <c r="AH206" i="6"/>
  <c r="C207" i="6"/>
  <c r="D207" i="6"/>
  <c r="E207" i="6"/>
  <c r="F207" i="6"/>
  <c r="G207" i="6"/>
  <c r="H207" i="6"/>
  <c r="I207" i="6"/>
  <c r="J207" i="6"/>
  <c r="K207" i="6"/>
  <c r="L207" i="6"/>
  <c r="M207" i="6"/>
  <c r="N207" i="6"/>
  <c r="O207" i="6"/>
  <c r="P207" i="6"/>
  <c r="Q207" i="6"/>
  <c r="R207" i="6"/>
  <c r="S207" i="6"/>
  <c r="T207" i="6"/>
  <c r="U207" i="6"/>
  <c r="V207" i="6"/>
  <c r="W207" i="6"/>
  <c r="X207" i="6"/>
  <c r="Y207" i="6"/>
  <c r="Z207" i="6"/>
  <c r="AA207" i="6"/>
  <c r="AB207" i="6"/>
  <c r="AD207" i="6"/>
  <c r="AE207" i="6"/>
  <c r="AF207" i="6"/>
  <c r="AG207" i="6"/>
  <c r="AH207" i="6"/>
  <c r="C208" i="6"/>
  <c r="D208" i="6"/>
  <c r="E208" i="6"/>
  <c r="F208" i="6"/>
  <c r="G208" i="6"/>
  <c r="H208" i="6"/>
  <c r="I208" i="6"/>
  <c r="J208" i="6"/>
  <c r="K208" i="6"/>
  <c r="L208" i="6"/>
  <c r="M208" i="6"/>
  <c r="N208" i="6"/>
  <c r="O208" i="6"/>
  <c r="P208" i="6"/>
  <c r="Q208" i="6"/>
  <c r="R208" i="6"/>
  <c r="S208" i="6"/>
  <c r="T208" i="6"/>
  <c r="U208" i="6"/>
  <c r="V208" i="6"/>
  <c r="W208" i="6"/>
  <c r="X208" i="6"/>
  <c r="Y208" i="6"/>
  <c r="Z208" i="6"/>
  <c r="AA208" i="6"/>
  <c r="AB208" i="6"/>
  <c r="AD208" i="6"/>
  <c r="AE208" i="6"/>
  <c r="AF208" i="6"/>
  <c r="AG208" i="6"/>
  <c r="AH208" i="6"/>
  <c r="C209" i="6"/>
  <c r="D209" i="6"/>
  <c r="E209" i="6"/>
  <c r="F209" i="6"/>
  <c r="G209" i="6"/>
  <c r="H209" i="6"/>
  <c r="I209" i="6"/>
  <c r="J209" i="6"/>
  <c r="K209" i="6"/>
  <c r="L209" i="6"/>
  <c r="M209" i="6"/>
  <c r="N209" i="6"/>
  <c r="O209" i="6"/>
  <c r="P209" i="6"/>
  <c r="Q209" i="6"/>
  <c r="R209" i="6"/>
  <c r="S209" i="6"/>
  <c r="T209" i="6"/>
  <c r="U209" i="6"/>
  <c r="V209" i="6"/>
  <c r="W209" i="6"/>
  <c r="X209" i="6"/>
  <c r="Y209" i="6"/>
  <c r="Z209" i="6"/>
  <c r="AA209" i="6"/>
  <c r="AB209" i="6"/>
  <c r="AD209" i="6"/>
  <c r="AE209" i="6"/>
  <c r="AF209" i="6"/>
  <c r="AG209" i="6"/>
  <c r="AH209" i="6"/>
  <c r="C210" i="6"/>
  <c r="D210" i="6"/>
  <c r="E210" i="6"/>
  <c r="F210" i="6"/>
  <c r="G210" i="6"/>
  <c r="H210" i="6"/>
  <c r="I210" i="6"/>
  <c r="J210" i="6"/>
  <c r="K210" i="6"/>
  <c r="L210" i="6"/>
  <c r="M210" i="6"/>
  <c r="N210" i="6"/>
  <c r="O210" i="6"/>
  <c r="P210" i="6"/>
  <c r="Q210" i="6"/>
  <c r="R210" i="6"/>
  <c r="S210" i="6"/>
  <c r="T210" i="6"/>
  <c r="U210" i="6"/>
  <c r="V210" i="6"/>
  <c r="W210" i="6"/>
  <c r="X210" i="6"/>
  <c r="Y210" i="6"/>
  <c r="Z210" i="6"/>
  <c r="AA210" i="6"/>
  <c r="AB210" i="6"/>
  <c r="AD210" i="6"/>
  <c r="AE210" i="6"/>
  <c r="AF210" i="6"/>
  <c r="AG210" i="6"/>
  <c r="AH210" i="6"/>
  <c r="C211" i="6"/>
  <c r="D211" i="6"/>
  <c r="E211" i="6"/>
  <c r="F211" i="6"/>
  <c r="G211" i="6"/>
  <c r="H211" i="6"/>
  <c r="I211" i="6"/>
  <c r="J211" i="6"/>
  <c r="K211" i="6"/>
  <c r="L211" i="6"/>
  <c r="M211" i="6"/>
  <c r="N211" i="6"/>
  <c r="O211" i="6"/>
  <c r="P211" i="6"/>
  <c r="Q211" i="6"/>
  <c r="R211" i="6"/>
  <c r="S211" i="6"/>
  <c r="T211" i="6"/>
  <c r="U211" i="6"/>
  <c r="V211" i="6"/>
  <c r="W211" i="6"/>
  <c r="X211" i="6"/>
  <c r="Y211" i="6"/>
  <c r="Z211" i="6"/>
  <c r="AA211" i="6"/>
  <c r="AB211" i="6"/>
  <c r="AD211" i="6"/>
  <c r="AE211" i="6"/>
  <c r="AF211" i="6"/>
  <c r="AG211" i="6"/>
  <c r="AH211" i="6"/>
  <c r="C212" i="6"/>
  <c r="D212" i="6"/>
  <c r="E212" i="6"/>
  <c r="F212" i="6"/>
  <c r="G212" i="6"/>
  <c r="H212" i="6"/>
  <c r="I212" i="6"/>
  <c r="J212" i="6"/>
  <c r="K212" i="6"/>
  <c r="L212" i="6"/>
  <c r="M212" i="6"/>
  <c r="N212" i="6"/>
  <c r="O212" i="6"/>
  <c r="P212" i="6"/>
  <c r="Q212" i="6"/>
  <c r="R212" i="6"/>
  <c r="S212" i="6"/>
  <c r="T212" i="6"/>
  <c r="U212" i="6"/>
  <c r="V212" i="6"/>
  <c r="W212" i="6"/>
  <c r="X212" i="6"/>
  <c r="Y212" i="6"/>
  <c r="Z212" i="6"/>
  <c r="AA212" i="6"/>
  <c r="AB212" i="6"/>
  <c r="AD212" i="6"/>
  <c r="AE212" i="6"/>
  <c r="AF212" i="6"/>
  <c r="AG212" i="6"/>
  <c r="AH212" i="6"/>
  <c r="C213" i="6"/>
  <c r="D213" i="6"/>
  <c r="E213" i="6"/>
  <c r="F213" i="6"/>
  <c r="G213" i="6"/>
  <c r="H213" i="6"/>
  <c r="I213" i="6"/>
  <c r="J213" i="6"/>
  <c r="K213" i="6"/>
  <c r="L213" i="6"/>
  <c r="M213" i="6"/>
  <c r="N213" i="6"/>
  <c r="O213" i="6"/>
  <c r="P213" i="6"/>
  <c r="Q213" i="6"/>
  <c r="R213" i="6"/>
  <c r="S213" i="6"/>
  <c r="T213" i="6"/>
  <c r="U213" i="6"/>
  <c r="V213" i="6"/>
  <c r="W213" i="6"/>
  <c r="X213" i="6"/>
  <c r="Y213" i="6"/>
  <c r="Z213" i="6"/>
  <c r="AA213" i="6"/>
  <c r="AB213" i="6"/>
  <c r="AD213" i="6"/>
  <c r="AE213" i="6"/>
  <c r="AF213" i="6"/>
  <c r="AG213" i="6"/>
  <c r="AH213" i="6"/>
  <c r="C214" i="6"/>
  <c r="D214" i="6"/>
  <c r="E214" i="6"/>
  <c r="F214" i="6"/>
  <c r="G214" i="6"/>
  <c r="H214" i="6"/>
  <c r="I214" i="6"/>
  <c r="J214" i="6"/>
  <c r="K214" i="6"/>
  <c r="L214" i="6"/>
  <c r="M214" i="6"/>
  <c r="N214" i="6"/>
  <c r="O214" i="6"/>
  <c r="P214" i="6"/>
  <c r="Q214" i="6"/>
  <c r="R214" i="6"/>
  <c r="S214" i="6"/>
  <c r="T214" i="6"/>
  <c r="U214" i="6"/>
  <c r="V214" i="6"/>
  <c r="W214" i="6"/>
  <c r="X214" i="6"/>
  <c r="Y214" i="6"/>
  <c r="Z214" i="6"/>
  <c r="AA214" i="6"/>
  <c r="AB214" i="6"/>
  <c r="AD214" i="6"/>
  <c r="AE214" i="6"/>
  <c r="AF214" i="6"/>
  <c r="AG214" i="6"/>
  <c r="AH214" i="6"/>
  <c r="C215" i="6"/>
  <c r="D215" i="6"/>
  <c r="E215" i="6"/>
  <c r="F215" i="6"/>
  <c r="G215" i="6"/>
  <c r="H215" i="6"/>
  <c r="I215" i="6"/>
  <c r="J215" i="6"/>
  <c r="K215" i="6"/>
  <c r="L215" i="6"/>
  <c r="M215" i="6"/>
  <c r="N215" i="6"/>
  <c r="O215" i="6"/>
  <c r="P215" i="6"/>
  <c r="Q215" i="6"/>
  <c r="R215" i="6"/>
  <c r="S215" i="6"/>
  <c r="T215" i="6"/>
  <c r="U215" i="6"/>
  <c r="V215" i="6"/>
  <c r="W215" i="6"/>
  <c r="X215" i="6"/>
  <c r="Y215" i="6"/>
  <c r="Z215" i="6"/>
  <c r="AA215" i="6"/>
  <c r="AB215" i="6"/>
  <c r="AD215" i="6"/>
  <c r="AE215" i="6"/>
  <c r="AF215" i="6"/>
  <c r="AG215" i="6"/>
  <c r="AH215" i="6"/>
  <c r="C216" i="6"/>
  <c r="D216" i="6"/>
  <c r="E216" i="6"/>
  <c r="F216" i="6"/>
  <c r="G216" i="6"/>
  <c r="H216" i="6"/>
  <c r="I216" i="6"/>
  <c r="J216" i="6"/>
  <c r="K216" i="6"/>
  <c r="L216" i="6"/>
  <c r="M216" i="6"/>
  <c r="N216" i="6"/>
  <c r="O216" i="6"/>
  <c r="P216" i="6"/>
  <c r="Q216" i="6"/>
  <c r="R216" i="6"/>
  <c r="S216" i="6"/>
  <c r="T216" i="6"/>
  <c r="U216" i="6"/>
  <c r="V216" i="6"/>
  <c r="W216" i="6"/>
  <c r="X216" i="6"/>
  <c r="Y216" i="6"/>
  <c r="Z216" i="6"/>
  <c r="AA216" i="6"/>
  <c r="AB216" i="6"/>
  <c r="AD216" i="6"/>
  <c r="AE216" i="6"/>
  <c r="AF216" i="6"/>
  <c r="AG216" i="6"/>
  <c r="AH216" i="6"/>
  <c r="C217" i="6"/>
  <c r="D217" i="6"/>
  <c r="E217" i="6"/>
  <c r="F217" i="6"/>
  <c r="G217" i="6"/>
  <c r="H217" i="6"/>
  <c r="I217" i="6"/>
  <c r="J217" i="6"/>
  <c r="K217" i="6"/>
  <c r="L217" i="6"/>
  <c r="M217" i="6"/>
  <c r="N217" i="6"/>
  <c r="O217" i="6"/>
  <c r="P217" i="6"/>
  <c r="Q217" i="6"/>
  <c r="R217" i="6"/>
  <c r="S217" i="6"/>
  <c r="T217" i="6"/>
  <c r="U217" i="6"/>
  <c r="V217" i="6"/>
  <c r="W217" i="6"/>
  <c r="X217" i="6"/>
  <c r="Y217" i="6"/>
  <c r="Z217" i="6"/>
  <c r="AA217" i="6"/>
  <c r="AB217" i="6"/>
  <c r="AD217" i="6"/>
  <c r="AE217" i="6"/>
  <c r="AF217" i="6"/>
  <c r="AG217" i="6"/>
  <c r="AH217" i="6"/>
  <c r="C218" i="6"/>
  <c r="D218" i="6"/>
  <c r="E218" i="6"/>
  <c r="F218" i="6"/>
  <c r="G218" i="6"/>
  <c r="H218" i="6"/>
  <c r="I218" i="6"/>
  <c r="J218" i="6"/>
  <c r="K218" i="6"/>
  <c r="L218" i="6"/>
  <c r="M218" i="6"/>
  <c r="N218" i="6"/>
  <c r="O218" i="6"/>
  <c r="P218" i="6"/>
  <c r="Q218" i="6"/>
  <c r="R218" i="6"/>
  <c r="S218" i="6"/>
  <c r="T218" i="6"/>
  <c r="U218" i="6"/>
  <c r="V218" i="6"/>
  <c r="W218" i="6"/>
  <c r="X218" i="6"/>
  <c r="Y218" i="6"/>
  <c r="Z218" i="6"/>
  <c r="AA218" i="6"/>
  <c r="AB218" i="6"/>
  <c r="AD218" i="6"/>
  <c r="AE218" i="6"/>
  <c r="AF218" i="6"/>
  <c r="AG218" i="6"/>
  <c r="AH218" i="6"/>
  <c r="C219" i="6"/>
  <c r="D219" i="6"/>
  <c r="E219" i="6"/>
  <c r="F219" i="6"/>
  <c r="G219" i="6"/>
  <c r="H219" i="6"/>
  <c r="I219" i="6"/>
  <c r="J219" i="6"/>
  <c r="K219" i="6"/>
  <c r="L219" i="6"/>
  <c r="M219" i="6"/>
  <c r="N219" i="6"/>
  <c r="O219" i="6"/>
  <c r="P219" i="6"/>
  <c r="Q219" i="6"/>
  <c r="R219" i="6"/>
  <c r="S219" i="6"/>
  <c r="T219" i="6"/>
  <c r="U219" i="6"/>
  <c r="V219" i="6"/>
  <c r="W219" i="6"/>
  <c r="X219" i="6"/>
  <c r="Y219" i="6"/>
  <c r="Z219" i="6"/>
  <c r="AA219" i="6"/>
  <c r="AB219" i="6"/>
  <c r="AD219" i="6"/>
  <c r="AE219" i="6"/>
  <c r="AF219" i="6"/>
  <c r="AG219" i="6"/>
  <c r="AH219" i="6"/>
  <c r="C220" i="6"/>
  <c r="D220" i="6"/>
  <c r="E220" i="6"/>
  <c r="F220" i="6"/>
  <c r="G220" i="6"/>
  <c r="H220" i="6"/>
  <c r="I220" i="6"/>
  <c r="J220" i="6"/>
  <c r="K220" i="6"/>
  <c r="L220" i="6"/>
  <c r="M220" i="6"/>
  <c r="N220" i="6"/>
  <c r="O220" i="6"/>
  <c r="P220" i="6"/>
  <c r="Q220" i="6"/>
  <c r="R220" i="6"/>
  <c r="S220" i="6"/>
  <c r="T220" i="6"/>
  <c r="U220" i="6"/>
  <c r="V220" i="6"/>
  <c r="W220" i="6"/>
  <c r="X220" i="6"/>
  <c r="Y220" i="6"/>
  <c r="Z220" i="6"/>
  <c r="AA220" i="6"/>
  <c r="AB220" i="6"/>
  <c r="AD220" i="6"/>
  <c r="AE220" i="6"/>
  <c r="AF220" i="6"/>
  <c r="AG220" i="6"/>
  <c r="AH220" i="6"/>
  <c r="C221" i="6"/>
  <c r="D221" i="6"/>
  <c r="E221" i="6"/>
  <c r="F221" i="6"/>
  <c r="G221" i="6"/>
  <c r="H221" i="6"/>
  <c r="I221" i="6"/>
  <c r="J221" i="6"/>
  <c r="K221" i="6"/>
  <c r="L221" i="6"/>
  <c r="M221" i="6"/>
  <c r="N221" i="6"/>
  <c r="O221" i="6"/>
  <c r="P221" i="6"/>
  <c r="Q221" i="6"/>
  <c r="R221" i="6"/>
  <c r="S221" i="6"/>
  <c r="T221" i="6"/>
  <c r="U221" i="6"/>
  <c r="V221" i="6"/>
  <c r="W221" i="6"/>
  <c r="X221" i="6"/>
  <c r="Y221" i="6"/>
  <c r="Z221" i="6"/>
  <c r="AA221" i="6"/>
  <c r="AB221" i="6"/>
  <c r="AD221" i="6"/>
  <c r="AE221" i="6"/>
  <c r="AF221" i="6"/>
  <c r="AG221" i="6"/>
  <c r="AH221" i="6"/>
  <c r="C222" i="6"/>
  <c r="D222" i="6"/>
  <c r="E222" i="6"/>
  <c r="F222" i="6"/>
  <c r="G222" i="6"/>
  <c r="H222" i="6"/>
  <c r="I222" i="6"/>
  <c r="J222" i="6"/>
  <c r="K222" i="6"/>
  <c r="L222" i="6"/>
  <c r="M222" i="6"/>
  <c r="N222" i="6"/>
  <c r="O222" i="6"/>
  <c r="P222" i="6"/>
  <c r="Q222" i="6"/>
  <c r="R222" i="6"/>
  <c r="S222" i="6"/>
  <c r="T222" i="6"/>
  <c r="U222" i="6"/>
  <c r="V222" i="6"/>
  <c r="W222" i="6"/>
  <c r="X222" i="6"/>
  <c r="Y222" i="6"/>
  <c r="Z222" i="6"/>
  <c r="AA222" i="6"/>
  <c r="AB222" i="6"/>
  <c r="AD222" i="6"/>
  <c r="AE222" i="6"/>
  <c r="AF222" i="6"/>
  <c r="AG222" i="6"/>
  <c r="AH222" i="6"/>
  <c r="C223" i="6"/>
  <c r="D223" i="6"/>
  <c r="E223" i="6"/>
  <c r="F223" i="6"/>
  <c r="G223" i="6"/>
  <c r="H223" i="6"/>
  <c r="I223" i="6"/>
  <c r="J223" i="6"/>
  <c r="K223" i="6"/>
  <c r="L223" i="6"/>
  <c r="M223" i="6"/>
  <c r="N223" i="6"/>
  <c r="O223" i="6"/>
  <c r="P223" i="6"/>
  <c r="Q223" i="6"/>
  <c r="R223" i="6"/>
  <c r="S223" i="6"/>
  <c r="T223" i="6"/>
  <c r="U223" i="6"/>
  <c r="V223" i="6"/>
  <c r="W223" i="6"/>
  <c r="X223" i="6"/>
  <c r="Y223" i="6"/>
  <c r="Z223" i="6"/>
  <c r="AA223" i="6"/>
  <c r="AB223" i="6"/>
  <c r="AD223" i="6"/>
  <c r="AE223" i="6"/>
  <c r="AF223" i="6"/>
  <c r="AG223" i="6"/>
  <c r="AH223" i="6"/>
  <c r="C224" i="6"/>
  <c r="D224" i="6"/>
  <c r="E224" i="6"/>
  <c r="F224" i="6"/>
  <c r="G224" i="6"/>
  <c r="H224" i="6"/>
  <c r="I224" i="6"/>
  <c r="J224" i="6"/>
  <c r="K224" i="6"/>
  <c r="L224" i="6"/>
  <c r="M224" i="6"/>
  <c r="N224" i="6"/>
  <c r="O224" i="6"/>
  <c r="P224" i="6"/>
  <c r="Q224" i="6"/>
  <c r="R224" i="6"/>
  <c r="S224" i="6"/>
  <c r="T224" i="6"/>
  <c r="U224" i="6"/>
  <c r="V224" i="6"/>
  <c r="W224" i="6"/>
  <c r="X224" i="6"/>
  <c r="Y224" i="6"/>
  <c r="Z224" i="6"/>
  <c r="AA224" i="6"/>
  <c r="AB224" i="6"/>
  <c r="AD224" i="6"/>
  <c r="AE224" i="6"/>
  <c r="AF224" i="6"/>
  <c r="AG224" i="6"/>
  <c r="AH224" i="6"/>
  <c r="C225" i="6"/>
  <c r="D225" i="6"/>
  <c r="E225" i="6"/>
  <c r="F225" i="6"/>
  <c r="G225" i="6"/>
  <c r="H225" i="6"/>
  <c r="I225" i="6"/>
  <c r="J225" i="6"/>
  <c r="K225" i="6"/>
  <c r="L225" i="6"/>
  <c r="M225" i="6"/>
  <c r="N225" i="6"/>
  <c r="O225" i="6"/>
  <c r="P225" i="6"/>
  <c r="Q225" i="6"/>
  <c r="R225" i="6"/>
  <c r="S225" i="6"/>
  <c r="T225" i="6"/>
  <c r="U225" i="6"/>
  <c r="V225" i="6"/>
  <c r="W225" i="6"/>
  <c r="X225" i="6"/>
  <c r="Y225" i="6"/>
  <c r="Z225" i="6"/>
  <c r="AA225" i="6"/>
  <c r="AB225" i="6"/>
  <c r="AD225" i="6"/>
  <c r="AE225" i="6"/>
  <c r="AF225" i="6"/>
  <c r="AG225" i="6"/>
  <c r="AH225" i="6"/>
  <c r="C226" i="6"/>
  <c r="D226" i="6"/>
  <c r="E226" i="6"/>
  <c r="F226" i="6"/>
  <c r="G226" i="6"/>
  <c r="H226" i="6"/>
  <c r="I226" i="6"/>
  <c r="J226" i="6"/>
  <c r="K226" i="6"/>
  <c r="L226" i="6"/>
  <c r="M226" i="6"/>
  <c r="N226" i="6"/>
  <c r="O226" i="6"/>
  <c r="P226" i="6"/>
  <c r="Q226" i="6"/>
  <c r="R226" i="6"/>
  <c r="S226" i="6"/>
  <c r="T226" i="6"/>
  <c r="U226" i="6"/>
  <c r="V226" i="6"/>
  <c r="W226" i="6"/>
  <c r="X226" i="6"/>
  <c r="Y226" i="6"/>
  <c r="Z226" i="6"/>
  <c r="AA226" i="6"/>
  <c r="AB226" i="6"/>
  <c r="AD226" i="6"/>
  <c r="AE226" i="6"/>
  <c r="AF226" i="6"/>
  <c r="AG226" i="6"/>
  <c r="AH226" i="6"/>
  <c r="C227" i="6"/>
  <c r="D227" i="6"/>
  <c r="E227" i="6"/>
  <c r="F227" i="6"/>
  <c r="G227" i="6"/>
  <c r="H227" i="6"/>
  <c r="I227" i="6"/>
  <c r="J227" i="6"/>
  <c r="K227" i="6"/>
  <c r="L227" i="6"/>
  <c r="M227" i="6"/>
  <c r="N227" i="6"/>
  <c r="O227" i="6"/>
  <c r="P227" i="6"/>
  <c r="Q227" i="6"/>
  <c r="R227" i="6"/>
  <c r="S227" i="6"/>
  <c r="T227" i="6"/>
  <c r="U227" i="6"/>
  <c r="V227" i="6"/>
  <c r="W227" i="6"/>
  <c r="X227" i="6"/>
  <c r="Y227" i="6"/>
  <c r="Z227" i="6"/>
  <c r="AA227" i="6"/>
  <c r="AB227" i="6"/>
  <c r="AD227" i="6"/>
  <c r="AE227" i="6"/>
  <c r="AF227" i="6"/>
  <c r="AG227" i="6"/>
  <c r="AH227" i="6"/>
  <c r="C228" i="6"/>
  <c r="D228" i="6"/>
  <c r="E228" i="6"/>
  <c r="F228" i="6"/>
  <c r="G228" i="6"/>
  <c r="H228" i="6"/>
  <c r="I228" i="6"/>
  <c r="J228" i="6"/>
  <c r="K228" i="6"/>
  <c r="L228" i="6"/>
  <c r="M228" i="6"/>
  <c r="N228" i="6"/>
  <c r="O228" i="6"/>
  <c r="P228" i="6"/>
  <c r="Q228" i="6"/>
  <c r="R228" i="6"/>
  <c r="S228" i="6"/>
  <c r="T228" i="6"/>
  <c r="U228" i="6"/>
  <c r="V228" i="6"/>
  <c r="W228" i="6"/>
  <c r="X228" i="6"/>
  <c r="Y228" i="6"/>
  <c r="Z228" i="6"/>
  <c r="AA228" i="6"/>
  <c r="AB228" i="6"/>
  <c r="AD228" i="6"/>
  <c r="AE228" i="6"/>
  <c r="AF228" i="6"/>
  <c r="AG228" i="6"/>
  <c r="AH228" i="6"/>
  <c r="C229" i="6"/>
  <c r="D229" i="6"/>
  <c r="E229" i="6"/>
  <c r="F229" i="6"/>
  <c r="G229" i="6"/>
  <c r="H229" i="6"/>
  <c r="I229" i="6"/>
  <c r="J229" i="6"/>
  <c r="K229" i="6"/>
  <c r="L229" i="6"/>
  <c r="M229" i="6"/>
  <c r="N229" i="6"/>
  <c r="O229" i="6"/>
  <c r="P229" i="6"/>
  <c r="Q229" i="6"/>
  <c r="R229" i="6"/>
  <c r="S229" i="6"/>
  <c r="T229" i="6"/>
  <c r="U229" i="6"/>
  <c r="V229" i="6"/>
  <c r="W229" i="6"/>
  <c r="X229" i="6"/>
  <c r="Y229" i="6"/>
  <c r="Z229" i="6"/>
  <c r="AA229" i="6"/>
  <c r="AB229" i="6"/>
  <c r="AD229" i="6"/>
  <c r="AE229" i="6"/>
  <c r="AF229" i="6"/>
  <c r="AG229" i="6"/>
  <c r="AH229" i="6"/>
  <c r="C230" i="6"/>
  <c r="D230" i="6"/>
  <c r="E230" i="6"/>
  <c r="F230" i="6"/>
  <c r="G230" i="6"/>
  <c r="H230" i="6"/>
  <c r="I230" i="6"/>
  <c r="J230" i="6"/>
  <c r="K230" i="6"/>
  <c r="L230" i="6"/>
  <c r="M230" i="6"/>
  <c r="N230" i="6"/>
  <c r="O230" i="6"/>
  <c r="P230" i="6"/>
  <c r="Q230" i="6"/>
  <c r="R230" i="6"/>
  <c r="S230" i="6"/>
  <c r="T230" i="6"/>
  <c r="U230" i="6"/>
  <c r="V230" i="6"/>
  <c r="W230" i="6"/>
  <c r="X230" i="6"/>
  <c r="Y230" i="6"/>
  <c r="Z230" i="6"/>
  <c r="AA230" i="6"/>
  <c r="AB230" i="6"/>
  <c r="AD230" i="6"/>
  <c r="AE230" i="6"/>
  <c r="AF230" i="6"/>
  <c r="AG230" i="6"/>
  <c r="AH230" i="6"/>
  <c r="C231" i="6"/>
  <c r="D231" i="6"/>
  <c r="E231" i="6"/>
  <c r="F231" i="6"/>
  <c r="G231" i="6"/>
  <c r="H231" i="6"/>
  <c r="I231" i="6"/>
  <c r="J231" i="6"/>
  <c r="K231" i="6"/>
  <c r="L231" i="6"/>
  <c r="M231" i="6"/>
  <c r="N231" i="6"/>
  <c r="O231" i="6"/>
  <c r="P231" i="6"/>
  <c r="Q231" i="6"/>
  <c r="R231" i="6"/>
  <c r="S231" i="6"/>
  <c r="T231" i="6"/>
  <c r="U231" i="6"/>
  <c r="V231" i="6"/>
  <c r="W231" i="6"/>
  <c r="X231" i="6"/>
  <c r="Y231" i="6"/>
  <c r="Z231" i="6"/>
  <c r="AA231" i="6"/>
  <c r="AB231" i="6"/>
  <c r="AD231" i="6"/>
  <c r="AE231" i="6"/>
  <c r="AF231" i="6"/>
  <c r="AG231" i="6"/>
  <c r="AH231" i="6"/>
  <c r="C232" i="6"/>
  <c r="D232" i="6"/>
  <c r="E232" i="6"/>
  <c r="F232" i="6"/>
  <c r="G232" i="6"/>
  <c r="H232" i="6"/>
  <c r="I232" i="6"/>
  <c r="J232" i="6"/>
  <c r="K232" i="6"/>
  <c r="L232" i="6"/>
  <c r="M232" i="6"/>
  <c r="N232" i="6"/>
  <c r="O232" i="6"/>
  <c r="P232" i="6"/>
  <c r="Q232" i="6"/>
  <c r="R232" i="6"/>
  <c r="S232" i="6"/>
  <c r="T232" i="6"/>
  <c r="U232" i="6"/>
  <c r="V232" i="6"/>
  <c r="W232" i="6"/>
  <c r="X232" i="6"/>
  <c r="Y232" i="6"/>
  <c r="Z232" i="6"/>
  <c r="AA232" i="6"/>
  <c r="AB232" i="6"/>
  <c r="AD232" i="6"/>
  <c r="AE232" i="6"/>
  <c r="AF232" i="6"/>
  <c r="AG232" i="6"/>
  <c r="AH232" i="6"/>
  <c r="C233" i="6"/>
  <c r="D233" i="6"/>
  <c r="E233" i="6"/>
  <c r="F233" i="6"/>
  <c r="G233" i="6"/>
  <c r="H233" i="6"/>
  <c r="I233" i="6"/>
  <c r="J233" i="6"/>
  <c r="K233" i="6"/>
  <c r="L233" i="6"/>
  <c r="M233" i="6"/>
  <c r="N233" i="6"/>
  <c r="O233" i="6"/>
  <c r="P233" i="6"/>
  <c r="Q233" i="6"/>
  <c r="R233" i="6"/>
  <c r="S233" i="6"/>
  <c r="T233" i="6"/>
  <c r="U233" i="6"/>
  <c r="V233" i="6"/>
  <c r="W233" i="6"/>
  <c r="X233" i="6"/>
  <c r="Y233" i="6"/>
  <c r="Z233" i="6"/>
  <c r="AA233" i="6"/>
  <c r="AB233" i="6"/>
  <c r="AD233" i="6"/>
  <c r="AE233" i="6"/>
  <c r="AF233" i="6"/>
  <c r="AG233" i="6"/>
  <c r="AH233" i="6"/>
  <c r="C234" i="6"/>
  <c r="D234" i="6"/>
  <c r="E234" i="6"/>
  <c r="F234" i="6"/>
  <c r="G234" i="6"/>
  <c r="H234" i="6"/>
  <c r="I234" i="6"/>
  <c r="J234" i="6"/>
  <c r="K234" i="6"/>
  <c r="L234" i="6"/>
  <c r="M234" i="6"/>
  <c r="N234" i="6"/>
  <c r="O234" i="6"/>
  <c r="P234" i="6"/>
  <c r="Q234" i="6"/>
  <c r="R234" i="6"/>
  <c r="S234" i="6"/>
  <c r="T234" i="6"/>
  <c r="U234" i="6"/>
  <c r="V234" i="6"/>
  <c r="W234" i="6"/>
  <c r="X234" i="6"/>
  <c r="Y234" i="6"/>
  <c r="Z234" i="6"/>
  <c r="AA234" i="6"/>
  <c r="AB234" i="6"/>
  <c r="AD234" i="6"/>
  <c r="AE234" i="6"/>
  <c r="AF234" i="6"/>
  <c r="AG234" i="6"/>
  <c r="AH234" i="6"/>
  <c r="C235" i="6"/>
  <c r="D235" i="6"/>
  <c r="E235" i="6"/>
  <c r="F235" i="6"/>
  <c r="G235" i="6"/>
  <c r="H235" i="6"/>
  <c r="I235" i="6"/>
  <c r="J235" i="6"/>
  <c r="K235" i="6"/>
  <c r="L235" i="6"/>
  <c r="M235" i="6"/>
  <c r="N235" i="6"/>
  <c r="O235" i="6"/>
  <c r="P235" i="6"/>
  <c r="Q235" i="6"/>
  <c r="R235" i="6"/>
  <c r="S235" i="6"/>
  <c r="T235" i="6"/>
  <c r="U235" i="6"/>
  <c r="V235" i="6"/>
  <c r="W235" i="6"/>
  <c r="X235" i="6"/>
  <c r="Y235" i="6"/>
  <c r="Z235" i="6"/>
  <c r="AA235" i="6"/>
  <c r="AB235" i="6"/>
  <c r="AD235" i="6"/>
  <c r="AE235" i="6"/>
  <c r="AF235" i="6"/>
  <c r="AG235" i="6"/>
  <c r="AH235" i="6"/>
  <c r="C236" i="6"/>
  <c r="D236" i="6"/>
  <c r="E236" i="6"/>
  <c r="F236" i="6"/>
  <c r="G236" i="6"/>
  <c r="H236" i="6"/>
  <c r="I236" i="6"/>
  <c r="J236" i="6"/>
  <c r="K236" i="6"/>
  <c r="L236" i="6"/>
  <c r="M236" i="6"/>
  <c r="N236" i="6"/>
  <c r="O236" i="6"/>
  <c r="P236" i="6"/>
  <c r="Q236" i="6"/>
  <c r="R236" i="6"/>
  <c r="S236" i="6"/>
  <c r="T236" i="6"/>
  <c r="U236" i="6"/>
  <c r="V236" i="6"/>
  <c r="W236" i="6"/>
  <c r="X236" i="6"/>
  <c r="Y236" i="6"/>
  <c r="Z236" i="6"/>
  <c r="AA236" i="6"/>
  <c r="AB236" i="6"/>
  <c r="AD236" i="6"/>
  <c r="AE236" i="6"/>
  <c r="AF236" i="6"/>
  <c r="AG236" i="6"/>
  <c r="AH236" i="6"/>
  <c r="C237" i="6"/>
  <c r="D237" i="6"/>
  <c r="E237" i="6"/>
  <c r="F237" i="6"/>
  <c r="G237" i="6"/>
  <c r="H237" i="6"/>
  <c r="I237" i="6"/>
  <c r="J237" i="6"/>
  <c r="K237" i="6"/>
  <c r="L237" i="6"/>
  <c r="M237" i="6"/>
  <c r="N237" i="6"/>
  <c r="O237" i="6"/>
  <c r="P237" i="6"/>
  <c r="Q237" i="6"/>
  <c r="R237" i="6"/>
  <c r="S237" i="6"/>
  <c r="T237" i="6"/>
  <c r="U237" i="6"/>
  <c r="V237" i="6"/>
  <c r="W237" i="6"/>
  <c r="X237" i="6"/>
  <c r="Y237" i="6"/>
  <c r="Z237" i="6"/>
  <c r="AA237" i="6"/>
  <c r="AB237" i="6"/>
  <c r="AD237" i="6"/>
  <c r="AE237" i="6"/>
  <c r="AF237" i="6"/>
  <c r="AG237" i="6"/>
  <c r="AH237" i="6"/>
  <c r="C238" i="6"/>
  <c r="D238" i="6"/>
  <c r="E238" i="6"/>
  <c r="F238" i="6"/>
  <c r="G238" i="6"/>
  <c r="H238" i="6"/>
  <c r="I238" i="6"/>
  <c r="J238" i="6"/>
  <c r="K238" i="6"/>
  <c r="L238" i="6"/>
  <c r="M238" i="6"/>
  <c r="N238" i="6"/>
  <c r="O238" i="6"/>
  <c r="P238" i="6"/>
  <c r="Q238" i="6"/>
  <c r="R238" i="6"/>
  <c r="S238" i="6"/>
  <c r="T238" i="6"/>
  <c r="U238" i="6"/>
  <c r="V238" i="6"/>
  <c r="W238" i="6"/>
  <c r="X238" i="6"/>
  <c r="Y238" i="6"/>
  <c r="Z238" i="6"/>
  <c r="AA238" i="6"/>
  <c r="AB238" i="6"/>
  <c r="AD238" i="6"/>
  <c r="AE238" i="6"/>
  <c r="AF238" i="6"/>
  <c r="AG238" i="6"/>
  <c r="AH238" i="6"/>
  <c r="C239" i="6"/>
  <c r="D239" i="6"/>
  <c r="E239" i="6"/>
  <c r="F239" i="6"/>
  <c r="G239" i="6"/>
  <c r="H239" i="6"/>
  <c r="I239" i="6"/>
  <c r="J239" i="6"/>
  <c r="K239" i="6"/>
  <c r="L239" i="6"/>
  <c r="M239" i="6"/>
  <c r="N239" i="6"/>
  <c r="O239" i="6"/>
  <c r="P239" i="6"/>
  <c r="Q239" i="6"/>
  <c r="R239" i="6"/>
  <c r="S239" i="6"/>
  <c r="T239" i="6"/>
  <c r="U239" i="6"/>
  <c r="V239" i="6"/>
  <c r="W239" i="6"/>
  <c r="X239" i="6"/>
  <c r="Y239" i="6"/>
  <c r="Z239" i="6"/>
  <c r="AA239" i="6"/>
  <c r="AB239" i="6"/>
  <c r="AD239" i="6"/>
  <c r="AE239" i="6"/>
  <c r="AF239" i="6"/>
  <c r="AG239" i="6"/>
  <c r="AH239" i="6"/>
  <c r="C240" i="6"/>
  <c r="D240" i="6"/>
  <c r="E240" i="6"/>
  <c r="F240" i="6"/>
  <c r="G240" i="6"/>
  <c r="H240" i="6"/>
  <c r="I240" i="6"/>
  <c r="J240" i="6"/>
  <c r="K240" i="6"/>
  <c r="L240" i="6"/>
  <c r="M240" i="6"/>
  <c r="N240" i="6"/>
  <c r="O240" i="6"/>
  <c r="P240" i="6"/>
  <c r="Q240" i="6"/>
  <c r="R240" i="6"/>
  <c r="S240" i="6"/>
  <c r="T240" i="6"/>
  <c r="U240" i="6"/>
  <c r="V240" i="6"/>
  <c r="W240" i="6"/>
  <c r="X240" i="6"/>
  <c r="Y240" i="6"/>
  <c r="Z240" i="6"/>
  <c r="AA240" i="6"/>
  <c r="AB240" i="6"/>
  <c r="AD240" i="6"/>
  <c r="AE240" i="6"/>
  <c r="AF240" i="6"/>
  <c r="AG240" i="6"/>
  <c r="AH240" i="6"/>
  <c r="C241" i="6"/>
  <c r="D241" i="6"/>
  <c r="E241" i="6"/>
  <c r="F241" i="6"/>
  <c r="G241" i="6"/>
  <c r="H241" i="6"/>
  <c r="I241" i="6"/>
  <c r="J241" i="6"/>
  <c r="K241" i="6"/>
  <c r="L241" i="6"/>
  <c r="M241" i="6"/>
  <c r="N241" i="6"/>
  <c r="O241" i="6"/>
  <c r="P241" i="6"/>
  <c r="Q241" i="6"/>
  <c r="R241" i="6"/>
  <c r="S241" i="6"/>
  <c r="T241" i="6"/>
  <c r="U241" i="6"/>
  <c r="V241" i="6"/>
  <c r="W241" i="6"/>
  <c r="X241" i="6"/>
  <c r="Y241" i="6"/>
  <c r="Z241" i="6"/>
  <c r="AA241" i="6"/>
  <c r="AB241" i="6"/>
  <c r="AD241" i="6"/>
  <c r="AE241" i="6"/>
  <c r="AF241" i="6"/>
  <c r="AG241" i="6"/>
  <c r="AH241" i="6"/>
  <c r="C242" i="6"/>
  <c r="D242" i="6"/>
  <c r="E242" i="6"/>
  <c r="F242" i="6"/>
  <c r="G242" i="6"/>
  <c r="H242" i="6"/>
  <c r="I242" i="6"/>
  <c r="J242" i="6"/>
  <c r="K242" i="6"/>
  <c r="L242" i="6"/>
  <c r="M242" i="6"/>
  <c r="N242" i="6"/>
  <c r="O242" i="6"/>
  <c r="P242" i="6"/>
  <c r="Q242" i="6"/>
  <c r="R242" i="6"/>
  <c r="S242" i="6"/>
  <c r="T242" i="6"/>
  <c r="U242" i="6"/>
  <c r="V242" i="6"/>
  <c r="W242" i="6"/>
  <c r="X242" i="6"/>
  <c r="Y242" i="6"/>
  <c r="Z242" i="6"/>
  <c r="AA242" i="6"/>
  <c r="AB242" i="6"/>
  <c r="AD242" i="6"/>
  <c r="AE242" i="6"/>
  <c r="AF242" i="6"/>
  <c r="AG242" i="6"/>
  <c r="AH242" i="6"/>
  <c r="C243" i="6"/>
  <c r="D243" i="6"/>
  <c r="E243" i="6"/>
  <c r="F243" i="6"/>
  <c r="G243" i="6"/>
  <c r="H243" i="6"/>
  <c r="I243" i="6"/>
  <c r="J243" i="6"/>
  <c r="K243" i="6"/>
  <c r="L243" i="6"/>
  <c r="M243" i="6"/>
  <c r="N243" i="6"/>
  <c r="O243" i="6"/>
  <c r="P243" i="6"/>
  <c r="Q243" i="6"/>
  <c r="R243" i="6"/>
  <c r="S243" i="6"/>
  <c r="T243" i="6"/>
  <c r="U243" i="6"/>
  <c r="V243" i="6"/>
  <c r="W243" i="6"/>
  <c r="X243" i="6"/>
  <c r="Y243" i="6"/>
  <c r="Z243" i="6"/>
  <c r="AA243" i="6"/>
  <c r="AB243" i="6"/>
  <c r="AD243" i="6"/>
  <c r="AE243" i="6"/>
  <c r="AF243" i="6"/>
  <c r="AG243" i="6"/>
  <c r="AH243" i="6"/>
  <c r="C244" i="6"/>
  <c r="D244" i="6"/>
  <c r="E244" i="6"/>
  <c r="F244" i="6"/>
  <c r="G244" i="6"/>
  <c r="H244" i="6"/>
  <c r="I244" i="6"/>
  <c r="J244" i="6"/>
  <c r="K244" i="6"/>
  <c r="L244" i="6"/>
  <c r="M244" i="6"/>
  <c r="N244" i="6"/>
  <c r="O244" i="6"/>
  <c r="P244" i="6"/>
  <c r="Q244" i="6"/>
  <c r="R244" i="6"/>
  <c r="S244" i="6"/>
  <c r="T244" i="6"/>
  <c r="U244" i="6"/>
  <c r="V244" i="6"/>
  <c r="W244" i="6"/>
  <c r="X244" i="6"/>
  <c r="Y244" i="6"/>
  <c r="Z244" i="6"/>
  <c r="AA244" i="6"/>
  <c r="AB244" i="6"/>
  <c r="AD244" i="6"/>
  <c r="AE244" i="6"/>
  <c r="AF244" i="6"/>
  <c r="AG244" i="6"/>
  <c r="AH244" i="6"/>
  <c r="C245" i="6"/>
  <c r="D245" i="6"/>
  <c r="E245" i="6"/>
  <c r="F245" i="6"/>
  <c r="G245" i="6"/>
  <c r="H245" i="6"/>
  <c r="I245" i="6"/>
  <c r="J245" i="6"/>
  <c r="K245" i="6"/>
  <c r="L245" i="6"/>
  <c r="M245" i="6"/>
  <c r="N245" i="6"/>
  <c r="O245" i="6"/>
  <c r="P245" i="6"/>
  <c r="Q245" i="6"/>
  <c r="R245" i="6"/>
  <c r="S245" i="6"/>
  <c r="T245" i="6"/>
  <c r="U245" i="6"/>
  <c r="V245" i="6"/>
  <c r="W245" i="6"/>
  <c r="X245" i="6"/>
  <c r="Y245" i="6"/>
  <c r="Z245" i="6"/>
  <c r="AA245" i="6"/>
  <c r="AB245" i="6"/>
  <c r="AD245" i="6"/>
  <c r="AE245" i="6"/>
  <c r="AF245" i="6"/>
  <c r="AG245" i="6"/>
  <c r="AH245" i="6"/>
  <c r="C246" i="6"/>
  <c r="D246" i="6"/>
  <c r="E246" i="6"/>
  <c r="F246" i="6"/>
  <c r="G246" i="6"/>
  <c r="H246" i="6"/>
  <c r="I246" i="6"/>
  <c r="J246" i="6"/>
  <c r="K246" i="6"/>
  <c r="L246" i="6"/>
  <c r="M246" i="6"/>
  <c r="N246" i="6"/>
  <c r="O246" i="6"/>
  <c r="P246" i="6"/>
  <c r="Q246" i="6"/>
  <c r="R246" i="6"/>
  <c r="S246" i="6"/>
  <c r="T246" i="6"/>
  <c r="U246" i="6"/>
  <c r="V246" i="6"/>
  <c r="W246" i="6"/>
  <c r="X246" i="6"/>
  <c r="Y246" i="6"/>
  <c r="Z246" i="6"/>
  <c r="AA246" i="6"/>
  <c r="AB246" i="6"/>
  <c r="AD246" i="6"/>
  <c r="AE246" i="6"/>
  <c r="AF246" i="6"/>
  <c r="AG246" i="6"/>
  <c r="AH246" i="6"/>
  <c r="C247" i="6"/>
  <c r="D247" i="6"/>
  <c r="E247" i="6"/>
  <c r="F247" i="6"/>
  <c r="G247" i="6"/>
  <c r="H247" i="6"/>
  <c r="I247" i="6"/>
  <c r="J247" i="6"/>
  <c r="K247" i="6"/>
  <c r="L247" i="6"/>
  <c r="M247" i="6"/>
  <c r="N247" i="6"/>
  <c r="O247" i="6"/>
  <c r="P247" i="6"/>
  <c r="Q247" i="6"/>
  <c r="R247" i="6"/>
  <c r="S247" i="6"/>
  <c r="T247" i="6"/>
  <c r="U247" i="6"/>
  <c r="V247" i="6"/>
  <c r="W247" i="6"/>
  <c r="X247" i="6"/>
  <c r="Y247" i="6"/>
  <c r="Z247" i="6"/>
  <c r="AA247" i="6"/>
  <c r="AB247" i="6"/>
  <c r="AD247" i="6"/>
  <c r="AE247" i="6"/>
  <c r="AF247" i="6"/>
  <c r="AG247" i="6"/>
  <c r="AH247" i="6"/>
  <c r="C248" i="6"/>
  <c r="D248" i="6"/>
  <c r="E248" i="6"/>
  <c r="F248" i="6"/>
  <c r="G248" i="6"/>
  <c r="H248" i="6"/>
  <c r="I248" i="6"/>
  <c r="J248" i="6"/>
  <c r="K248" i="6"/>
  <c r="L248" i="6"/>
  <c r="M248" i="6"/>
  <c r="N248" i="6"/>
  <c r="O248" i="6"/>
  <c r="P248" i="6"/>
  <c r="Q248" i="6"/>
  <c r="R248" i="6"/>
  <c r="S248" i="6"/>
  <c r="T248" i="6"/>
  <c r="U248" i="6"/>
  <c r="V248" i="6"/>
  <c r="W248" i="6"/>
  <c r="X248" i="6"/>
  <c r="Y248" i="6"/>
  <c r="Z248" i="6"/>
  <c r="AA248" i="6"/>
  <c r="AB248" i="6"/>
  <c r="AD248" i="6"/>
  <c r="AE248" i="6"/>
  <c r="AF248" i="6"/>
  <c r="AG248" i="6"/>
  <c r="AH248" i="6"/>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 i="6"/>
  <c r="C102" i="2"/>
  <c r="C101" i="2"/>
  <c r="C100" i="2"/>
  <c r="C99" i="2"/>
  <c r="C98" i="2"/>
  <c r="C97" i="2"/>
  <c r="C96" i="2"/>
  <c r="C95" i="2"/>
  <c r="C94" i="2"/>
  <c r="C93" i="2"/>
  <c r="C92" i="2"/>
  <c r="C90" i="2"/>
  <c r="C89" i="2"/>
  <c r="C88" i="2"/>
  <c r="C87" i="2"/>
  <c r="C86" i="2"/>
  <c r="C84" i="2"/>
  <c r="C83" i="2"/>
  <c r="C82" i="2"/>
  <c r="C81" i="2"/>
  <c r="C80" i="2"/>
  <c r="C79" i="2"/>
  <c r="C78" i="2"/>
  <c r="C77" i="2"/>
  <c r="C76" i="2"/>
  <c r="C74" i="2"/>
  <c r="C73" i="2"/>
  <c r="C72" i="2"/>
  <c r="C70" i="2"/>
  <c r="C69" i="2"/>
  <c r="C68" i="2"/>
  <c r="C67" i="2"/>
  <c r="C66" i="2"/>
  <c r="C65" i="2"/>
  <c r="C64" i="2"/>
  <c r="C63" i="2"/>
  <c r="C62" i="2"/>
  <c r="C61" i="2"/>
  <c r="C60" i="2"/>
  <c r="C59" i="2"/>
  <c r="C58" i="2"/>
  <c r="F46" i="2"/>
  <c r="F45" i="2"/>
  <c r="F44" i="2"/>
  <c r="F43" i="2"/>
  <c r="F42" i="2"/>
  <c r="F38" i="2"/>
  <c r="F37" i="2"/>
  <c r="F36" i="2"/>
  <c r="F31" i="2"/>
  <c r="F30" i="2"/>
  <c r="F23" i="2"/>
  <c r="F22" i="2"/>
  <c r="F21" i="2"/>
  <c r="F17" i="2"/>
  <c r="F15" i="2"/>
  <c r="F13" i="2"/>
  <c r="F12" i="2"/>
  <c r="F11" i="2"/>
  <c r="F7" i="2"/>
  <c r="F41" i="2"/>
  <c r="F40" i="2"/>
  <c r="F39" i="2"/>
  <c r="F35" i="2"/>
  <c r="F34" i="2"/>
  <c r="F33" i="2"/>
  <c r="F32" i="2"/>
  <c r="F29" i="2"/>
  <c r="F28" i="2"/>
  <c r="F27" i="2"/>
  <c r="F26" i="2"/>
  <c r="F25" i="2"/>
  <c r="F24" i="2"/>
  <c r="F20" i="2"/>
  <c r="F19" i="2"/>
  <c r="F18" i="2"/>
  <c r="F16" i="2"/>
  <c r="F10" i="2"/>
  <c r="F9" i="2"/>
  <c r="F8" i="2"/>
  <c r="F6" i="2"/>
  <c r="F5" i="2"/>
  <c r="F4" i="2"/>
  <c r="F14" i="2"/>
  <c r="F3" i="2"/>
  <c r="EN28" i="29" l="1"/>
  <c r="EH27" i="29"/>
  <c r="P15" i="26"/>
  <c r="AD27" i="29" l="1"/>
  <c r="AO23" i="29"/>
  <c r="AO24" i="29"/>
  <c r="AO27" i="29" l="1"/>
  <c r="AP25" i="29" l="1"/>
  <c r="AP22" i="29"/>
  <c r="AP21" i="29"/>
  <c r="AP19" i="29"/>
  <c r="AP20" i="29"/>
  <c r="AO28" i="29"/>
  <c r="AO29" i="29" s="1"/>
  <c r="AP23" i="29"/>
  <c r="AP26" i="29"/>
  <c r="AP24" i="29"/>
  <c r="AV27" i="29" l="1"/>
  <c r="AP27" i="29"/>
  <c r="BA23" i="29" l="1"/>
  <c r="BA27" i="29" s="1"/>
  <c r="BB20" i="29" l="1"/>
  <c r="BN24" i="29"/>
  <c r="BN26" i="29"/>
  <c r="BN20" i="29"/>
  <c r="BN23" i="29"/>
  <c r="BN25" i="29"/>
  <c r="BN22" i="29"/>
  <c r="BN19" i="29"/>
  <c r="BN27" i="29" s="1"/>
  <c r="BN21" i="29"/>
  <c r="BB24" i="29"/>
  <c r="BB23" i="29"/>
  <c r="BA28" i="29"/>
  <c r="BA29" i="29" s="1"/>
  <c r="BB25" i="29"/>
  <c r="BB22" i="29"/>
  <c r="BB19" i="29"/>
  <c r="BB21" i="29"/>
  <c r="BB26" i="29"/>
  <c r="BZ27" i="29" l="1"/>
  <c r="BT27" i="29"/>
  <c r="BB27" i="2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<sst xmlns="http://schemas.openxmlformats.org/spreadsheetml/2006/main" count="1984" uniqueCount="300">
  <si>
    <t>ΣΥΜΒΟΛΟ</t>
  </si>
  <si>
    <t>ΕΤΑΙΡΕΙΑ</t>
  </si>
  <si>
    <t>ΔΕΙΚΤΗΣ</t>
  </si>
  <si>
    <t>ΚΛΑΔΟΣ</t>
  </si>
  <si>
    <t>ΑΛΦΑ</t>
  </si>
  <si>
    <t>ALPHA ΤΡΑΠΕΖΑ Α.Ε. (ΚΟ)</t>
  </si>
  <si>
    <t>ΕΕΕ</t>
  </si>
  <si>
    <t>COCA-COLA HBC AG</t>
  </si>
  <si>
    <t>ΕΥΡΩΒ</t>
  </si>
  <si>
    <t>EUROBANK ERGASIAS (Κ.Ο)</t>
  </si>
  <si>
    <t>ΦΡΛΚ</t>
  </si>
  <si>
    <t>FOURLIS Α.Ε. (ΚΟ)</t>
  </si>
  <si>
    <t>ΜΠΕΛΑ</t>
  </si>
  <si>
    <t>JUMBO ΑΝΩΝΥΜΗ ΕΜΠΟΡ. ΕΤ. (ΚΟ)</t>
  </si>
  <si>
    <t>ΛΑΜΔΑ</t>
  </si>
  <si>
    <t>LAMDA DEVELOPMENT Α.Ε.</t>
  </si>
  <si>
    <t>TITC</t>
  </si>
  <si>
    <t>TITAN CEMENT INTERNATIONAL S.A</t>
  </si>
  <si>
    <t>ΒΙΟ</t>
  </si>
  <si>
    <t>VIOHALCO SA/NY</t>
  </si>
  <si>
    <t>ΑΔΜΗΕ</t>
  </si>
  <si>
    <t>ΑΔΜΗΕ ΣΥΜΜΕΤΟΧΩΝ Α.Ε. (ΚΟ)</t>
  </si>
  <si>
    <t>ΑΡΑΙΓ</t>
  </si>
  <si>
    <t>ΑΕΡΟΠΟΡΙΑ ΑΙΓΑΙΟΥ (ΚΟ)</t>
  </si>
  <si>
    <t>ΓΕΚΤΕΡΝΑ</t>
  </si>
  <si>
    <t>ΓΕΚ ΤΕΡΝΑ Α.Ε</t>
  </si>
  <si>
    <t>ΣΑΡ</t>
  </si>
  <si>
    <t>ΓΡ. ΣΑΡΑΝΤΗΣ Α.Β.Ε.Ε. (ΚΟ)</t>
  </si>
  <si>
    <t>ΔΕΗ</t>
  </si>
  <si>
    <t>ΔΗΜΟΣΙΑ ΕΠΙΧ/ΣΗ ΗΛΕΚΤ/ΣΜΟΥ Α.Ε</t>
  </si>
  <si>
    <t>ΕΤΕ</t>
  </si>
  <si>
    <t>ΕΧΑΕ</t>
  </si>
  <si>
    <t>ΕΛ/ΚΑ ΧΡΗΜ/ΡΙΑ- ΧΑ Α.Ε ΣΥΜ/ΧΩΝ</t>
  </si>
  <si>
    <t>ΕΛΛΑΚΤΩΡ</t>
  </si>
  <si>
    <t>ΕΛΛΑΚΤΩΡ ΑΕ</t>
  </si>
  <si>
    <t>ΕΛΠΕ</t>
  </si>
  <si>
    <t>ΕΛΛΗΝΙΚΑ ΠΕΤΡΕΛΑΙΑ Α.Ε. (ΚΟ)</t>
  </si>
  <si>
    <t>ΕΥΔΑΠ</t>
  </si>
  <si>
    <t>ΕΤΑΙΡΙΑ ΥΔΡΕΥΣΕΩΣ Α.Ε. (ΚΟ)</t>
  </si>
  <si>
    <t>ΜΟΗ</t>
  </si>
  <si>
    <t>ΜΟΤΟΡ ΟΪΛ ΕΛΛΑΣ Α.Ε. (ΚΟ)</t>
  </si>
  <si>
    <t>ΜΥΤΙΛ</t>
  </si>
  <si>
    <t>ΜΥΤΙΛΗΝΑΙΟΣ Α.Ε. (ΚΟ)</t>
  </si>
  <si>
    <t>ΟΠΑΠ</t>
  </si>
  <si>
    <t>ΟΠΑΠ Α.Ε. (ΚΟ)</t>
  </si>
  <si>
    <t>ΟΛΠ</t>
  </si>
  <si>
    <t>ΟΡΓΑΝΙΣΜΟΣ ΛΙΜΕΝΟΣ ΠΕΙΡ. (ΚΟ)</t>
  </si>
  <si>
    <t>ΟΤΕ</t>
  </si>
  <si>
    <t>ΟΡΓΑΝΙΣΜΟΣ ΤΗΛΕΠ/ΝΙΩΝ ΤΗΣ ΕΛΛΑ</t>
  </si>
  <si>
    <t>ΤΕΝΕΡΓ</t>
  </si>
  <si>
    <t>ΤΕΡΝΑ ΕΝΕΡΓΕΙΑΚΗ Α.Β.Ε.Τ.Ε.</t>
  </si>
  <si>
    <t>ΠΕΙΡ</t>
  </si>
  <si>
    <t>ΤΡΑΠΕΖΑ ΠΕΙΡΑΙΩΣ Α.Ε</t>
  </si>
  <si>
    <t>ΑΤΤ</t>
  </si>
  <si>
    <t>ATTICA BANK Α.Τ.Ε</t>
  </si>
  <si>
    <t>ΟΤΟΕΛ</t>
  </si>
  <si>
    <t>AUTOHELLAS A.E. (ΚΟ)</t>
  </si>
  <si>
    <t>CENER</t>
  </si>
  <si>
    <t>CENERGY HOLDINGS S.A.(ΚΑ)</t>
  </si>
  <si>
    <t>ΙΝΤΕΡΚΟ</t>
  </si>
  <si>
    <t>INTERCONTINENTAL INT.ΑΕΕΑΠ(ΚΟ)</t>
  </si>
  <si>
    <t>ΜΙΓ</t>
  </si>
  <si>
    <t>MARFIN INVEST.GROUP SA (ΚΟ)</t>
  </si>
  <si>
    <t>ΠΡΟΦ</t>
  </si>
  <si>
    <t>PROFILE Α.Ε.Β.Ε. ΠΛΗΡΟΦΟΡΙΚΗΣ</t>
  </si>
  <si>
    <t>ΚΟΥΕΣ</t>
  </si>
  <si>
    <t>QUEST ΣΥΜΜΕΤΟΧΩΝ Α.Ε.</t>
  </si>
  <si>
    <t>ΑΒΑΞ</t>
  </si>
  <si>
    <t>ΑΒΑΞ Α.Ε. (ΚΟ)</t>
  </si>
  <si>
    <t>ΕΛΤΟΝ</t>
  </si>
  <si>
    <t>ΕΛΤΟΝ ΔΙΕΘΝΟΥΣ ΕΜΠ. Α.Ε.Β.Ε.</t>
  </si>
  <si>
    <t>ΙΑΣΩ</t>
  </si>
  <si>
    <t>ΙΑΣΩ ΑΕ (ΚΟ)</t>
  </si>
  <si>
    <t>ΙΚΤΙΝ</t>
  </si>
  <si>
    <t>ΙΚΤΙΝΟΣ ΕΛΛΑΣ Α.Ε. (ΚΟ)</t>
  </si>
  <si>
    <t>ΙΝΤΚΑ</t>
  </si>
  <si>
    <t>ΙΝΤΡΑΚΟΜ Α.Ε. ΣΥΜΜΕΤΟΧΩΝ (ΚΟ)</t>
  </si>
  <si>
    <t>ΙΝΚΑΤ</t>
  </si>
  <si>
    <t>ΙΝΤΡΑΚΟΜ ΚΑΤ.Α.Ε.ΤΕΧΝ.ΕΡΓ.&amp;ΜΕΤ</t>
  </si>
  <si>
    <t>ΙΝΛΟΤ</t>
  </si>
  <si>
    <t>ΙΝΤΡΑΛΟΤ Α.Ε. (ΚΟ)</t>
  </si>
  <si>
    <t>ΚΡΙ</t>
  </si>
  <si>
    <t>ΚΡΙ-ΚΡΙ ΒΙΟΜ/ΝΙΑ ΓΑΛΑΚΤΟΣ (ΚΟ)</t>
  </si>
  <si>
    <t>ΚΕΚΡ</t>
  </si>
  <si>
    <t>Ο Κέκροψ Ξενοδ.Τουριστ. Οικι</t>
  </si>
  <si>
    <t>ΟΛΘ</t>
  </si>
  <si>
    <t>ΟΡΓΑΝΙΣΜΟΣ ΛΙΜΕΝΟΣ ΘΕΣ/ΚΗΣ(ΚΟ)</t>
  </si>
  <si>
    <t>ΠΛΑΙΣ</t>
  </si>
  <si>
    <t>ΠΛΑΙΣΙΟ COMPUTERS Α.Ε.Ε. (ΚΟ)</t>
  </si>
  <si>
    <t>ΠΛΑΘ</t>
  </si>
  <si>
    <t>ΠΛΑΣΤΙΚΑ ΘΡΑΚΗΣ ΕΤ.ΣΥΜ. Α.Ε.Ε.</t>
  </si>
  <si>
    <t>ΟΛΥΜΠ</t>
  </si>
  <si>
    <t>ΤΕΧΝΙΚΗ ΟΛΥΜΠΙΑΚΗ Α.Ε.</t>
  </si>
  <si>
    <t>Tράπεζες</t>
  </si>
  <si>
    <t>Υγειονομικές Μονάδες</t>
  </si>
  <si>
    <t>Βιομηχ/κα Προϊόντα κ' Υπηρ.</t>
  </si>
  <si>
    <t>FTSE/ATHEX LARGE CAP</t>
  </si>
  <si>
    <t>FTSE/ATHEX MID CAP</t>
  </si>
  <si>
    <t>Τρόφιμα και ποτά</t>
  </si>
  <si>
    <t>Προσωπικά κ' Οικιακά αγαθά</t>
  </si>
  <si>
    <t>Χρημ/κές Υπηρεσίες , Διαχείριση Ακίνητης Περιουσίας</t>
  </si>
  <si>
    <t>Υπηρεσίες Κοινής Ωφέλειας</t>
  </si>
  <si>
    <t>Ταξίδια και Αναψυχή</t>
  </si>
  <si>
    <t>Κατασκευές και Υλικά Κατασκευών</t>
  </si>
  <si>
    <t>Πετρέλαιο και Αέριο</t>
  </si>
  <si>
    <t>Τηλεπικοινωνίες</t>
  </si>
  <si>
    <t>Τεχνολογία</t>
  </si>
  <si>
    <t>Εθνική Τράπεζα της Ελλάδος (ΚΟ)</t>
  </si>
  <si>
    <t>ΚΕΦ/ΣΗ (27.03.2020)</t>
  </si>
  <si>
    <t>Χημικά</t>
  </si>
  <si>
    <t>ΓΕΝΙΚΟΣ ΔΕΙΚΤΗΣ ΧΑΑ</t>
  </si>
  <si>
    <t>ΤΙΤC</t>
  </si>
  <si>
    <t>Ταξινόμηση κατά αύξουσα σειρά</t>
  </si>
  <si>
    <t>Oι 15 μετοχές στις οποίες κατέληξα, με βάση την κεφαλαιοποίηση και την συσχέτιση τους, είναι:</t>
  </si>
  <si>
    <t>Μετοχές</t>
  </si>
  <si>
    <t>Κεφαλαιοποίηση</t>
  </si>
  <si>
    <t>ΜΕΤΟΧΕΣ</t>
  </si>
  <si>
    <t>ΚΕΦ/ΣΚΗ (27.03.2020)</t>
  </si>
  <si>
    <t>ΚΡΙΤΗΡΙΑ ΕΠΙΛΟΓΗΣ 6 ΜΕΤΟΧΩΝ</t>
  </si>
  <si>
    <t>ΜΟ ΚΛΑΔΟΥ</t>
  </si>
  <si>
    <t>Μ.Ο ΣΥΝΟΛΙΚΗΣ ΚΕΦ/ΣΗΣ</t>
  </si>
  <si>
    <t>Βήτα</t>
  </si>
  <si>
    <t>Ρευστότητα</t>
  </si>
  <si>
    <t>Τυπική Απόκλιση</t>
  </si>
  <si>
    <t>Δείκτης Ρευστότητας</t>
  </si>
  <si>
    <t>Κεφαλαιακή Δομή</t>
  </si>
  <si>
    <t>Προοπτικές</t>
  </si>
  <si>
    <t>Α/Α</t>
  </si>
  <si>
    <t>Score</t>
  </si>
  <si>
    <t>ΒΕΤΑ</t>
  </si>
  <si>
    <t>SCORE</t>
  </si>
  <si>
    <t>Κριτήριο Ρευστότητας</t>
  </si>
  <si>
    <t>Μετοχή</t>
  </si>
  <si>
    <t>Μέσος Όγκος Συναλλαγών</t>
  </si>
  <si>
    <t>Σύνολο Μετοχών</t>
  </si>
  <si>
    <t>Δείκτης</t>
  </si>
  <si>
    <t>Ημερήσιοι Όγκοι Συναλλαγών</t>
  </si>
  <si>
    <t>&lt;0</t>
  </si>
  <si>
    <t>&gt;1</t>
  </si>
  <si>
    <t>Μέσος</t>
  </si>
  <si>
    <t>Δείκτης Κεφαλαιακής Διάρθρωσης</t>
  </si>
  <si>
    <t>(εξαμήνου)</t>
  </si>
  <si>
    <t>ΈΞΟΔΟΣ ΣΥΜΠΕΡΑΣΜΑΤΟΣ</t>
  </si>
  <si>
    <t>Στατιστικά παλινδρόμησης</t>
  </si>
  <si>
    <t>Πολλαπλό R</t>
  </si>
  <si>
    <t>R Τετράγωνο</t>
  </si>
  <si>
    <t>Προσαρμοσμένο R Τετράγωνο</t>
  </si>
  <si>
    <t>Τυπικό σφάλμα</t>
  </si>
  <si>
    <t>Μέγεθος δείγματος</t>
  </si>
  <si>
    <t>ΑΝΑΛΥΣΗ ΔΙΑΚΥΜΑΝΣΗΣ</t>
  </si>
  <si>
    <t>Παλινδρόμηση</t>
  </si>
  <si>
    <t>Υπόλοιπο</t>
  </si>
  <si>
    <t>Σύνολο</t>
  </si>
  <si>
    <t>Τεταγμένη επί την αρχή</t>
  </si>
  <si>
    <t>βαθμοί ελευθερίας</t>
  </si>
  <si>
    <t>SS</t>
  </si>
  <si>
    <t>MS</t>
  </si>
  <si>
    <t>F</t>
  </si>
  <si>
    <t>Σημαντικότητα F</t>
  </si>
  <si>
    <t>Συντελεστές</t>
  </si>
  <si>
    <t>t</t>
  </si>
  <si>
    <t>τιμή-P</t>
  </si>
  <si>
    <t>Κατώτερο 95%</t>
  </si>
  <si>
    <t>Υψηλότερο 95%</t>
  </si>
  <si>
    <t>Κατώτερο 95,0%</t>
  </si>
  <si>
    <t>Υψηλότερο 95,0%</t>
  </si>
  <si>
    <t>Μεταβλητή X 1</t>
  </si>
  <si>
    <t>Σταθμισμένα Κριτήρια Αξιολόγησης Μετοχών</t>
  </si>
  <si>
    <t>ΣΥΝΟΛΟ</t>
  </si>
  <si>
    <t>Current Ratio</t>
  </si>
  <si>
    <t>Συντελεστής ΒΗΤΑ</t>
  </si>
  <si>
    <t>ΑΠΟΔΟΣΕΙΣ</t>
  </si>
  <si>
    <t>ΧΑΡΑΚΤΗΡΙΣΤΙΚΑ ΜΕΤΟΧΩΝ</t>
  </si>
  <si>
    <t>Ε(Ri)</t>
  </si>
  <si>
    <t>SR</t>
  </si>
  <si>
    <t>AVERAGE</t>
  </si>
  <si>
    <t>ΕΠΙΠΛΕΟΝ ΑΠΟΔΟΣΕΙΣ</t>
  </si>
  <si>
    <t>Αριθμός παρατηρήσεων</t>
  </si>
  <si>
    <t>ΠΙΝΑΚΑΣ ΔΙΑΚΥΜΑΝΣΗΣ - ΣΥΝΔΙΑΚΥΜΑΝΣΗΣ</t>
  </si>
  <si>
    <t>Χαρτοφυλάκιο</t>
  </si>
  <si>
    <t xml:space="preserve">Παράμετρος </t>
  </si>
  <si>
    <t>Max Ε(ri)</t>
  </si>
  <si>
    <t>Min σ</t>
  </si>
  <si>
    <t>Max SR</t>
  </si>
  <si>
    <t>Τιμή</t>
  </si>
  <si>
    <t>Σταθμίσεις</t>
  </si>
  <si>
    <t>Σwi</t>
  </si>
  <si>
    <t>ΜΕΤΟΧΗ</t>
  </si>
  <si>
    <t>ΣΤΑΘΜΙΣΗ</t>
  </si>
  <si>
    <t>σ(p)</t>
  </si>
  <si>
    <t>Ε(Rp)</t>
  </si>
  <si>
    <t>σ(i)</t>
  </si>
  <si>
    <t>ΤΕΛΙΚΗ ΣΥΝΘΕΣΗ ΧΑΡΤΟΦΥΛΑΚΙΟΥ</t>
  </si>
  <si>
    <t>Ποσό</t>
  </si>
  <si>
    <t>ΜΕΤΡΗΤΑ</t>
  </si>
  <si>
    <t>ΤΙΜΕΣ ΚΛΕΙΣΙΜΑΤΟΣ</t>
  </si>
  <si>
    <t>ΓΕΝΙΚΟΣ ΔΕΙΚΤΗΣ</t>
  </si>
  <si>
    <t>ΤΖΙΡΟΣ</t>
  </si>
  <si>
    <t>Ημερομηνία</t>
  </si>
  <si>
    <t>Νέα που αφορούν την εταιρία</t>
  </si>
  <si>
    <t>Νέα που αφορούν την οικονομία</t>
  </si>
  <si>
    <t>Διακύμανση 20 τελευταίων ημερών</t>
  </si>
  <si>
    <t>Μέση ημερήσια απόδοση 20 τελ. Ημερών</t>
  </si>
  <si>
    <t>Μέση εμπορευσιμότητα 20 τελ. Ημερών</t>
  </si>
  <si>
    <t>3.ΜΠΕΛΑ</t>
  </si>
  <si>
    <t>2.ΟΤΕ</t>
  </si>
  <si>
    <t>1.ΟΠΑΠ</t>
  </si>
  <si>
    <t>4.ΛΑΜΔΑ</t>
  </si>
  <si>
    <t>5.ΤΙΤC</t>
  </si>
  <si>
    <t>6.ΕΥΔΑΠ</t>
  </si>
  <si>
    <t>7.ΟΛΘ</t>
  </si>
  <si>
    <t>8.ΙΑΣΩ</t>
  </si>
  <si>
    <t>9.ΕΕΕ</t>
  </si>
  <si>
    <t>10.ΣΑΡ</t>
  </si>
  <si>
    <t>11.ΟΛΠ</t>
  </si>
  <si>
    <t>12.ΚΟΥΕΣ</t>
  </si>
  <si>
    <t>13.ΕΥΡΩΒ</t>
  </si>
  <si>
    <t>14.ΟΤΟΕΛ</t>
  </si>
  <si>
    <t>15.ΤΕΝΕΡΓ</t>
  </si>
  <si>
    <t>Αρχική Σύσταση Χαρτοφυλακίου</t>
  </si>
  <si>
    <t>τιμή Μτχ.</t>
  </si>
  <si>
    <t>αρθμ. Μετοχών</t>
  </si>
  <si>
    <t xml:space="preserve">ποσό </t>
  </si>
  <si>
    <t>Στάθμιση</t>
  </si>
  <si>
    <t>Κερδος/ζημια</t>
  </si>
  <si>
    <t>Simple Rate Portfolio</t>
  </si>
  <si>
    <t>Simple Rate General index</t>
  </si>
  <si>
    <t>ΤΙΜΗ ΜΤΧ</t>
  </si>
  <si>
    <t>ΚΟΜΜΑΤΙΑ</t>
  </si>
  <si>
    <t>Νέα Σύσταση</t>
  </si>
  <si>
    <t>Ημέρες από έναρξη</t>
  </si>
  <si>
    <t>ΣΥΝΑΛΛΑΓΕΣ</t>
  </si>
  <si>
    <t>Πωληση</t>
  </si>
  <si>
    <t>Σύνολο από διαθεσίμων από πώληση</t>
  </si>
  <si>
    <t>Τόκοι από Μετρητα</t>
  </si>
  <si>
    <t>Διαθέσιμα με μετρητα</t>
  </si>
  <si>
    <t>Αγορά</t>
  </si>
  <si>
    <t>ΤΙΤΚ</t>
  </si>
  <si>
    <t>KOYES</t>
  </si>
  <si>
    <t>KOUES</t>
  </si>
  <si>
    <t xml:space="preserve"> </t>
  </si>
  <si>
    <t>ΔΙΑΦΟΡΑ</t>
  </si>
  <si>
    <t>ΗΜΕΡΑ</t>
  </si>
  <si>
    <t>ΗΜΕΡΟΜΗΝΙΑ</t>
  </si>
  <si>
    <t>ΑΠΟΔΟΣΗ ΓΔ</t>
  </si>
  <si>
    <t>ΑΠΟΔΟΣΗ Χ/Φ</t>
  </si>
  <si>
    <t>ΣΩΡΕΥΤΙΚΗ ΑΠΟΔΟΣΗ Γ/Δ</t>
  </si>
  <si>
    <t>ΣΩΡΕΥΤΙΚΗ ΑΠΟΔΟΣΗ Χ/Φ</t>
  </si>
  <si>
    <t>Αρχικό κεφάλαιο (08/04/2019)</t>
  </si>
  <si>
    <t>Τελικό κεφάλαιο (15/05/2019)</t>
  </si>
  <si>
    <t>Ημέρες παρακολούθησης</t>
  </si>
  <si>
    <t>Απόδοση Χαρτοφυλακίου</t>
  </si>
  <si>
    <t>Απόδοση ΓΔ</t>
  </si>
  <si>
    <t>Benchmarking</t>
  </si>
  <si>
    <t>Rf</t>
  </si>
  <si>
    <t>Κίνδυνος Χαρτοφυλακίου</t>
  </si>
  <si>
    <t>Κίνδυνος ΓΔ</t>
  </si>
  <si>
    <t>Sharpe ratio Χαρτοφυλακίου</t>
  </si>
  <si>
    <t>Sharpe ratio ΓΔ</t>
  </si>
  <si>
    <t>Βήτα Χαρτοφυλακίου</t>
  </si>
  <si>
    <t>Είδος Χαρτοφυλακίου</t>
  </si>
  <si>
    <t>1.ΕΕΕ</t>
  </si>
  <si>
    <t>3.ΟΠΑΠ</t>
  </si>
  <si>
    <t>4.ΜΠΕΛΑ</t>
  </si>
  <si>
    <t>5.ΕΥΡΩΒ</t>
  </si>
  <si>
    <t>6.ΛΑΜΔΑ</t>
  </si>
  <si>
    <t>7.TITC</t>
  </si>
  <si>
    <t>8.TENEΡΓ</t>
  </si>
  <si>
    <t>13.ΟΛΘ</t>
  </si>
  <si>
    <t>15.ΙΑΣΩ</t>
  </si>
  <si>
    <t>Ο.Π.Α.Π. ΑΕ - Επαναλειτουργία καταστημάτων ΟΠΑΠ </t>
  </si>
  <si>
    <t>Ο.Π.Α.Π. ΑΕ - Επένδυση στη Stoiximan</t>
  </si>
  <si>
    <t>Ο.Τ.Ε. Α.Ε. - Αγορά ιδίων μετοχών</t>
  </si>
  <si>
    <t>Ο.Τ.Ε. Α.Ε. - ΑΓΟΡΑ ΙΔΙΩΝ ΜΕΤΟΧΩΝ</t>
  </si>
  <si>
    <t>Ο.Τ.Ε. Α.Ε. - ΑΓΟΡΑ ΙΔΙΩΝ ΜΕΤΟΧΩΝ </t>
  </si>
  <si>
    <t>Ε.ΥΔ.Α.Π. Α.Ε. - ΑΠΟΤΕΛΕΣΜΑΤΑ ΨΗΦΟΦΟΡΙΑΣ ΕΚΤΑΚΤΗΣ ΓΕΝΙΚΗΣ ΣΥΝΕΛΕΥΣΗΣ </t>
  </si>
  <si>
    <t>Ε.ΥΔ.Α.Π. Α.Ε. - Χρονική επέκταση ισχύουσας σύμβασης</t>
  </si>
  <si>
    <t>ΙΑΣΩ Α.Ε. - ΑΝΑΚΟΙΝΩΣΗ ΔΙΑΝΟΜΗΣ ΜΕΡΟΥΣ ΚΕΡΔΩΝ ΠΡΟΗΓΟΥΜΕΝΩΝ ΟΙΚΟΝΟΜΙΚΩΝ ΧΡΗΣΕΩΝ</t>
  </si>
  <si>
    <t>ΙΑΣΩ Α.Ε. - ΑΝΑΚΟΙΝΩΣΗ ΑΓΟΡΑΣ ΙΔΙΩΝ ΜΕΤΟΧΩΝ</t>
  </si>
  <si>
    <t>ΙΑΣΩ Α.Ε. - ΑΝΑΚΟΙΝΩΣΗ ΑΓΟΡΑΣ ΙΔΙΩΝ ΜΕΤΟΧΩΝ </t>
  </si>
  <si>
    <t>ΙΑΣΩ Α.Ε. - Ανακοίνωση Αγοράς Ιδίων Μετοχών </t>
  </si>
  <si>
    <t>ΙΑΣΩ Α.Ε. - Ανακοίνωση Αγοράς Ιδίων Μετοχών</t>
  </si>
  <si>
    <t>ΓΡ. ΣΑΡΑΝΤΗΣ Α.Β.Ε.Ε. - ΓΝΩΣΤΟΠΟΙΗΣΗ ΑΠΟΚΟΠΗΣ ΔΙΚΑΙΩΜΑΤΟΣ ΜΕΡΙΣΜΑΤΟΣ / ΠΛΗΡΩΜΗΣ ΜΕΡΙΣΜΑΤΟΣ/ ΠΡΟΜΕΡΙΣΜΑΤΟΣ</t>
  </si>
  <si>
    <t>Ο.Λ.Π. Α.Ε. - Έργο Επέκτασης του Επιβατικού Λιμένα (Νότια Ζώνη, Φάση Α)</t>
  </si>
  <si>
    <t>EUROBANK ERGASIAS ΥΠΗΡΕΣΙΩΝ - Ανακοίνωση κράτους-μέλους καταγωγής </t>
  </si>
  <si>
    <t>AUTOHELLAS Α.Τ.Ε.Ε. - Ανακοίνωση σε σχέση με τα δημοσιεύματα για την Hertz Global Holdings</t>
  </si>
  <si>
    <t>ΤΕΡΝΑ ΕΝΕΡΓΕΙΑΚΗ Α.Β.Ε.Τ.Ε. - ΑΓΟΡΑ ΙΔΙΩΝ ΜΕΤΟΧΩΝ</t>
  </si>
  <si>
    <t>ΤΕΡΝΑ ΕΝΕΡΓΕΙΑΚΗ Α.Β.Ε.Τ.Ε. - ΑΓΟΡΑ ΙΔΙΩΝ ΜΕΤΟΧΩΝ </t>
  </si>
  <si>
    <t>ΤΕΡΝΑ ΕΝΕΡΓΕΙΑΚΗ Α.Β.Ε.Τ.Ε. - Αποφάσεις Τακτικής Γενικής Συνέλευσης των Μετόχων της 29/04/2020</t>
  </si>
  <si>
    <t>TITAN CEMENT INTERNATIONAL S.A - ΓΝΩΣΤΟΠΟΙΗΣΗ ΑΠΟΦΑΣΗΣ ΓΙΑ ΤΗΝ ΑΓΟΡΑ ΙΔΙΩΝ ΜΕΤΟΧΩΝ</t>
  </si>
  <si>
    <t>TITAN CEMENT INTERNATIONAL S.A - Επιστροφή Κεφαλαίου</t>
  </si>
  <si>
    <t>TITAN CEMENT INTERNATIONAL S.A - ΠΡΟΓΡΑΜΜΑ ΑΓΟΡΑΣ ΙΔΙΩΝ ΜΕΤΟΧΩΝ</t>
  </si>
  <si>
    <t>TITAN CEMENT INTERNATIONAL S.A - ΠΡΟΓΡΑΜΜΑ ΑΓΟΡΑΣ ΙΔΙΩΝ ΜΕΤΟΧΩΝ </t>
  </si>
  <si>
    <t>TITAN CEMENT INTERNATIONAL S.A - ΠΡΟΓΡΑΜΜΑ ΑΓΟΡΑΣ ΙΔΙΩΝ ΜΕΤΟΧΩΝ TITAN CEMENT INTERNATIONAL S.A - ΑΝΑΚΟΙΝΩΣΗ ΑΝΑΦΟΡΙΚΑ ΜΕ ΤΗΝ ΕΤΗΣΙΑ ΓΕΝΙΚΗ ΣΥΝΕΛΕΥΣΗ ΤΩΝ ΜΕΤΟΧΩΝ ΣΤΙΣ 14 ΜΑΙΟΥ 2020</t>
  </si>
  <si>
    <t>COCA-COLA HBC A.G. - Notification of transactions by Persons Discharging Managerial Responsibilities </t>
  </si>
  <si>
    <t>COCA-COLA HBC A.G. - Disclosure of Rights attached to Equity Shares </t>
  </si>
  <si>
    <t>COCA-COLA HBC A.G. - Announcement of the annual general meeting to be held on 16 June 2020, changes to the Board and confirmation of dividen</t>
  </si>
  <si>
    <t>Ο.Λ.Θ. Α.Ε. - Η επίδραση του COVID-19 στη διακίνηση του Λιμανιού της Θεσσαλονίκης</t>
  </si>
  <si>
    <t>Ο.Λ.Θ. Α.Ε. - ΑΝΑΚΟΙΝΩΣΗ 30.4.2020 ΟΛΘ Α.Ε</t>
  </si>
  <si>
    <t>ΑΜΥΝΤΙΚΟ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</si>
</sst>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quot;;\-#,##0\ &quot;€&quot;"/>
    <numFmt numFmtId="6" formatCode="#,##0\ &quot;€&quot;;[Red]\-#,##0\ &quot;€&quot;"/>
    <numFmt numFmtId="42" formatCode="_-* #,##0\ &quot;€&quot;_-;\-* #,##0\ &quot;€&quot;_-;_-* &quot;-&quot;\ &quot;€&quot;_-;_-@_-"/>
    <numFmt numFmtId="43" formatCode="_-* #,##0.00_-;\-* #,##0.00_-;_-* &quot;-&quot;??_-;_-@_-"/>
    <numFmt numFmtId="164" formatCode="#,##0.00\ &quot;€&quot;"/>
    <numFmt numFmtId="165" formatCode="#,##0\ &quot;€&quot;"/>
    <numFmt numFmtId="166" formatCode="#,##0.00000\ _€"/>
    <numFmt numFmtId="167" formatCode="_-* #,##0.00\ _€_-;\-* #,##0.00\ _€_-;_-* &quot;-&quot;??\ _€_-;_-@_-"/>
    <numFmt numFmtId="168" formatCode="0.000%"/>
    <numFmt numFmtId="169" formatCode="0.00000"/>
    <numFmt numFmtId="170" formatCode="0.0000"/>
    <numFmt numFmtId="171" formatCode="_-* #,##0\ &quot;€&quot;_-;\-* #,##0\ &quot;€&quot;_-;_-* &quot;-&quot;??\ &quot;€&quot;_-;_-@_-"/>
    <numFmt numFmtId="172" formatCode="#,##0_ ;\-#,##0\ "/>
    <numFmt numFmtId="173" formatCode="0.0000%"/>
  </numFmts>
  <fonts count="35">
    <font>
      <sz val="11"/>
      <color theme="1"/>
      <name val="Calibri"/>
      <family val="2"/>
      <charset val="161"/>
      <scheme val="minor"/>
    </font>
    <font>
      <sz val="11"/>
      <name val="Calibri"/>
      <family val="2"/>
      <charset val="161"/>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i/>
      <sz val="11"/>
      <color theme="1"/>
      <name val="Calibri"/>
      <family val="2"/>
      <charset val="161"/>
      <scheme val="minor"/>
    </font>
    <font>
      <b/>
      <i/>
      <sz val="11"/>
      <color theme="1"/>
      <name val="Calibri"/>
      <family val="2"/>
      <scheme val="minor"/>
    </font>
    <font>
      <u/>
      <sz val="11"/>
      <color theme="10"/>
      <name val="Calibri"/>
      <family val="2"/>
      <charset val="161"/>
      <scheme val="minor"/>
    </font>
    <font>
      <sz val="11"/>
      <color theme="1"/>
      <name val="Calibri"/>
      <family val="2"/>
      <charset val="161"/>
      <scheme val="minor"/>
    </font>
    <font>
      <b/>
      <sz val="11"/>
      <color theme="1"/>
      <name val="Calibri"/>
      <family val="2"/>
      <charset val="161"/>
      <scheme val="minor"/>
    </font>
    <font>
      <b/>
      <sz val="12"/>
      <color theme="1"/>
      <name val="Calibri"/>
      <family val="2"/>
      <charset val="161"/>
      <scheme val="minor"/>
    </font>
    <font>
      <b/>
      <sz val="14"/>
      <color theme="1" tint="0.499984740745262"/>
      <name val="Calibri"/>
      <family val="2"/>
      <charset val="161"/>
      <scheme val="minor"/>
    </font>
    <font>
      <sz val="8"/>
      <color theme="1"/>
      <name val="Arial"/>
      <family val="2"/>
    </font>
    <font>
      <sz val="9"/>
      <color theme="1"/>
      <name val="Arial"/>
      <family val="2"/>
    </font>
    <font>
      <sz val="7"/>
      <color theme="1"/>
      <name val="Arial"/>
      <family val="2"/>
    </font>
    <font>
      <sz val="11"/>
      <color rgb="FFFF0000"/>
      <name val="Calibri"/>
      <family val="2"/>
      <charset val="161"/>
      <scheme val="minor"/>
    </font>
    <font>
      <sz val="6"/>
      <color theme="1"/>
      <name val="Arial"/>
      <family val="2"/>
    </font>
    <font>
      <sz val="5"/>
      <color theme="1"/>
      <name val="Arial"/>
      <family val="2"/>
    </font>
    <font>
      <sz val="10"/>
      <color theme="1"/>
      <name val="Calibri"/>
      <family val="2"/>
      <scheme val="minor"/>
    </font>
    <font>
      <b/>
      <sz val="11"/>
      <color indexed="8"/>
      <name val="Calibri"/>
      <family val="2"/>
    </font>
    <font>
      <sz val="11"/>
      <color rgb="FF000000"/>
      <name val="Calibri"/>
      <family val="2"/>
      <scheme val="minor"/>
    </font>
    <font>
      <b/>
      <sz val="22"/>
      <color theme="1"/>
      <name val="Calibri"/>
      <family val="2"/>
      <scheme val="minor"/>
    </font>
    <font>
      <sz val="12"/>
      <color theme="1"/>
      <name val="Calibri"/>
      <family val="2"/>
      <scheme val="minor"/>
    </font>
    <font>
      <sz val="12"/>
      <color theme="1"/>
      <name val="Calibri"/>
      <family val="2"/>
      <charset val="129"/>
      <scheme val="minor"/>
    </font>
    <font>
      <b/>
      <sz val="11"/>
      <color rgb="FFCC0000"/>
      <name val="Calibri"/>
      <family val="2"/>
      <scheme val="minor"/>
    </font>
    <font>
      <sz val="11"/>
      <color rgb="FFCC0000"/>
      <name val="Calibri"/>
      <family val="2"/>
      <charset val="161"/>
      <scheme val="minor"/>
    </font>
    <font>
      <b/>
      <sz val="11"/>
      <color rgb="FF000000"/>
      <name val="Calibri"/>
      <family val="2"/>
      <scheme val="minor"/>
    </font>
    <font>
      <b/>
      <sz val="11"/>
      <color rgb="FFC00000"/>
      <name val="Calibri"/>
      <family val="2"/>
      <scheme val="minor"/>
    </font>
    <font>
      <b/>
      <sz val="12"/>
      <color rgb="FFC00000"/>
      <name val="Calibri"/>
      <family val="2"/>
      <charset val="161"/>
      <scheme val="minor"/>
    </font>
    <font>
      <b/>
      <sz val="14"/>
      <color theme="1"/>
      <name val="Calibri"/>
      <family val="2"/>
      <scheme val="minor"/>
    </font>
    <font>
      <b/>
      <sz val="26"/>
      <color theme="1"/>
      <name val="Calibri"/>
      <family val="2"/>
      <scheme val="minor"/>
    </font>
    <font>
      <b/>
      <sz val="11"/>
      <name val="Calibri"/>
      <family val="2"/>
      <charset val="161"/>
      <scheme val="minor"/>
    </font>
    <font>
      <b/>
      <i/>
      <u/>
      <sz val="11"/>
      <color theme="0"/>
      <name val="Calibri"/>
      <family val="2"/>
      <charset val="161"/>
      <scheme val="minor"/>
    </font>
    <font>
      <i/>
      <sz val="11"/>
      <color theme="1"/>
      <name val="Calibri"/>
      <family val="2"/>
      <scheme val="minor"/>
    </font>
  </fonts>
  <fills count="23">
    <fill>
      <patternFill patternType="none"/>
    </fill>
    <fill>
      <patternFill patternType="gray125"/>
    </fill>
    <fill>
      <patternFill patternType="solid">
        <fgColor theme="2" tint="-0.49998474074526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8">
    <xf numFmtId="0" fontId="0" fillId="0" borderId="0"/>
    <xf numFmtId="0" fontId="8" fillId="0" borderId="0" applyNumberForma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0" fontId="23" fillId="0" borderId="0"/>
    <xf numFmtId="9" fontId="24" fillId="0" borderId="0" applyFont="0" applyFill="0" applyBorder="0" applyAlignment="0" applyProtection="0"/>
    <xf numFmtId="43" fontId="9" fillId="0" borderId="0" applyFont="0" applyFill="0" applyBorder="0" applyAlignment="0" applyProtection="0"/>
    <xf numFmtId="0" fontId="5" fillId="0" borderId="0"/>
  </cellStyleXfs>
  <cellXfs count="418">
    <xf numFmtId="0" fontId="0" fillId="0" borderId="0" xfId="0"/>
    <xf numFmtId="0" fontId="0" fillId="8" borderId="1" xfId="0" applyFill="1" applyBorder="1"/>
    <xf numFmtId="0" fontId="0" fillId="11" borderId="1" xfId="0" applyFill="1" applyBorder="1"/>
    <xf numFmtId="0" fontId="1" fillId="7" borderId="1" xfId="0" applyFont="1" applyFill="1" applyBorder="1"/>
    <xf numFmtId="0" fontId="0" fillId="5" borderId="1" xfId="0" applyFill="1" applyBorder="1"/>
    <xf numFmtId="0" fontId="0" fillId="14" borderId="1" xfId="0" applyFill="1" applyBorder="1"/>
    <xf numFmtId="0" fontId="1" fillId="15" borderId="1" xfId="0" applyFont="1" applyFill="1" applyBorder="1"/>
    <xf numFmtId="0" fontId="0" fillId="0" borderId="0" xfId="0" applyAlignment="1">
      <alignment horizontal="center"/>
    </xf>
    <xf numFmtId="0" fontId="2" fillId="0" borderId="0" xfId="0" applyFont="1" applyAlignment="1">
      <alignment horizontal="center"/>
    </xf>
    <xf numFmtId="0" fontId="0" fillId="0" borderId="0" xfId="0" applyNumberFormat="1" applyAlignment="1">
      <alignment horizontal="center"/>
    </xf>
    <xf numFmtId="0" fontId="0" fillId="0" borderId="1" xfId="0" applyNumberFormat="1" applyBorder="1" applyAlignment="1">
      <alignment horizontal="center"/>
    </xf>
    <xf numFmtId="0" fontId="0" fillId="6" borderId="1" xfId="0" applyFill="1" applyBorder="1"/>
    <xf numFmtId="0" fontId="0" fillId="10" borderId="1" xfId="0" applyFill="1" applyBorder="1"/>
    <xf numFmtId="0" fontId="1" fillId="10" borderId="1" xfId="0" applyFont="1" applyFill="1" applyBorder="1"/>
    <xf numFmtId="0" fontId="0" fillId="2" borderId="1" xfId="0" applyFill="1" applyBorder="1"/>
    <xf numFmtId="0" fontId="1" fillId="12" borderId="1" xfId="0" applyFont="1" applyFill="1" applyBorder="1"/>
    <xf numFmtId="0" fontId="0" fillId="12" borderId="1" xfId="0" applyFill="1" applyBorder="1"/>
    <xf numFmtId="0" fontId="1" fillId="13" borderId="1" xfId="0" applyFont="1" applyFill="1" applyBorder="1"/>
    <xf numFmtId="0" fontId="1" fillId="5" borderId="1" xfId="0" applyFont="1" applyFill="1" applyBorder="1"/>
    <xf numFmtId="0" fontId="1" fillId="14" borderId="1" xfId="0" applyFont="1" applyFill="1" applyBorder="1"/>
    <xf numFmtId="0" fontId="1" fillId="16" borderId="1" xfId="0" applyFont="1" applyFill="1" applyBorder="1"/>
    <xf numFmtId="0" fontId="1" fillId="4" borderId="1" xfId="0" applyFont="1" applyFill="1" applyBorder="1"/>
    <xf numFmtId="0" fontId="2" fillId="0" borderId="1" xfId="0" applyFont="1" applyBorder="1" applyAlignment="1">
      <alignment horizontal="center"/>
    </xf>
    <xf numFmtId="164" fontId="4" fillId="0" borderId="0" xfId="0" applyNumberFormat="1" applyFont="1" applyAlignment="1">
      <alignment horizontal="center"/>
    </xf>
    <xf numFmtId="164" fontId="4" fillId="0" borderId="1" xfId="0" applyNumberFormat="1" applyFont="1" applyBorder="1" applyAlignment="1">
      <alignment horizontal="center"/>
    </xf>
    <xf numFmtId="164" fontId="3" fillId="6" borderId="1" xfId="0" applyNumberFormat="1" applyFont="1" applyFill="1" applyBorder="1"/>
    <xf numFmtId="164" fontId="3" fillId="10" borderId="1" xfId="0" applyNumberFormat="1" applyFont="1" applyFill="1" applyBorder="1"/>
    <xf numFmtId="164" fontId="3" fillId="2" borderId="1" xfId="0" applyNumberFormat="1" applyFont="1" applyFill="1" applyBorder="1"/>
    <xf numFmtId="164" fontId="3" fillId="11" borderId="1" xfId="0" applyNumberFormat="1" applyFont="1" applyFill="1" applyBorder="1"/>
    <xf numFmtId="164" fontId="3" fillId="12" borderId="1" xfId="0" applyNumberFormat="1" applyFont="1" applyFill="1" applyBorder="1"/>
    <xf numFmtId="164" fontId="3" fillId="8" borderId="1" xfId="0" applyNumberFormat="1" applyFont="1" applyFill="1" applyBorder="1"/>
    <xf numFmtId="164" fontId="3" fillId="7" borderId="1" xfId="0" applyNumberFormat="1" applyFont="1" applyFill="1" applyBorder="1"/>
    <xf numFmtId="164" fontId="3" fillId="13" borderId="1" xfId="0" applyNumberFormat="1" applyFont="1" applyFill="1" applyBorder="1"/>
    <xf numFmtId="164" fontId="3" fillId="5" borderId="1" xfId="0" applyNumberFormat="1" applyFont="1" applyFill="1" applyBorder="1"/>
    <xf numFmtId="164" fontId="3" fillId="14" borderId="1" xfId="0" applyNumberFormat="1" applyFont="1" applyFill="1" applyBorder="1"/>
    <xf numFmtId="164" fontId="3" fillId="15" borderId="1" xfId="0" applyNumberFormat="1" applyFont="1" applyFill="1" applyBorder="1"/>
    <xf numFmtId="164" fontId="3" fillId="16" borderId="1" xfId="0" applyNumberFormat="1" applyFont="1" applyFill="1" applyBorder="1"/>
    <xf numFmtId="164" fontId="3" fillId="4" borderId="1" xfId="0" applyNumberFormat="1" applyFont="1" applyFill="1" applyBorder="1"/>
    <xf numFmtId="164" fontId="3" fillId="0" borderId="0" xfId="0" applyNumberFormat="1" applyFont="1"/>
    <xf numFmtId="14" fontId="0" fillId="17" borderId="0" xfId="0" applyNumberFormat="1" applyFill="1" applyAlignment="1">
      <alignment horizontal="center"/>
    </xf>
    <xf numFmtId="0" fontId="5" fillId="0" borderId="0" xfId="0" applyFont="1" applyBorder="1" applyAlignment="1">
      <alignment vertical="center" wrapText="1"/>
    </xf>
    <xf numFmtId="14" fontId="0" fillId="15" borderId="0" xfId="0" applyNumberFormat="1" applyFill="1"/>
    <xf numFmtId="0" fontId="2" fillId="16" borderId="1" xfId="0" applyFont="1" applyFill="1" applyBorder="1" applyAlignment="1">
      <alignment horizontal="center"/>
    </xf>
    <xf numFmtId="10" fontId="0" fillId="0" borderId="0" xfId="0" applyNumberFormat="1"/>
    <xf numFmtId="14" fontId="0" fillId="0" borderId="0" xfId="0" applyNumberFormat="1"/>
    <xf numFmtId="0" fontId="0" fillId="0" borderId="0" xfId="0" applyFill="1" applyBorder="1" applyAlignment="1"/>
    <xf numFmtId="0" fontId="0" fillId="0" borderId="2" xfId="0" applyFill="1" applyBorder="1" applyAlignment="1"/>
    <xf numFmtId="0" fontId="6" fillId="0" borderId="3" xfId="0" applyFont="1" applyFill="1" applyBorder="1" applyAlignment="1">
      <alignment horizontal="center"/>
    </xf>
    <xf numFmtId="0" fontId="6" fillId="5" borderId="3" xfId="0" applyFont="1" applyFill="1" applyBorder="1" applyAlignment="1">
      <alignment horizontal="center"/>
    </xf>
    <xf numFmtId="0" fontId="0" fillId="5" borderId="0" xfId="0" applyFill="1" applyBorder="1" applyAlignment="1"/>
    <xf numFmtId="0" fontId="0" fillId="5" borderId="2" xfId="0" applyFill="1" applyBorder="1" applyAlignment="1"/>
    <xf numFmtId="0" fontId="0" fillId="3" borderId="0" xfId="0" applyFill="1" applyBorder="1" applyAlignment="1"/>
    <xf numFmtId="0" fontId="0" fillId="9" borderId="0" xfId="0" applyFill="1"/>
    <xf numFmtId="0" fontId="7" fillId="9" borderId="4" xfId="0" applyFont="1" applyFill="1" applyBorder="1"/>
    <xf numFmtId="0" fontId="7" fillId="9" borderId="5" xfId="0" applyFont="1" applyFill="1" applyBorder="1"/>
    <xf numFmtId="0" fontId="2" fillId="12" borderId="1" xfId="0" applyFont="1" applyFill="1" applyBorder="1" applyAlignment="1">
      <alignment horizontal="center"/>
    </xf>
    <xf numFmtId="0" fontId="0" fillId="16" borderId="1" xfId="0" applyFill="1" applyBorder="1"/>
    <xf numFmtId="0" fontId="0" fillId="3" borderId="2" xfId="0" applyFill="1" applyBorder="1" applyAlignment="1"/>
    <xf numFmtId="0" fontId="0" fillId="18" borderId="0" xfId="0" applyFill="1" applyBorder="1"/>
    <xf numFmtId="0" fontId="0" fillId="7" borderId="1" xfId="0" applyFill="1" applyBorder="1"/>
    <xf numFmtId="0" fontId="0" fillId="7" borderId="7" xfId="0" applyFill="1" applyBorder="1"/>
    <xf numFmtId="0" fontId="0" fillId="7" borderId="1" xfId="0" applyFill="1" applyBorder="1" applyAlignment="1">
      <alignment horizontal="center"/>
    </xf>
    <xf numFmtId="164" fontId="3" fillId="9" borderId="0" xfId="0" applyNumberFormat="1" applyFont="1" applyFill="1" applyBorder="1"/>
    <xf numFmtId="0" fontId="0" fillId="6" borderId="6" xfId="0" applyFill="1" applyBorder="1"/>
    <xf numFmtId="164" fontId="0" fillId="0" borderId="0" xfId="0" applyNumberFormat="1"/>
    <xf numFmtId="0" fontId="0" fillId="10" borderId="6" xfId="0" applyFill="1" applyBorder="1"/>
    <xf numFmtId="0" fontId="0" fillId="11" borderId="6" xfId="0" applyFill="1" applyBorder="1"/>
    <xf numFmtId="0" fontId="0" fillId="12" borderId="0" xfId="0" applyFill="1"/>
    <xf numFmtId="0" fontId="0" fillId="8" borderId="6" xfId="0" applyFill="1" applyBorder="1"/>
    <xf numFmtId="0" fontId="1" fillId="7" borderId="6" xfId="0" applyFont="1" applyFill="1" applyBorder="1"/>
    <xf numFmtId="0" fontId="1" fillId="13" borderId="6" xfId="0" applyFont="1" applyFill="1" applyBorder="1"/>
    <xf numFmtId="0" fontId="1" fillId="15" borderId="6" xfId="0" applyFont="1" applyFill="1" applyBorder="1"/>
    <xf numFmtId="164" fontId="0" fillId="18" borderId="1" xfId="0" applyNumberFormat="1" applyFill="1" applyBorder="1"/>
    <xf numFmtId="0" fontId="0" fillId="0" borderId="1" xfId="0" applyBorder="1"/>
    <xf numFmtId="0" fontId="0" fillId="5" borderId="1" xfId="0" applyFont="1" applyFill="1" applyBorder="1"/>
    <xf numFmtId="0" fontId="0" fillId="9" borderId="1" xfId="0" applyFill="1" applyBorder="1" applyAlignment="1">
      <alignment horizontal="center"/>
    </xf>
    <xf numFmtId="0" fontId="0" fillId="9" borderId="1" xfId="0" applyFill="1" applyBorder="1"/>
    <xf numFmtId="164" fontId="3" fillId="9" borderId="1" xfId="0" applyNumberFormat="1" applyFont="1" applyFill="1" applyBorder="1"/>
    <xf numFmtId="0" fontId="1" fillId="9" borderId="1" xfId="0" applyFont="1" applyFill="1" applyBorder="1"/>
    <xf numFmtId="0" fontId="2" fillId="19" borderId="1" xfId="0" applyFont="1" applyFill="1" applyBorder="1" applyAlignment="1">
      <alignment horizontal="center"/>
    </xf>
    <xf numFmtId="0" fontId="2" fillId="19" borderId="7" xfId="0" applyFont="1" applyFill="1" applyBorder="1"/>
    <xf numFmtId="0" fontId="2" fillId="19" borderId="1" xfId="0" applyFont="1" applyFill="1" applyBorder="1"/>
    <xf numFmtId="0" fontId="1" fillId="11" borderId="1" xfId="0" applyFont="1" applyFill="1" applyBorder="1"/>
    <xf numFmtId="0" fontId="2" fillId="11" borderId="1" xfId="0" applyFont="1" applyFill="1" applyBorder="1" applyAlignment="1">
      <alignment horizontal="center"/>
    </xf>
    <xf numFmtId="0" fontId="0" fillId="9" borderId="0" xfId="0" applyFill="1" applyAlignment="1">
      <alignment horizontal="center"/>
    </xf>
    <xf numFmtId="10" fontId="0" fillId="9" borderId="0" xfId="0" applyNumberFormat="1" applyFill="1"/>
    <xf numFmtId="0" fontId="0" fillId="0" borderId="12" xfId="0" applyBorder="1" applyAlignment="1">
      <alignment horizontal="center"/>
    </xf>
    <xf numFmtId="14" fontId="0" fillId="11" borderId="6" xfId="0" applyNumberFormat="1" applyFill="1" applyBorder="1" applyAlignment="1">
      <alignment horizontal="center"/>
    </xf>
    <xf numFmtId="10" fontId="0" fillId="0" borderId="0" xfId="0" applyNumberFormat="1" applyBorder="1"/>
    <xf numFmtId="10" fontId="0" fillId="0" borderId="9" xfId="0" applyNumberFormat="1" applyBorder="1"/>
    <xf numFmtId="14" fontId="0" fillId="11" borderId="13" xfId="0" applyNumberFormat="1" applyFill="1" applyBorder="1" applyAlignment="1">
      <alignment horizontal="center"/>
    </xf>
    <xf numFmtId="10" fontId="0" fillId="0" borderId="10" xfId="0" applyNumberFormat="1" applyBorder="1"/>
    <xf numFmtId="10" fontId="0" fillId="0" borderId="11" xfId="0" applyNumberFormat="1" applyBorder="1"/>
    <xf numFmtId="0" fontId="0" fillId="12" borderId="1" xfId="0" applyFill="1" applyBorder="1" applyAlignment="1">
      <alignment horizontal="center"/>
    </xf>
    <xf numFmtId="165" fontId="0" fillId="0" borderId="0" xfId="0" applyNumberFormat="1"/>
    <xf numFmtId="165" fontId="0" fillId="0" borderId="1" xfId="0" applyNumberFormat="1" applyBorder="1"/>
    <xf numFmtId="10" fontId="0" fillId="0" borderId="1" xfId="0" applyNumberFormat="1" applyBorder="1"/>
    <xf numFmtId="0" fontId="0" fillId="18" borderId="1" xfId="0" applyFill="1" applyBorder="1"/>
    <xf numFmtId="0" fontId="1" fillId="18" borderId="1" xfId="0" applyFont="1" applyFill="1" applyBorder="1"/>
    <xf numFmtId="0" fontId="1" fillId="8" borderId="1" xfId="0" applyFont="1" applyFill="1" applyBorder="1"/>
    <xf numFmtId="14" fontId="0" fillId="20" borderId="0" xfId="0" applyNumberFormat="1" applyFill="1" applyAlignment="1">
      <alignment horizontal="center"/>
    </xf>
    <xf numFmtId="0" fontId="0" fillId="20" borderId="1" xfId="0" applyFill="1" applyBorder="1"/>
    <xf numFmtId="0" fontId="1" fillId="20" borderId="1" xfId="0" applyFont="1" applyFill="1" applyBorder="1"/>
    <xf numFmtId="0" fontId="10" fillId="6" borderId="1" xfId="0" applyFont="1" applyFill="1" applyBorder="1"/>
    <xf numFmtId="0" fontId="10" fillId="6" borderId="1" xfId="0" applyFont="1" applyFill="1" applyBorder="1" applyAlignment="1">
      <alignment wrapText="1"/>
    </xf>
    <xf numFmtId="0" fontId="10" fillId="6" borderId="1" xfId="0" applyFont="1" applyFill="1" applyBorder="1" applyAlignment="1">
      <alignment vertical="center"/>
    </xf>
    <xf numFmtId="0" fontId="0" fillId="13" borderId="1" xfId="0" applyFill="1" applyBorder="1"/>
    <xf numFmtId="0" fontId="10" fillId="5" borderId="1" xfId="0" applyFont="1" applyFill="1" applyBorder="1"/>
    <xf numFmtId="0" fontId="10" fillId="5" borderId="1" xfId="0" applyFont="1" applyFill="1" applyBorder="1" applyAlignment="1">
      <alignment wrapText="1"/>
    </xf>
    <xf numFmtId="0" fontId="2" fillId="5" borderId="1" xfId="0" applyFont="1" applyFill="1" applyBorder="1" applyAlignment="1">
      <alignment horizontal="center"/>
    </xf>
    <xf numFmtId="10" fontId="0" fillId="0" borderId="1" xfId="2" applyNumberFormat="1" applyFont="1" applyBorder="1"/>
    <xf numFmtId="1" fontId="0" fillId="0" borderId="1" xfId="0" applyNumberFormat="1" applyBorder="1"/>
    <xf numFmtId="10" fontId="0" fillId="0" borderId="0" xfId="2" applyNumberFormat="1" applyFont="1" applyBorder="1"/>
    <xf numFmtId="0" fontId="0" fillId="5" borderId="5" xfId="0" applyFill="1" applyBorder="1"/>
    <xf numFmtId="14" fontId="0" fillId="13" borderId="14" xfId="0" applyNumberFormat="1" applyFill="1" applyBorder="1"/>
    <xf numFmtId="14" fontId="0" fillId="13" borderId="8" xfId="0" applyNumberFormat="1" applyFill="1" applyBorder="1"/>
    <xf numFmtId="0" fontId="0" fillId="3" borderId="1" xfId="0" applyFill="1" applyBorder="1"/>
    <xf numFmtId="0" fontId="1" fillId="3" borderId="1" xfId="0" applyFont="1" applyFill="1" applyBorder="1"/>
    <xf numFmtId="0" fontId="10" fillId="3" borderId="1" xfId="0" applyFont="1" applyFill="1" applyBorder="1"/>
    <xf numFmtId="0" fontId="10" fillId="3" borderId="1" xfId="0" applyFont="1" applyFill="1" applyBorder="1" applyAlignment="1">
      <alignment wrapText="1"/>
    </xf>
    <xf numFmtId="0" fontId="10" fillId="8" borderId="1" xfId="0" applyFont="1" applyFill="1" applyBorder="1"/>
    <xf numFmtId="0" fontId="10" fillId="8" borderId="1" xfId="0" applyFont="1" applyFill="1" applyBorder="1" applyAlignment="1">
      <alignment wrapText="1"/>
    </xf>
    <xf numFmtId="2" fontId="0" fillId="0" borderId="0" xfId="0" applyNumberFormat="1"/>
    <xf numFmtId="0" fontId="0" fillId="0" borderId="0" xfId="0" applyFill="1" applyBorder="1" applyAlignment="1"/>
    <xf numFmtId="0" fontId="0" fillId="0" borderId="2" xfId="0" applyFill="1" applyBorder="1" applyAlignment="1"/>
    <xf numFmtId="0" fontId="6" fillId="0" borderId="3" xfId="0" applyFont="1" applyFill="1" applyBorder="1" applyAlignment="1">
      <alignment horizontal="center"/>
    </xf>
    <xf numFmtId="0" fontId="20" fillId="0" borderId="1" xfId="0" applyFont="1" applyBorder="1" applyAlignment="1">
      <alignment horizontal="center" vertical="center" wrapText="1"/>
    </xf>
    <xf numFmtId="1" fontId="0" fillId="0" borderId="1" xfId="0" applyNumberFormat="1" applyBorder="1"/>
    <xf numFmtId="0" fontId="0" fillId="0" borderId="0" xfId="0"/>
    <xf numFmtId="0" fontId="0" fillId="9" borderId="0" xfId="0" applyFill="1"/>
    <xf numFmtId="0" fontId="0" fillId="0" borderId="0" xfId="0" applyBorder="1" applyAlignment="1">
      <alignment horizontal="center" vertical="center"/>
    </xf>
    <xf numFmtId="0" fontId="0" fillId="8" borderId="4" xfId="0" applyFill="1" applyBorder="1"/>
    <xf numFmtId="0" fontId="1" fillId="8" borderId="4" xfId="0" applyFont="1" applyFill="1" applyBorder="1"/>
    <xf numFmtId="2" fontId="19" fillId="0" borderId="0" xfId="0" applyNumberFormat="1" applyFont="1" applyAlignment="1">
      <alignment horizontal="right"/>
    </xf>
    <xf numFmtId="2" fontId="19" fillId="0" borderId="0" xfId="0" applyNumberFormat="1" applyFont="1" applyBorder="1" applyAlignment="1">
      <alignment horizontal="right" vertical="center"/>
    </xf>
    <xf numFmtId="2" fontId="19" fillId="0" borderId="1" xfId="0" applyNumberFormat="1" applyFont="1" applyBorder="1" applyAlignment="1">
      <alignment horizontal="right"/>
    </xf>
    <xf numFmtId="2" fontId="19" fillId="0" borderId="1" xfId="3" applyNumberFormat="1" applyFont="1" applyBorder="1" applyAlignment="1">
      <alignment horizontal="right" vertical="center"/>
    </xf>
    <xf numFmtId="2" fontId="19" fillId="0" borderId="1" xfId="0" applyNumberFormat="1" applyFont="1" applyBorder="1" applyAlignment="1">
      <alignment horizontal="right" vertical="center"/>
    </xf>
    <xf numFmtId="0" fontId="11" fillId="0" borderId="0" xfId="0" applyFont="1" applyBorder="1" applyAlignment="1">
      <alignment horizontal="center"/>
    </xf>
    <xf numFmtId="0" fontId="13" fillId="0" borderId="0" xfId="0" applyFont="1" applyBorder="1"/>
    <xf numFmtId="0" fontId="0" fillId="0" borderId="0" xfId="0" applyBorder="1"/>
    <xf numFmtId="166" fontId="13" fillId="0" borderId="0" xfId="0" applyNumberFormat="1" applyFont="1" applyBorder="1"/>
    <xf numFmtId="166" fontId="15" fillId="0" borderId="0" xfId="0" applyNumberFormat="1" applyFont="1" applyBorder="1"/>
    <xf numFmtId="166" fontId="14" fillId="0" borderId="0" xfId="0" applyNumberFormat="1" applyFont="1" applyBorder="1"/>
    <xf numFmtId="166" fontId="0" fillId="0" borderId="0" xfId="0" applyNumberFormat="1" applyBorder="1"/>
    <xf numFmtId="3" fontId="13" fillId="0" borderId="0" xfId="0" applyNumberFormat="1" applyFont="1" applyBorder="1"/>
    <xf numFmtId="3" fontId="17" fillId="0" borderId="0" xfId="0" applyNumberFormat="1" applyFont="1" applyBorder="1"/>
    <xf numFmtId="0" fontId="18" fillId="0" borderId="0" xfId="0" applyFont="1" applyBorder="1"/>
    <xf numFmtId="4" fontId="15" fillId="0" borderId="0" xfId="0" applyNumberFormat="1" applyFont="1" applyBorder="1"/>
    <xf numFmtId="0" fontId="0" fillId="0" borderId="0" xfId="0" applyFill="1" applyBorder="1"/>
    <xf numFmtId="0" fontId="10" fillId="0" borderId="0" xfId="0" applyFont="1" applyFill="1" applyBorder="1"/>
    <xf numFmtId="0" fontId="10" fillId="0" borderId="0" xfId="0" applyFont="1" applyFill="1" applyBorder="1" applyAlignment="1">
      <alignment wrapText="1"/>
    </xf>
    <xf numFmtId="0" fontId="1" fillId="0" borderId="0" xfId="0" applyFont="1" applyFill="1" applyBorder="1"/>
    <xf numFmtId="0" fontId="21" fillId="0" borderId="0" xfId="0" applyFont="1" applyAlignment="1">
      <alignment horizontal="left" vertical="center"/>
    </xf>
    <xf numFmtId="4" fontId="19" fillId="0" borderId="0" xfId="0" applyNumberFormat="1" applyFont="1"/>
    <xf numFmtId="0" fontId="0" fillId="0" borderId="0" xfId="0" applyFill="1"/>
    <xf numFmtId="0" fontId="6" fillId="0" borderId="3" xfId="0" applyFont="1" applyFill="1" applyBorder="1" applyAlignment="1">
      <alignment horizontal="centerContinuous"/>
    </xf>
    <xf numFmtId="0" fontId="16" fillId="0" borderId="2" xfId="0" applyFont="1" applyFill="1" applyBorder="1" applyAlignment="1"/>
    <xf numFmtId="0" fontId="10" fillId="0" borderId="14" xfId="0" applyFont="1" applyBorder="1" applyAlignment="1">
      <alignment horizontal="center" vertical="center" wrapText="1"/>
    </xf>
    <xf numFmtId="0" fontId="1" fillId="0" borderId="1" xfId="0" applyFont="1" applyFill="1" applyBorder="1"/>
    <xf numFmtId="0" fontId="0" fillId="0" borderId="1" xfId="0" applyFill="1" applyBorder="1"/>
    <xf numFmtId="10" fontId="20" fillId="0" borderId="0" xfId="0" applyNumberFormat="1" applyFont="1" applyBorder="1" applyAlignment="1">
      <alignment horizontal="center" vertical="center" wrapText="1"/>
    </xf>
    <xf numFmtId="0" fontId="0" fillId="0" borderId="0" xfId="0"/>
    <xf numFmtId="0" fontId="0" fillId="0" borderId="1" xfId="0" applyBorder="1"/>
    <xf numFmtId="10" fontId="0" fillId="0" borderId="1" xfId="0" applyNumberFormat="1" applyBorder="1" applyAlignment="1">
      <alignment horizontal="center" vertical="center" wrapText="1"/>
    </xf>
    <xf numFmtId="2" fontId="0" fillId="0" borderId="1" xfId="0" applyNumberFormat="1" applyFill="1" applyBorder="1" applyAlignment="1">
      <alignment wrapText="1"/>
    </xf>
    <xf numFmtId="0" fontId="10" fillId="0" borderId="1" xfId="0" applyFont="1" applyBorder="1" applyAlignment="1">
      <alignment horizontal="center" vertical="center" wrapText="1"/>
    </xf>
    <xf numFmtId="0" fontId="20" fillId="0" borderId="1" xfId="0" applyFont="1" applyBorder="1" applyAlignment="1">
      <alignment horizontal="center" vertical="center" wrapText="1"/>
    </xf>
    <xf numFmtId="10" fontId="0" fillId="0" borderId="15" xfId="0" applyNumberFormat="1" applyBorder="1"/>
    <xf numFmtId="0" fontId="0" fillId="0" borderId="4" xfId="0" applyFill="1" applyBorder="1"/>
    <xf numFmtId="0" fontId="1" fillId="0" borderId="4" xfId="0" applyFont="1" applyFill="1" applyBorder="1"/>
    <xf numFmtId="0" fontId="0" fillId="8" borderId="0" xfId="0" applyFill="1"/>
    <xf numFmtId="2" fontId="0" fillId="8" borderId="1" xfId="0" applyNumberFormat="1" applyFill="1" applyBorder="1" applyAlignment="1">
      <alignment wrapText="1"/>
    </xf>
    <xf numFmtId="0" fontId="2" fillId="0" borderId="1" xfId="0" applyFont="1" applyBorder="1"/>
    <xf numFmtId="14" fontId="2" fillId="0" borderId="1" xfId="0" applyNumberFormat="1" applyFont="1" applyFill="1" applyBorder="1"/>
    <xf numFmtId="0" fontId="25" fillId="0" borderId="0" xfId="0" applyFont="1" applyAlignment="1">
      <alignment vertical="center"/>
    </xf>
    <xf numFmtId="10" fontId="25" fillId="0" borderId="0" xfId="0" applyNumberFormat="1" applyFont="1"/>
    <xf numFmtId="0" fontId="25" fillId="0" borderId="0" xfId="0" applyFont="1" applyAlignment="1">
      <alignment horizontal="center" vertical="center"/>
    </xf>
    <xf numFmtId="0" fontId="0" fillId="0" borderId="0" xfId="0" applyAlignment="1"/>
    <xf numFmtId="14" fontId="25" fillId="0" borderId="0" xfId="0" applyNumberFormat="1" applyFont="1"/>
    <xf numFmtId="14" fontId="0" fillId="0" borderId="1" xfId="0" applyNumberFormat="1" applyBorder="1"/>
    <xf numFmtId="14" fontId="2" fillId="0" borderId="1" xfId="0" applyNumberFormat="1" applyFont="1" applyBorder="1"/>
    <xf numFmtId="0" fontId="27" fillId="0" borderId="1" xfId="0" applyFont="1" applyBorder="1"/>
    <xf numFmtId="0" fontId="0" fillId="0" borderId="9" xfId="0" applyBorder="1"/>
    <xf numFmtId="0" fontId="0" fillId="0" borderId="10" xfId="0" applyBorder="1"/>
    <xf numFmtId="0" fontId="0" fillId="0" borderId="11" xfId="0" applyBorder="1"/>
    <xf numFmtId="10" fontId="0" fillId="9" borderId="1" xfId="2" applyNumberFormat="1" applyFont="1" applyFill="1" applyBorder="1"/>
    <xf numFmtId="168" fontId="0" fillId="0" borderId="1" xfId="0" applyNumberFormat="1" applyBorder="1"/>
    <xf numFmtId="168" fontId="0" fillId="7" borderId="1" xfId="0" applyNumberFormat="1" applyFill="1" applyBorder="1"/>
    <xf numFmtId="0" fontId="0" fillId="0" borderId="0" xfId="0" applyBorder="1" applyAlignment="1"/>
    <xf numFmtId="0" fontId="25" fillId="0" borderId="1" xfId="0" applyFont="1" applyBorder="1"/>
    <xf numFmtId="0" fontId="2" fillId="0" borderId="19" xfId="0" applyFont="1" applyBorder="1"/>
    <xf numFmtId="0" fontId="2" fillId="0" borderId="20" xfId="0" applyFont="1" applyBorder="1"/>
    <xf numFmtId="0" fontId="0" fillId="0" borderId="20" xfId="0" applyBorder="1"/>
    <xf numFmtId="0" fontId="2" fillId="0" borderId="21" xfId="0" applyFont="1" applyBorder="1"/>
    <xf numFmtId="0" fontId="0" fillId="0" borderId="22" xfId="0" applyBorder="1"/>
    <xf numFmtId="0" fontId="0" fillId="0" borderId="23" xfId="0" applyBorder="1"/>
    <xf numFmtId="0" fontId="10" fillId="0" borderId="1" xfId="0" applyFont="1" applyBorder="1"/>
    <xf numFmtId="10" fontId="0" fillId="0" borderId="0" xfId="0" applyNumberFormat="1" applyFill="1" applyBorder="1"/>
    <xf numFmtId="1" fontId="0" fillId="0" borderId="0" xfId="0" applyNumberFormat="1" applyBorder="1" applyAlignment="1"/>
    <xf numFmtId="10" fontId="0" fillId="0" borderId="1" xfId="0" applyNumberFormat="1" applyBorder="1" applyAlignment="1"/>
    <xf numFmtId="0" fontId="0" fillId="0" borderId="1" xfId="0" applyBorder="1" applyAlignment="1"/>
    <xf numFmtId="169" fontId="0" fillId="0" borderId="1" xfId="2" applyNumberFormat="1" applyFont="1" applyBorder="1"/>
    <xf numFmtId="167" fontId="5" fillId="0" borderId="1" xfId="3" applyFont="1" applyBorder="1" applyAlignment="1">
      <alignment vertical="center"/>
    </xf>
    <xf numFmtId="0" fontId="2" fillId="0" borderId="8" xfId="0" applyFont="1" applyFill="1" applyBorder="1" applyAlignment="1"/>
    <xf numFmtId="0" fontId="10" fillId="0" borderId="19" xfId="0" applyFont="1" applyBorder="1"/>
    <xf numFmtId="1" fontId="0" fillId="0" borderId="24" xfId="0" applyNumberFormat="1" applyBorder="1"/>
    <xf numFmtId="1" fontId="0" fillId="0" borderId="25" xfId="0" applyNumberFormat="1" applyBorder="1"/>
    <xf numFmtId="1" fontId="0" fillId="0" borderId="26" xfId="0" applyNumberFormat="1" applyBorder="1" applyAlignment="1"/>
    <xf numFmtId="9" fontId="0" fillId="0" borderId="10" xfId="0" applyNumberFormat="1" applyBorder="1"/>
    <xf numFmtId="10" fontId="0" fillId="0" borderId="2" xfId="0" applyNumberFormat="1" applyBorder="1"/>
    <xf numFmtId="9" fontId="0" fillId="0" borderId="0" xfId="0" applyNumberFormat="1" applyBorder="1"/>
    <xf numFmtId="9" fontId="0" fillId="0" borderId="15" xfId="0" applyNumberFormat="1" applyBorder="1"/>
    <xf numFmtId="9" fontId="0" fillId="0" borderId="1" xfId="0" applyNumberFormat="1" applyBorder="1"/>
    <xf numFmtId="0" fontId="0" fillId="0" borderId="0" xfId="0" applyAlignment="1">
      <alignment vertical="center" wrapText="1"/>
    </xf>
    <xf numFmtId="1" fontId="0" fillId="0" borderId="0" xfId="0" applyNumberFormat="1"/>
    <xf numFmtId="0" fontId="2" fillId="0" borderId="0" xfId="0" applyFont="1"/>
    <xf numFmtId="0" fontId="2" fillId="0" borderId="1" xfId="0" applyFont="1" applyFill="1" applyBorder="1"/>
    <xf numFmtId="0" fontId="4" fillId="0" borderId="1" xfId="0" applyFont="1" applyFill="1" applyBorder="1"/>
    <xf numFmtId="0" fontId="2" fillId="0" borderId="4" xfId="0" applyFont="1" applyFill="1" applyBorder="1"/>
    <xf numFmtId="0" fontId="4" fillId="0" borderId="4" xfId="0" applyFont="1" applyFill="1" applyBorder="1"/>
    <xf numFmtId="14" fontId="2" fillId="0" borderId="0" xfId="0" applyNumberFormat="1" applyFont="1"/>
    <xf numFmtId="0" fontId="2" fillId="21" borderId="0" xfId="0" applyFont="1" applyFill="1" applyAlignment="1">
      <alignment horizontal="center" vertical="center"/>
    </xf>
    <xf numFmtId="0" fontId="10" fillId="0" borderId="1" xfId="0" applyFont="1" applyBorder="1" applyAlignment="1">
      <alignment vertical="center"/>
    </xf>
    <xf numFmtId="0" fontId="10" fillId="0" borderId="1" xfId="0" applyFont="1" applyBorder="1" applyAlignment="1">
      <alignment vertical="center" wrapText="1"/>
    </xf>
    <xf numFmtId="14" fontId="0" fillId="0" borderId="0" xfId="0" applyNumberFormat="1" applyBorder="1"/>
    <xf numFmtId="14" fontId="0" fillId="0" borderId="10" xfId="0" applyNumberFormat="1" applyBorder="1"/>
    <xf numFmtId="0" fontId="7" fillId="0" borderId="0" xfId="0" applyFont="1"/>
    <xf numFmtId="0" fontId="0" fillId="0" borderId="29" xfId="0" applyBorder="1"/>
    <xf numFmtId="14" fontId="0" fillId="0" borderId="30" xfId="0" applyNumberFormat="1" applyBorder="1"/>
    <xf numFmtId="0" fontId="7" fillId="6" borderId="0" xfId="0" applyFont="1" applyFill="1"/>
    <xf numFmtId="0" fontId="7" fillId="0" borderId="12" xfId="0" applyFont="1" applyBorder="1"/>
    <xf numFmtId="0" fontId="32" fillId="0" borderId="13" xfId="0" applyFont="1" applyBorder="1"/>
    <xf numFmtId="0" fontId="0" fillId="0" borderId="6" xfId="0" applyBorder="1"/>
    <xf numFmtId="0" fontId="2" fillId="0" borderId="4" xfId="0" applyFont="1" applyBorder="1"/>
    <xf numFmtId="0" fontId="2" fillId="0" borderId="13" xfId="0" applyFont="1" applyFill="1" applyBorder="1" applyAlignment="1"/>
    <xf numFmtId="0" fontId="0" fillId="0" borderId="13" xfId="0" applyBorder="1"/>
    <xf numFmtId="0" fontId="7" fillId="0" borderId="7" xfId="0" applyFont="1" applyBorder="1"/>
    <xf numFmtId="0" fontId="0" fillId="0" borderId="14" xfId="0" applyBorder="1"/>
    <xf numFmtId="0" fontId="0" fillId="0" borderId="8" xfId="0" applyBorder="1"/>
    <xf numFmtId="9" fontId="0" fillId="0" borderId="7" xfId="0" applyNumberFormat="1" applyBorder="1"/>
    <xf numFmtId="170" fontId="0" fillId="0" borderId="7" xfId="0" applyNumberFormat="1" applyBorder="1"/>
    <xf numFmtId="170" fontId="0" fillId="0" borderId="14" xfId="0" applyNumberFormat="1" applyBorder="1"/>
    <xf numFmtId="170" fontId="0" fillId="0" borderId="8" xfId="0" applyNumberFormat="1" applyBorder="1"/>
    <xf numFmtId="0" fontId="10" fillId="0" borderId="4" xfId="0" applyFont="1" applyBorder="1"/>
    <xf numFmtId="0" fontId="10" fillId="0" borderId="4" xfId="0" applyFont="1" applyFill="1" applyBorder="1"/>
    <xf numFmtId="0" fontId="10" fillId="0" borderId="33" xfId="0" applyFont="1" applyFill="1" applyBorder="1"/>
    <xf numFmtId="0" fontId="0" fillId="0" borderId="34" xfId="0" applyBorder="1"/>
    <xf numFmtId="0" fontId="0" fillId="0" borderId="35" xfId="0" applyBorder="1"/>
    <xf numFmtId="0" fontId="0" fillId="0" borderId="28" xfId="0" applyBorder="1"/>
    <xf numFmtId="1" fontId="0" fillId="0" borderId="7" xfId="0" applyNumberFormat="1" applyBorder="1"/>
    <xf numFmtId="1" fontId="0" fillId="0" borderId="14" xfId="0" applyNumberFormat="1" applyBorder="1"/>
    <xf numFmtId="171" fontId="0" fillId="0" borderId="7" xfId="0" applyNumberFormat="1" applyBorder="1"/>
    <xf numFmtId="171" fontId="0" fillId="0" borderId="8" xfId="0" applyNumberFormat="1" applyBorder="1"/>
    <xf numFmtId="171" fontId="0" fillId="0" borderId="14" xfId="0" applyNumberFormat="1" applyBorder="1"/>
    <xf numFmtId="9" fontId="0" fillId="0" borderId="8" xfId="0" applyNumberFormat="1" applyBorder="1"/>
    <xf numFmtId="5" fontId="0" fillId="0" borderId="0" xfId="0" applyNumberFormat="1"/>
    <xf numFmtId="168" fontId="0" fillId="0" borderId="0" xfId="0" applyNumberFormat="1"/>
    <xf numFmtId="0" fontId="7" fillId="0" borderId="0" xfId="7" applyFont="1"/>
    <xf numFmtId="0" fontId="5" fillId="0" borderId="29" xfId="7" applyBorder="1"/>
    <xf numFmtId="14" fontId="5" fillId="0" borderId="30" xfId="7" applyNumberFormat="1" applyBorder="1"/>
    <xf numFmtId="0" fontId="5" fillId="0" borderId="0" xfId="7" applyAlignment="1">
      <alignment horizontal="right"/>
    </xf>
    <xf numFmtId="42" fontId="0" fillId="0" borderId="0" xfId="0" applyNumberFormat="1"/>
    <xf numFmtId="168" fontId="0" fillId="0" borderId="0" xfId="2" applyNumberFormat="1" applyFont="1"/>
    <xf numFmtId="42" fontId="0" fillId="0" borderId="0" xfId="0" applyNumberFormat="1" applyBorder="1"/>
    <xf numFmtId="42" fontId="0" fillId="0" borderId="10" xfId="0" applyNumberFormat="1" applyBorder="1"/>
    <xf numFmtId="170" fontId="0" fillId="0" borderId="12" xfId="0" applyNumberFormat="1" applyBorder="1"/>
    <xf numFmtId="42" fontId="0" fillId="0" borderId="15" xfId="0" applyNumberFormat="1" applyBorder="1"/>
    <xf numFmtId="170" fontId="0" fillId="0" borderId="6" xfId="0" applyNumberFormat="1" applyBorder="1"/>
    <xf numFmtId="9" fontId="0" fillId="0" borderId="7" xfId="2" applyFont="1" applyBorder="1"/>
    <xf numFmtId="9" fontId="0" fillId="0" borderId="8" xfId="2" applyFont="1" applyBorder="1"/>
    <xf numFmtId="14" fontId="2" fillId="0" borderId="0" xfId="0" applyNumberFormat="1" applyFont="1" applyBorder="1"/>
    <xf numFmtId="14" fontId="2" fillId="0" borderId="10" xfId="0" applyNumberFormat="1" applyFont="1" applyBorder="1"/>
    <xf numFmtId="43" fontId="0" fillId="0" borderId="0" xfId="6" applyFont="1"/>
    <xf numFmtId="0" fontId="2" fillId="0" borderId="36" xfId="7" applyFont="1" applyBorder="1"/>
    <xf numFmtId="0" fontId="5" fillId="0" borderId="37" xfId="7" applyBorder="1"/>
    <xf numFmtId="0" fontId="5" fillId="0" borderId="38" xfId="7" applyBorder="1"/>
    <xf numFmtId="0" fontId="7" fillId="0" borderId="40" xfId="7" applyFont="1" applyBorder="1"/>
    <xf numFmtId="0" fontId="5" fillId="0" borderId="39" xfId="7" applyBorder="1"/>
    <xf numFmtId="0" fontId="5" fillId="0" borderId="0" xfId="7"/>
    <xf numFmtId="3" fontId="5" fillId="0" borderId="0" xfId="7" applyNumberFormat="1"/>
    <xf numFmtId="165" fontId="5" fillId="0" borderId="40" xfId="7" applyNumberFormat="1" applyBorder="1"/>
    <xf numFmtId="0" fontId="34" fillId="0" borderId="39" xfId="7" applyFont="1" applyBorder="1"/>
    <xf numFmtId="0" fontId="34" fillId="0" borderId="0" xfId="7" applyFont="1"/>
    <xf numFmtId="164" fontId="5" fillId="0" borderId="40" xfId="7" applyNumberFormat="1" applyBorder="1"/>
    <xf numFmtId="0" fontId="2" fillId="0" borderId="41" xfId="7" applyFont="1" applyBorder="1"/>
    <xf numFmtId="0" fontId="2" fillId="0" borderId="10" xfId="7" applyFont="1" applyBorder="1"/>
    <xf numFmtId="165" fontId="2" fillId="0" borderId="42" xfId="7" applyNumberFormat="1" applyFont="1" applyBorder="1"/>
    <xf numFmtId="0" fontId="7" fillId="0" borderId="15" xfId="7" applyFont="1" applyBorder="1"/>
    <xf numFmtId="0" fontId="7" fillId="0" borderId="44" xfId="7" applyFont="1" applyBorder="1"/>
    <xf numFmtId="0" fontId="7" fillId="0" borderId="45" xfId="7" applyFont="1" applyBorder="1"/>
    <xf numFmtId="0" fontId="7" fillId="0" borderId="46" xfId="7" applyFont="1" applyBorder="1"/>
    <xf numFmtId="165" fontId="2" fillId="0" borderId="47" xfId="7" applyNumberFormat="1" applyFont="1" applyBorder="1"/>
    <xf numFmtId="6" fontId="0" fillId="0" borderId="0" xfId="0" applyNumberFormat="1"/>
    <xf numFmtId="0" fontId="33" fillId="0" borderId="0" xfId="7" applyFont="1" applyFill="1" applyBorder="1"/>
    <xf numFmtId="0" fontId="7" fillId="0" borderId="0" xfId="7" applyFont="1" applyBorder="1"/>
    <xf numFmtId="0" fontId="5" fillId="0" borderId="0" xfId="7" applyBorder="1"/>
    <xf numFmtId="3" fontId="5" fillId="0" borderId="0" xfId="7" applyNumberFormat="1" applyBorder="1"/>
    <xf numFmtId="0" fontId="34" fillId="0" borderId="0" xfId="7" applyFont="1" applyBorder="1"/>
    <xf numFmtId="0" fontId="2" fillId="0" borderId="0" xfId="7" applyFont="1" applyBorder="1"/>
    <xf numFmtId="165" fontId="5" fillId="0" borderId="0" xfId="7" applyNumberFormat="1" applyBorder="1"/>
    <xf numFmtId="164" fontId="5" fillId="0" borderId="0" xfId="7" applyNumberFormat="1" applyBorder="1"/>
    <xf numFmtId="165" fontId="2" fillId="0" borderId="0" xfId="7" applyNumberFormat="1" applyFont="1" applyBorder="1"/>
    <xf numFmtId="0" fontId="0" fillId="17" borderId="0" xfId="0" applyFill="1"/>
    <xf numFmtId="0" fontId="0" fillId="17" borderId="0" xfId="0" applyFill="1" applyBorder="1"/>
    <xf numFmtId="170" fontId="0" fillId="0" borderId="0" xfId="0" applyNumberFormat="1" applyBorder="1"/>
    <xf numFmtId="1" fontId="0" fillId="0" borderId="0" xfId="0" applyNumberFormat="1" applyBorder="1"/>
    <xf numFmtId="165" fontId="0" fillId="0" borderId="0" xfId="0" applyNumberFormat="1" applyFill="1"/>
    <xf numFmtId="0" fontId="5" fillId="0" borderId="0" xfId="7" applyFill="1" applyBorder="1"/>
    <xf numFmtId="0" fontId="34" fillId="0" borderId="0" xfId="7" applyFont="1" applyFill="1" applyBorder="1"/>
    <xf numFmtId="165" fontId="5" fillId="0" borderId="0" xfId="7" applyNumberFormat="1" applyFill="1" applyBorder="1"/>
    <xf numFmtId="164" fontId="5" fillId="0" borderId="0" xfId="7" applyNumberFormat="1" applyFill="1" applyBorder="1"/>
    <xf numFmtId="0" fontId="2" fillId="0" borderId="0" xfId="7" applyFont="1" applyFill="1" applyBorder="1"/>
    <xf numFmtId="165" fontId="2" fillId="0" borderId="0" xfId="7" applyNumberFormat="1" applyFont="1" applyFill="1" applyBorder="1"/>
    <xf numFmtId="0" fontId="7" fillId="0" borderId="0" xfId="7" applyFont="1" applyFill="1" applyBorder="1"/>
    <xf numFmtId="3" fontId="5" fillId="0" borderId="0" xfId="7" applyNumberFormat="1" applyFill="1" applyBorder="1"/>
    <xf numFmtId="170" fontId="0" fillId="0" borderId="0" xfId="0" applyNumberFormat="1" applyFill="1" applyBorder="1"/>
    <xf numFmtId="1" fontId="0" fillId="0" borderId="0" xfId="0" applyNumberFormat="1" applyFill="1" applyBorder="1"/>
    <xf numFmtId="1" fontId="0" fillId="0" borderId="0" xfId="0" applyNumberFormat="1" applyFill="1" applyBorder="1" applyAlignment="1"/>
    <xf numFmtId="10" fontId="0" fillId="0" borderId="0" xfId="2" applyNumberFormat="1" applyFont="1" applyFill="1"/>
    <xf numFmtId="10" fontId="16" fillId="0" borderId="0" xfId="2" applyNumberFormat="1" applyFont="1" applyFill="1"/>
    <xf numFmtId="10" fontId="28" fillId="0" borderId="0" xfId="2" applyNumberFormat="1" applyFont="1" applyFill="1"/>
    <xf numFmtId="10" fontId="0" fillId="0" borderId="0" xfId="2" applyNumberFormat="1" applyFont="1" applyFill="1" applyBorder="1"/>
    <xf numFmtId="0" fontId="25" fillId="0" borderId="0" xfId="0" applyFont="1" applyFill="1" applyBorder="1"/>
    <xf numFmtId="9" fontId="0" fillId="0" borderId="0" xfId="0" applyNumberFormat="1" applyFill="1" applyBorder="1"/>
    <xf numFmtId="10" fontId="0" fillId="0" borderId="0" xfId="0" applyNumberFormat="1" applyFill="1" applyBorder="1" applyAlignment="1"/>
    <xf numFmtId="169" fontId="0" fillId="0" borderId="0" xfId="2" applyNumberFormat="1" applyFont="1" applyFill="1" applyBorder="1"/>
    <xf numFmtId="167" fontId="5" fillId="0" borderId="0" xfId="3" applyFont="1" applyFill="1" applyBorder="1" applyAlignment="1">
      <alignment vertical="center"/>
    </xf>
    <xf numFmtId="0" fontId="0" fillId="0" borderId="0" xfId="0" applyFill="1" applyBorder="1" applyAlignment="1">
      <alignment horizontal="right"/>
    </xf>
    <xf numFmtId="2" fontId="0" fillId="0" borderId="0" xfId="0" applyNumberFormat="1" applyFill="1" applyBorder="1"/>
    <xf numFmtId="172" fontId="0" fillId="0" borderId="0" xfId="0" applyNumberFormat="1" applyFill="1" applyBorder="1"/>
    <xf numFmtId="0" fontId="2" fillId="0" borderId="0" xfId="0" applyFont="1" applyFill="1" applyBorder="1" applyAlignment="1"/>
    <xf numFmtId="168" fontId="0" fillId="0" borderId="0" xfId="2" applyNumberFormat="1" applyFont="1" applyBorder="1"/>
    <xf numFmtId="173" fontId="0" fillId="0" borderId="0" xfId="2" applyNumberFormat="1" applyFont="1" applyBorder="1"/>
    <xf numFmtId="1" fontId="0" fillId="0" borderId="9" xfId="0" applyNumberFormat="1" applyBorder="1"/>
    <xf numFmtId="165" fontId="2" fillId="0" borderId="46" xfId="7" applyNumberFormat="1" applyFont="1" applyBorder="1"/>
    <xf numFmtId="9" fontId="0" fillId="0" borderId="7" xfId="2" applyNumberFormat="1" applyFont="1" applyBorder="1"/>
    <xf numFmtId="42" fontId="0" fillId="0" borderId="0" xfId="0" applyNumberFormat="1" applyFill="1" applyBorder="1"/>
    <xf numFmtId="168" fontId="0" fillId="0" borderId="0" xfId="2" applyNumberFormat="1" applyFont="1" applyFill="1"/>
    <xf numFmtId="0" fontId="2" fillId="0" borderId="0" xfId="0" applyFont="1" applyFill="1" applyBorder="1"/>
    <xf numFmtId="9" fontId="0" fillId="0" borderId="0" xfId="2" applyFont="1" applyFill="1" applyBorder="1"/>
    <xf numFmtId="6" fontId="0" fillId="0" borderId="0" xfId="0" applyNumberFormat="1" applyFill="1" applyBorder="1"/>
    <xf numFmtId="168" fontId="0" fillId="0" borderId="0" xfId="2" applyNumberFormat="1" applyFont="1" applyFill="1" applyBorder="1"/>
    <xf numFmtId="0" fontId="33" fillId="8" borderId="43" xfId="7" applyFont="1" applyFill="1" applyBorder="1"/>
    <xf numFmtId="0" fontId="2" fillId="0" borderId="1" xfId="0" applyFont="1" applyBorder="1" applyAlignment="1">
      <alignment vertical="center"/>
    </xf>
    <xf numFmtId="168" fontId="0" fillId="0" borderId="10" xfId="2" applyNumberFormat="1" applyFont="1" applyBorder="1"/>
    <xf numFmtId="173" fontId="0" fillId="0" borderId="10" xfId="2" applyNumberFormat="1" applyFont="1" applyBorder="1"/>
    <xf numFmtId="0" fontId="2" fillId="0" borderId="0" xfId="0" applyFont="1" applyBorder="1"/>
    <xf numFmtId="165" fontId="0" fillId="0" borderId="0" xfId="0" applyNumberFormat="1" applyBorder="1"/>
    <xf numFmtId="1" fontId="0" fillId="0" borderId="0" xfId="0" applyNumberFormat="1" applyAlignment="1">
      <alignment horizontal="center"/>
    </xf>
    <xf numFmtId="1" fontId="0" fillId="0" borderId="11" xfId="0" applyNumberFormat="1" applyBorder="1"/>
    <xf numFmtId="0" fontId="0" fillId="0" borderId="10" xfId="0" applyNumberFormat="1" applyBorder="1"/>
    <xf numFmtId="0" fontId="0" fillId="0" borderId="48" xfId="0" applyBorder="1"/>
    <xf numFmtId="1" fontId="0" fillId="0" borderId="48" xfId="0" applyNumberFormat="1" applyBorder="1"/>
    <xf numFmtId="168" fontId="0" fillId="0" borderId="0" xfId="0" applyNumberFormat="1" applyBorder="1"/>
    <xf numFmtId="0" fontId="0" fillId="0" borderId="25" xfId="0" applyBorder="1"/>
    <xf numFmtId="168" fontId="0" fillId="0" borderId="34" xfId="0" applyNumberFormat="1" applyBorder="1"/>
    <xf numFmtId="0" fontId="0" fillId="0" borderId="27" xfId="0" applyBorder="1"/>
    <xf numFmtId="14" fontId="2" fillId="0" borderId="2" xfId="0" applyNumberFormat="1" applyFont="1" applyBorder="1"/>
    <xf numFmtId="168" fontId="0" fillId="0" borderId="2" xfId="2" applyNumberFormat="1" applyFont="1" applyBorder="1"/>
    <xf numFmtId="168" fontId="0" fillId="0" borderId="2" xfId="0" applyNumberFormat="1" applyBorder="1"/>
    <xf numFmtId="168" fontId="0" fillId="0" borderId="28" xfId="0" applyNumberFormat="1" applyBorder="1"/>
    <xf numFmtId="0" fontId="10" fillId="12" borderId="16" xfId="0" applyFont="1" applyFill="1" applyBorder="1"/>
    <xf numFmtId="0" fontId="10" fillId="12" borderId="17" xfId="0" applyFont="1" applyFill="1" applyBorder="1"/>
    <xf numFmtId="0" fontId="10" fillId="12" borderId="18" xfId="0" applyFont="1" applyFill="1" applyBorder="1"/>
    <xf numFmtId="164" fontId="0" fillId="0" borderId="49" xfId="0" applyNumberFormat="1" applyFill="1" applyBorder="1"/>
    <xf numFmtId="164" fontId="0" fillId="0" borderId="34" xfId="0" applyNumberFormat="1" applyFill="1" applyBorder="1"/>
    <xf numFmtId="0" fontId="0" fillId="0" borderId="34" xfId="0" applyFill="1" applyBorder="1"/>
    <xf numFmtId="168" fontId="0" fillId="0" borderId="34" xfId="2" applyNumberFormat="1" applyFont="1" applyFill="1" applyBorder="1"/>
    <xf numFmtId="168" fontId="0" fillId="0" borderId="34" xfId="0" applyNumberFormat="1" applyFill="1" applyBorder="1"/>
    <xf numFmtId="9" fontId="0" fillId="0" borderId="34" xfId="0" applyNumberFormat="1" applyFill="1" applyBorder="1"/>
    <xf numFmtId="10" fontId="0" fillId="0" borderId="34" xfId="2" applyNumberFormat="1" applyFont="1" applyFill="1" applyBorder="1"/>
    <xf numFmtId="2" fontId="0" fillId="0" borderId="34" xfId="2" applyNumberFormat="1" applyFont="1" applyFill="1" applyBorder="1"/>
    <xf numFmtId="2" fontId="0" fillId="0" borderId="34" xfId="0" applyNumberFormat="1" applyFill="1" applyBorder="1"/>
    <xf numFmtId="0" fontId="0" fillId="13" borderId="0" xfId="0" applyFill="1"/>
    <xf numFmtId="0" fontId="0" fillId="13" borderId="0" xfId="0" applyFill="1" applyBorder="1"/>
    <xf numFmtId="0" fontId="2" fillId="0" borderId="50" xfId="0" applyFont="1" applyFill="1" applyBorder="1"/>
    <xf numFmtId="0" fontId="2" fillId="0" borderId="25" xfId="0" applyFont="1" applyFill="1" applyBorder="1"/>
    <xf numFmtId="0" fontId="2" fillId="0" borderId="27" xfId="0" applyFont="1" applyFill="1" applyBorder="1"/>
    <xf numFmtId="0" fontId="0" fillId="0" borderId="28" xfId="0" applyFill="1" applyBorder="1" applyAlignment="1">
      <alignment horizontal="right"/>
    </xf>
    <xf numFmtId="172" fontId="0" fillId="0" borderId="6" xfId="0" applyNumberFormat="1" applyBorder="1"/>
    <xf numFmtId="164" fontId="0" fillId="0" borderId="34" xfId="0" applyNumberFormat="1" applyBorder="1"/>
    <xf numFmtId="164" fontId="0" fillId="0" borderId="12" xfId="0" applyNumberFormat="1" applyBorder="1"/>
    <xf numFmtId="164" fontId="0" fillId="0" borderId="2" xfId="0" applyNumberFormat="1" applyBorder="1"/>
    <xf numFmtId="0" fontId="33" fillId="22" borderId="39" xfId="7" applyFont="1" applyFill="1" applyBorder="1"/>
    <xf numFmtId="0" fontId="8" fillId="0" borderId="0" xfId="1"/>
    <xf numFmtId="0" fontId="8" fillId="0" borderId="0" xfId="1" applyAlignment="1" applyProtection="1">
      <alignment horizontal="left" vertical="center"/>
    </xf>
    <xf numFmtId="0" fontId="8" fillId="0" borderId="0" xfId="1" applyAlignment="1" applyProtection="1"/>
    <xf numFmtId="0" fontId="0" fillId="18" borderId="1" xfId="0" applyFill="1" applyBorder="1" applyAlignment="1">
      <alignment horizontal="center"/>
    </xf>
    <xf numFmtId="0" fontId="0" fillId="5" borderId="1" xfId="0" applyFill="1" applyBorder="1" applyAlignment="1">
      <alignment horizontal="center"/>
    </xf>
    <xf numFmtId="0" fontId="22" fillId="15" borderId="0" xfId="0" applyFont="1" applyFill="1" applyAlignment="1">
      <alignment horizontal="center"/>
    </xf>
    <xf numFmtId="0" fontId="11" fillId="0" borderId="1" xfId="0" applyFont="1" applyBorder="1" applyAlignment="1">
      <alignment horizontal="center"/>
    </xf>
    <xf numFmtId="0" fontId="12" fillId="0" borderId="0" xfId="0" applyFont="1" applyAlignment="1">
      <alignment horizontal="center"/>
    </xf>
    <xf numFmtId="0" fontId="11" fillId="0" borderId="13" xfId="0" applyFont="1" applyBorder="1" applyAlignment="1">
      <alignment horizontal="center"/>
    </xf>
    <xf numFmtId="0" fontId="11" fillId="0" borderId="10" xfId="0" applyFont="1" applyBorder="1" applyAlignment="1">
      <alignment horizontal="center"/>
    </xf>
    <xf numFmtId="0" fontId="20"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center"/>
    </xf>
    <xf numFmtId="0" fontId="29" fillId="0" borderId="0" xfId="0" applyFont="1" applyFill="1" applyBorder="1" applyAlignment="1">
      <alignment horizontal="center" vertical="center"/>
    </xf>
    <xf numFmtId="1" fontId="0" fillId="0" borderId="0" xfId="0" applyNumberFormat="1" applyFill="1" applyBorder="1" applyAlignment="1">
      <alignment horizontal="center"/>
    </xf>
    <xf numFmtId="1" fontId="0" fillId="0" borderId="27" xfId="0" applyNumberFormat="1" applyBorder="1" applyAlignment="1">
      <alignment horizontal="center"/>
    </xf>
    <xf numFmtId="1" fontId="0" fillId="0" borderId="2" xfId="0" applyNumberFormat="1" applyBorder="1" applyAlignment="1">
      <alignment horizontal="center"/>
    </xf>
    <xf numFmtId="0" fontId="25" fillId="0" borderId="16" xfId="0" applyFont="1" applyBorder="1" applyAlignment="1">
      <alignment horizontal="center"/>
    </xf>
    <xf numFmtId="0" fontId="25" fillId="0" borderId="17" xfId="0" applyFont="1" applyBorder="1" applyAlignment="1">
      <alignment horizontal="center"/>
    </xf>
    <xf numFmtId="0" fontId="25" fillId="0" borderId="18" xfId="0" applyFont="1" applyBorder="1" applyAlignment="1">
      <alignment horizontal="center"/>
    </xf>
    <xf numFmtId="0" fontId="26" fillId="0" borderId="1" xfId="0" applyFont="1" applyBorder="1" applyAlignment="1">
      <alignment horizontal="center" vertical="center"/>
    </xf>
    <xf numFmtId="0" fontId="28" fillId="9" borderId="1" xfId="0" applyFont="1" applyFill="1" applyBorder="1" applyAlignment="1">
      <alignment horizontal="center" vertical="center"/>
    </xf>
    <xf numFmtId="0" fontId="2" fillId="9" borderId="1" xfId="0" applyFont="1" applyFill="1" applyBorder="1" applyAlignment="1">
      <alignment horizontal="center"/>
    </xf>
    <xf numFmtId="0" fontId="29" fillId="0" borderId="31" xfId="0" applyFont="1" applyBorder="1" applyAlignment="1">
      <alignment horizontal="center" vertical="center"/>
    </xf>
    <xf numFmtId="0" fontId="29" fillId="0" borderId="3" xfId="0" applyFont="1" applyBorder="1" applyAlignment="1">
      <alignment horizontal="center" vertical="center"/>
    </xf>
    <xf numFmtId="0" fontId="29" fillId="0" borderId="32" xfId="0" applyFont="1" applyBorder="1" applyAlignment="1">
      <alignment horizontal="center" vertical="center"/>
    </xf>
    <xf numFmtId="0" fontId="28" fillId="0" borderId="0" xfId="0" applyFont="1" applyFill="1" applyBorder="1" applyAlignment="1">
      <alignment horizontal="center" vertical="center"/>
    </xf>
    <xf numFmtId="0" fontId="2" fillId="0" borderId="0" xfId="0" applyFont="1" applyFill="1" applyBorder="1" applyAlignment="1">
      <alignment horizontal="center"/>
    </xf>
    <xf numFmtId="0" fontId="2" fillId="21" borderId="0" xfId="0" applyFont="1" applyFill="1" applyAlignment="1">
      <alignment horizontal="center" vertical="center"/>
    </xf>
    <xf numFmtId="0" fontId="30" fillId="21" borderId="0" xfId="0" applyFont="1" applyFill="1" applyAlignment="1">
      <alignment horizontal="center" vertical="center"/>
    </xf>
    <xf numFmtId="0" fontId="31" fillId="0" borderId="12" xfId="0" applyFont="1" applyBorder="1" applyAlignment="1">
      <alignment horizontal="center" vertical="center" textRotation="90"/>
    </xf>
    <xf numFmtId="0" fontId="31" fillId="0" borderId="6" xfId="0" applyFont="1" applyBorder="1" applyAlignment="1">
      <alignment horizontal="center" vertical="center" textRotation="90"/>
    </xf>
    <xf numFmtId="0" fontId="31" fillId="0" borderId="13" xfId="0" applyFont="1" applyBorder="1" applyAlignment="1">
      <alignment horizontal="center" vertical="center" textRotation="90"/>
    </xf>
  </cellXfs>
  <cellStyles count="8">
    <cellStyle name="Comma" xfId="6" builtinId="3"/>
    <cellStyle name="Hyperlink" xfId="1" builtinId="8"/>
    <cellStyle name="Normal" xfId="0" builtinId="0"/>
    <cellStyle name="Per cent" xfId="2" builtinId="5"/>
    <cellStyle name="Κανονικό 2" xfId="4" xr:uid="{C7FFAC8F-7DE8-4F94-B35A-52A9DD073442}"/>
    <cellStyle name="Κανονικό 3" xfId="7" xr:uid="{E097F413-AE28-441C-99C9-7CA9CEE42B8F}"/>
    <cellStyle name="Κόμμα 2" xfId="3" xr:uid="{F4BEA001-045F-4B2F-A147-33306C0A4103}"/>
    <cellStyle name="Ποσοστό 2" xfId="5" xr:uid="{8438BA8E-FC13-4ADE-A9C1-89AFC5FB28D3}"/>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l-GR" sz="1200" b="1" i="0" baseline="0">
                <a:solidFill>
                  <a:schemeClr val="accent2">
                    <a:lumMod val="60000"/>
                    <a:lumOff val="40000"/>
                  </a:schemeClr>
                </a:solidFill>
                <a:effectLst>
                  <a:outerShdw blurRad="50800" dist="38100" dir="5400000" algn="t" rotWithShape="0">
                    <a:srgbClr val="000000">
                      <a:alpha val="40000"/>
                    </a:srgbClr>
                  </a:outerShdw>
                </a:effectLst>
              </a:rPr>
              <a:t>ΗΜΕΡΗΣΙΕΣ ΔΙΑΚΥΜΑΝΣΕΙΣ ΧΑΡΤΟΦΛΑΚΙΟΥ</a:t>
            </a:r>
            <a:endParaRPr lang="el-GR" sz="1050">
              <a:solidFill>
                <a:schemeClr val="accent2">
                  <a:lumMod val="60000"/>
                  <a:lumOff val="40000"/>
                </a:schemeClr>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l-GR"/>
          </a:p>
        </c:rich>
      </c:tx>
      <c:layout>
        <c:manualLayout>
          <c:xMode val="edge"/>
          <c:yMode val="edge"/>
          <c:x val="0.19872931833223031"/>
          <c:y val="7.407407407407407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GR"/>
        </a:p>
      </c:txPr>
    </c:title>
    <c:autoTitleDeleted val="0"/>
    <c:plotArea>
      <c:layout/>
      <c:lineChart>
        <c:grouping val="standard"/>
        <c:varyColors val="0"/>
        <c:ser>
          <c:idx val="0"/>
          <c:order val="0"/>
          <c:tx>
            <c:strRef>
              <c:f>'6.ΑΠΟΤΕΛΕΣΜΑΤΑ'!$D$2</c:f>
              <c:strCache>
                <c:ptCount val="1"/>
                <c:pt idx="0">
                  <c:v>ΑΠΟΔΟΣΗ ΓΔ</c:v>
                </c:pt>
              </c:strCache>
            </c:strRef>
          </c:tx>
          <c:spPr>
            <a:ln w="28575" cap="rnd">
              <a:solidFill>
                <a:schemeClr val="accent6">
                  <a:lumMod val="50000"/>
                </a:schemeClr>
              </a:solidFill>
              <a:round/>
            </a:ln>
            <a:effectLst/>
          </c:spPr>
          <c:marker>
            <c:symbol val="none"/>
          </c:marker>
          <c:cat>
            <c:numRef>
              <c:f>'6.ΑΠΟΤΕΛΕΣΜΑΤΑ'!$C$3:$C$26</c:f>
              <c:numCache>
                <c:formatCode>m/d/yy</c:formatCode>
                <c:ptCount val="24"/>
                <c:pt idx="0">
                  <c:v>43935</c:v>
                </c:pt>
                <c:pt idx="1">
                  <c:v>43936</c:v>
                </c:pt>
                <c:pt idx="2">
                  <c:v>43937</c:v>
                </c:pt>
                <c:pt idx="3">
                  <c:v>43942</c:v>
                </c:pt>
                <c:pt idx="4">
                  <c:v>43943</c:v>
                </c:pt>
                <c:pt idx="5">
                  <c:v>43944</c:v>
                </c:pt>
                <c:pt idx="6">
                  <c:v>43945</c:v>
                </c:pt>
                <c:pt idx="7">
                  <c:v>43948</c:v>
                </c:pt>
                <c:pt idx="8">
                  <c:v>43949</c:v>
                </c:pt>
                <c:pt idx="9">
                  <c:v>43950</c:v>
                </c:pt>
                <c:pt idx="10">
                  <c:v>43951</c:v>
                </c:pt>
                <c:pt idx="11">
                  <c:v>43955</c:v>
                </c:pt>
                <c:pt idx="12">
                  <c:v>43956</c:v>
                </c:pt>
                <c:pt idx="13">
                  <c:v>43957</c:v>
                </c:pt>
                <c:pt idx="14">
                  <c:v>43958</c:v>
                </c:pt>
                <c:pt idx="15">
                  <c:v>43959</c:v>
                </c:pt>
                <c:pt idx="16">
                  <c:v>43962</c:v>
                </c:pt>
                <c:pt idx="17">
                  <c:v>43963</c:v>
                </c:pt>
                <c:pt idx="18">
                  <c:v>43964</c:v>
                </c:pt>
                <c:pt idx="19">
                  <c:v>43965</c:v>
                </c:pt>
                <c:pt idx="20">
                  <c:v>43966</c:v>
                </c:pt>
                <c:pt idx="21">
                  <c:v>43969</c:v>
                </c:pt>
                <c:pt idx="22">
                  <c:v>43970</c:v>
                </c:pt>
                <c:pt idx="23">
                  <c:v>43971</c:v>
                </c:pt>
              </c:numCache>
            </c:numRef>
          </c:cat>
          <c:val>
            <c:numRef>
              <c:f>'6.ΑΠΟΤΕΛΕΣΜΑΤΑ'!$D$3:$D$26</c:f>
              <c:numCache>
                <c:formatCode>0.000%</c:formatCode>
                <c:ptCount val="24"/>
                <c:pt idx="0">
                  <c:v>3.4415188789540571E-2</c:v>
                </c:pt>
                <c:pt idx="1">
                  <c:v>-3.2824463936070303E-2</c:v>
                </c:pt>
                <c:pt idx="2">
                  <c:v>-1.3496387247560774E-3</c:v>
                </c:pt>
                <c:pt idx="3">
                  <c:v>-2.592501030078289E-2</c:v>
                </c:pt>
                <c:pt idx="4">
                  <c:v>7.4278366214341083E-3</c:v>
                </c:pt>
                <c:pt idx="5">
                  <c:v>2.5310290388135991E-2</c:v>
                </c:pt>
                <c:pt idx="6">
                  <c:v>-6.6668850740401811E-3</c:v>
                </c:pt>
                <c:pt idx="7">
                  <c:v>3.2568724130538747E-2</c:v>
                </c:pt>
                <c:pt idx="8">
                  <c:v>1.4053915932030262E-2</c:v>
                </c:pt>
                <c:pt idx="9">
                  <c:v>1.0992818445256422E-2</c:v>
                </c:pt>
                <c:pt idx="10">
                  <c:v>-2.1325980621241945E-2</c:v>
                </c:pt>
                <c:pt idx="11">
                  <c:v>-4.1209709510545145E-2</c:v>
                </c:pt>
                <c:pt idx="12">
                  <c:v>1.3330898466033556E-2</c:v>
                </c:pt>
                <c:pt idx="13">
                  <c:v>-1.5924245154737181E-2</c:v>
                </c:pt>
                <c:pt idx="14">
                  <c:v>2.9966537366608427E-3</c:v>
                </c:pt>
                <c:pt idx="15">
                  <c:v>2.6225372217702578E-3</c:v>
                </c:pt>
                <c:pt idx="16">
                  <c:v>-1.2763844052644522E-2</c:v>
                </c:pt>
                <c:pt idx="17">
                  <c:v>5.1983767649318416E-4</c:v>
                </c:pt>
                <c:pt idx="18">
                  <c:v>-9.7377021704515981E-3</c:v>
                </c:pt>
                <c:pt idx="19">
                  <c:v>-4.6036151919301794E-3</c:v>
                </c:pt>
                <c:pt idx="20">
                  <c:v>8.7397129837447907E-3</c:v>
                </c:pt>
                <c:pt idx="21">
                  <c:v>2.7407881873040472E-2</c:v>
                </c:pt>
                <c:pt idx="22">
                  <c:v>-1.3715710723192043E-2</c:v>
                </c:pt>
                <c:pt idx="23">
                  <c:v>1.5569898196819506E-2</c:v>
                </c:pt>
              </c:numCache>
            </c:numRef>
          </c:val>
          <c:smooth val="0"/>
          <c:extLst>
            <c:ext xmlns:c16="http://schemas.microsoft.com/office/drawing/2014/chart" uri="{C3380CC4-5D6E-409C-BE32-E72D297353CC}">
              <c16:uniqueId val="{00000000-86BB-4590-A3E7-5310BA5985B4}"/>
            </c:ext>
          </c:extLst>
        </c:ser>
        <c:ser>
          <c:idx val="1"/>
          <c:order val="1"/>
          <c:tx>
            <c:strRef>
              <c:f>'6.ΑΠΟΤΕΛΕΣΜΑΤΑ'!$E$2</c:f>
              <c:strCache>
                <c:ptCount val="1"/>
                <c:pt idx="0">
                  <c:v>ΑΠΟΔΟΣΗ Χ/Φ</c:v>
                </c:pt>
              </c:strCache>
            </c:strRef>
          </c:tx>
          <c:spPr>
            <a:ln w="28575" cap="rnd">
              <a:solidFill>
                <a:schemeClr val="accent2">
                  <a:lumMod val="60000"/>
                  <a:lumOff val="40000"/>
                </a:schemeClr>
              </a:solidFill>
              <a:round/>
            </a:ln>
            <a:effectLst/>
          </c:spPr>
          <c:marker>
            <c:symbol val="none"/>
          </c:marker>
          <c:cat>
            <c:numRef>
              <c:f>'6.ΑΠΟΤΕΛΕΣΜΑΤΑ'!$C$3:$C$26</c:f>
              <c:numCache>
                <c:formatCode>m/d/yy</c:formatCode>
                <c:ptCount val="24"/>
                <c:pt idx="0">
                  <c:v>43935</c:v>
                </c:pt>
                <c:pt idx="1">
                  <c:v>43936</c:v>
                </c:pt>
                <c:pt idx="2">
                  <c:v>43937</c:v>
                </c:pt>
                <c:pt idx="3">
                  <c:v>43942</c:v>
                </c:pt>
                <c:pt idx="4">
                  <c:v>43943</c:v>
                </c:pt>
                <c:pt idx="5">
                  <c:v>43944</c:v>
                </c:pt>
                <c:pt idx="6">
                  <c:v>43945</c:v>
                </c:pt>
                <c:pt idx="7">
                  <c:v>43948</c:v>
                </c:pt>
                <c:pt idx="8">
                  <c:v>43949</c:v>
                </c:pt>
                <c:pt idx="9">
                  <c:v>43950</c:v>
                </c:pt>
                <c:pt idx="10">
                  <c:v>43951</c:v>
                </c:pt>
                <c:pt idx="11">
                  <c:v>43955</c:v>
                </c:pt>
                <c:pt idx="12">
                  <c:v>43956</c:v>
                </c:pt>
                <c:pt idx="13">
                  <c:v>43957</c:v>
                </c:pt>
                <c:pt idx="14">
                  <c:v>43958</c:v>
                </c:pt>
                <c:pt idx="15">
                  <c:v>43959</c:v>
                </c:pt>
                <c:pt idx="16">
                  <c:v>43962</c:v>
                </c:pt>
                <c:pt idx="17">
                  <c:v>43963</c:v>
                </c:pt>
                <c:pt idx="18">
                  <c:v>43964</c:v>
                </c:pt>
                <c:pt idx="19">
                  <c:v>43965</c:v>
                </c:pt>
                <c:pt idx="20">
                  <c:v>43966</c:v>
                </c:pt>
                <c:pt idx="21">
                  <c:v>43969</c:v>
                </c:pt>
                <c:pt idx="22">
                  <c:v>43970</c:v>
                </c:pt>
                <c:pt idx="23">
                  <c:v>43971</c:v>
                </c:pt>
              </c:numCache>
            </c:numRef>
          </c:cat>
          <c:val>
            <c:numRef>
              <c:f>'6.ΑΠΟΤΕΛΕΣΜΑΤΑ'!$E$3:$E$26</c:f>
              <c:numCache>
                <c:formatCode>0.000%</c:formatCode>
                <c:ptCount val="24"/>
                <c:pt idx="0">
                  <c:v>1.7600383613843442E-2</c:v>
                </c:pt>
                <c:pt idx="1">
                  <c:v>4.1261138339994067E-3</c:v>
                </c:pt>
                <c:pt idx="2">
                  <c:v>-4.9669388173540939E-4</c:v>
                </c:pt>
                <c:pt idx="3">
                  <c:v>-8.0933899291626577E-3</c:v>
                </c:pt>
                <c:pt idx="4">
                  <c:v>6.788434378264355E-3</c:v>
                </c:pt>
                <c:pt idx="5">
                  <c:v>7.2460774305806259E-3</c:v>
                </c:pt>
                <c:pt idx="6">
                  <c:v>1.3726890235496102E-2</c:v>
                </c:pt>
                <c:pt idx="7">
                  <c:v>2.2236530921063095E-2</c:v>
                </c:pt>
                <c:pt idx="8">
                  <c:v>3.145365122579824E-2</c:v>
                </c:pt>
                <c:pt idx="9">
                  <c:v>3.1823268158528664E-2</c:v>
                </c:pt>
                <c:pt idx="10">
                  <c:v>2.8179571427975315E-2</c:v>
                </c:pt>
                <c:pt idx="11">
                  <c:v>1.4964714151368097E-2</c:v>
                </c:pt>
                <c:pt idx="12">
                  <c:v>9.2805419511397483E-3</c:v>
                </c:pt>
                <c:pt idx="13">
                  <c:v>8.2209524368584974E-3</c:v>
                </c:pt>
                <c:pt idx="14">
                  <c:v>1.5449487014584302E-2</c:v>
                </c:pt>
                <c:pt idx="15">
                  <c:v>2.0099704091997701E-2</c:v>
                </c:pt>
                <c:pt idx="16">
                  <c:v>1.1002304057920265E-2</c:v>
                </c:pt>
                <c:pt idx="17">
                  <c:v>8.6475809571973511E-3</c:v>
                </c:pt>
                <c:pt idx="18">
                  <c:v>8.8425508769229052E-3</c:v>
                </c:pt>
                <c:pt idx="19">
                  <c:v>-5.9867342264413306E-3</c:v>
                </c:pt>
                <c:pt idx="20">
                  <c:v>9.7575388781791852E-3</c:v>
                </c:pt>
                <c:pt idx="21">
                  <c:v>2.7848777667014948E-2</c:v>
                </c:pt>
                <c:pt idx="22">
                  <c:v>1.6862966959870246E-2</c:v>
                </c:pt>
                <c:pt idx="23">
                  <c:v>2.054636886652297E-2</c:v>
                </c:pt>
              </c:numCache>
            </c:numRef>
          </c:val>
          <c:smooth val="0"/>
          <c:extLst>
            <c:ext xmlns:c16="http://schemas.microsoft.com/office/drawing/2014/chart" uri="{C3380CC4-5D6E-409C-BE32-E72D297353CC}">
              <c16:uniqueId val="{00000001-86BB-4590-A3E7-5310BA5985B4}"/>
            </c:ext>
          </c:extLst>
        </c:ser>
        <c:dLbls>
          <c:showLegendKey val="0"/>
          <c:showVal val="0"/>
          <c:showCatName val="0"/>
          <c:showSerName val="0"/>
          <c:showPercent val="0"/>
          <c:showBubbleSize val="0"/>
        </c:dLbls>
        <c:smooth val="0"/>
        <c:axId val="721522032"/>
        <c:axId val="721522688"/>
      </c:lineChart>
      <c:dateAx>
        <c:axId val="721522032"/>
        <c:scaling>
          <c:orientation val="minMax"/>
        </c:scaling>
        <c:delete val="0"/>
        <c:axPos val="b"/>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GR"/>
          </a:p>
        </c:txPr>
        <c:crossAx val="721522688"/>
        <c:crosses val="autoZero"/>
        <c:auto val="1"/>
        <c:lblOffset val="100"/>
        <c:baseTimeUnit val="days"/>
      </c:dateAx>
      <c:valAx>
        <c:axId val="72152268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GR"/>
          </a:p>
        </c:txPr>
        <c:crossAx val="721522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G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G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accent2">
                    <a:lumMod val="60000"/>
                    <a:lumOff val="40000"/>
                  </a:schemeClr>
                </a:solidFill>
                <a:latin typeface="+mn-lt"/>
                <a:ea typeface="+mn-ea"/>
                <a:cs typeface="+mn-cs"/>
              </a:defRPr>
            </a:pPr>
            <a:r>
              <a:rPr lang="el-GR" sz="1400" b="1" i="0" baseline="0">
                <a:solidFill>
                  <a:schemeClr val="accent2">
                    <a:lumMod val="60000"/>
                    <a:lumOff val="40000"/>
                  </a:schemeClr>
                </a:solidFill>
                <a:effectLst>
                  <a:outerShdw blurRad="50800" dist="38100" dir="5400000" algn="t" rotWithShape="0">
                    <a:srgbClr val="000000">
                      <a:alpha val="40000"/>
                    </a:srgbClr>
                  </a:outerShdw>
                </a:effectLst>
              </a:rPr>
              <a:t>ΑΠΟΔΟΣΕΙΣ - ΤΕΛΙΚΟ</a:t>
            </a:r>
            <a:endParaRPr lang="el-GR" sz="1400">
              <a:solidFill>
                <a:schemeClr val="accent2">
                  <a:lumMod val="60000"/>
                  <a:lumOff val="40000"/>
                </a:schemeClr>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chemeClr val="accent2">
                    <a:lumMod val="60000"/>
                    <a:lumOff val="40000"/>
                  </a:schemeClr>
                </a:solidFill>
              </a:defRPr>
            </a:pPr>
            <a:endParaRPr lang="el-GR" sz="1400">
              <a:solidFill>
                <a:schemeClr val="accent2">
                  <a:lumMod val="60000"/>
                  <a:lumOff val="40000"/>
                </a:schemeClr>
              </a:solidFill>
            </a:endParaRPr>
          </a:p>
        </c:rich>
      </c:tx>
      <c:layout>
        <c:manualLayout>
          <c:xMode val="edge"/>
          <c:yMode val="edge"/>
          <c:x val="0.32457633420822402"/>
          <c:y val="7.870370370370370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accent2">
                  <a:lumMod val="60000"/>
                  <a:lumOff val="40000"/>
                </a:schemeClr>
              </a:solidFill>
              <a:latin typeface="+mn-lt"/>
              <a:ea typeface="+mn-ea"/>
              <a:cs typeface="+mn-cs"/>
            </a:defRPr>
          </a:pPr>
          <a:endParaRPr lang="en-GR"/>
        </a:p>
      </c:txPr>
    </c:title>
    <c:autoTitleDeleted val="0"/>
    <c:plotArea>
      <c:layout/>
      <c:lineChart>
        <c:grouping val="standard"/>
        <c:varyColors val="0"/>
        <c:ser>
          <c:idx val="0"/>
          <c:order val="0"/>
          <c:tx>
            <c:strRef>
              <c:f>'6.ΑΠΟΤΕΛΕΣΜΑΤΑ'!$F$2</c:f>
              <c:strCache>
                <c:ptCount val="1"/>
                <c:pt idx="0">
                  <c:v>ΣΩΡΕΥΤΙΚΗ ΑΠΟΔΟΣΗ Γ/Δ</c:v>
                </c:pt>
              </c:strCache>
            </c:strRef>
          </c:tx>
          <c:spPr>
            <a:ln w="28575" cap="rnd">
              <a:solidFill>
                <a:schemeClr val="accent6">
                  <a:lumMod val="50000"/>
                </a:schemeClr>
              </a:solidFill>
              <a:round/>
            </a:ln>
            <a:effectLst/>
          </c:spPr>
          <c:marker>
            <c:symbol val="none"/>
          </c:marker>
          <c:cat>
            <c:numRef>
              <c:f>'6.ΑΠΟΤΕΛΕΣΜΑΤΑ'!$C$3:$C$26</c:f>
              <c:numCache>
                <c:formatCode>m/d/yy</c:formatCode>
                <c:ptCount val="24"/>
                <c:pt idx="0">
                  <c:v>43935</c:v>
                </c:pt>
                <c:pt idx="1">
                  <c:v>43936</c:v>
                </c:pt>
                <c:pt idx="2">
                  <c:v>43937</c:v>
                </c:pt>
                <c:pt idx="3">
                  <c:v>43942</c:v>
                </c:pt>
                <c:pt idx="4">
                  <c:v>43943</c:v>
                </c:pt>
                <c:pt idx="5">
                  <c:v>43944</c:v>
                </c:pt>
                <c:pt idx="6">
                  <c:v>43945</c:v>
                </c:pt>
                <c:pt idx="7">
                  <c:v>43948</c:v>
                </c:pt>
                <c:pt idx="8">
                  <c:v>43949</c:v>
                </c:pt>
                <c:pt idx="9">
                  <c:v>43950</c:v>
                </c:pt>
                <c:pt idx="10">
                  <c:v>43951</c:v>
                </c:pt>
                <c:pt idx="11">
                  <c:v>43955</c:v>
                </c:pt>
                <c:pt idx="12">
                  <c:v>43956</c:v>
                </c:pt>
                <c:pt idx="13">
                  <c:v>43957</c:v>
                </c:pt>
                <c:pt idx="14">
                  <c:v>43958</c:v>
                </c:pt>
                <c:pt idx="15">
                  <c:v>43959</c:v>
                </c:pt>
                <c:pt idx="16">
                  <c:v>43962</c:v>
                </c:pt>
                <c:pt idx="17">
                  <c:v>43963</c:v>
                </c:pt>
                <c:pt idx="18">
                  <c:v>43964</c:v>
                </c:pt>
                <c:pt idx="19">
                  <c:v>43965</c:v>
                </c:pt>
                <c:pt idx="20">
                  <c:v>43966</c:v>
                </c:pt>
                <c:pt idx="21">
                  <c:v>43969</c:v>
                </c:pt>
                <c:pt idx="22">
                  <c:v>43970</c:v>
                </c:pt>
                <c:pt idx="23">
                  <c:v>43971</c:v>
                </c:pt>
              </c:numCache>
            </c:numRef>
          </c:cat>
          <c:val>
            <c:numRef>
              <c:f>'6.ΑΠΟΤΕΛΕΣΜΑΤΑ'!$F$3:$F$26</c:f>
              <c:numCache>
                <c:formatCode>0.000%</c:formatCode>
                <c:ptCount val="24"/>
                <c:pt idx="0">
                  <c:v>3.4415188789540571E-2</c:v>
                </c:pt>
                <c:pt idx="1">
                  <c:v>1.5907248534702684E-3</c:v>
                </c:pt>
                <c:pt idx="2">
                  <c:v>2.4108612871419095E-4</c:v>
                </c:pt>
                <c:pt idx="3">
                  <c:v>-2.56839241720687E-2</c:v>
                </c:pt>
                <c:pt idx="4">
                  <c:v>-1.8256087550634591E-2</c:v>
                </c:pt>
                <c:pt idx="5">
                  <c:v>7.0542028375014006E-3</c:v>
                </c:pt>
                <c:pt idx="6">
                  <c:v>3.8731776346121946E-4</c:v>
                </c:pt>
                <c:pt idx="7">
                  <c:v>3.2956041893999963E-2</c:v>
                </c:pt>
                <c:pt idx="8">
                  <c:v>4.7009957826030221E-2</c:v>
                </c:pt>
                <c:pt idx="9">
                  <c:v>5.8002776271286645E-2</c:v>
                </c:pt>
                <c:pt idx="10">
                  <c:v>3.6676795650044697E-2</c:v>
                </c:pt>
                <c:pt idx="11">
                  <c:v>-4.5329138605004482E-3</c:v>
                </c:pt>
                <c:pt idx="12">
                  <c:v>8.797984605533108E-3</c:v>
                </c:pt>
                <c:pt idx="13">
                  <c:v>-7.1262605492040734E-3</c:v>
                </c:pt>
                <c:pt idx="14">
                  <c:v>-4.1296068125432307E-3</c:v>
                </c:pt>
                <c:pt idx="15">
                  <c:v>-1.5070695907729728E-3</c:v>
                </c:pt>
                <c:pt idx="16">
                  <c:v>-1.4270913643417496E-2</c:v>
                </c:pt>
                <c:pt idx="17">
                  <c:v>-1.3751075966924311E-2</c:v>
                </c:pt>
                <c:pt idx="18">
                  <c:v>-2.3488778137375911E-2</c:v>
                </c:pt>
                <c:pt idx="19">
                  <c:v>-2.809239332930609E-2</c:v>
                </c:pt>
                <c:pt idx="20">
                  <c:v>-1.9352680345561299E-2</c:v>
                </c:pt>
                <c:pt idx="21">
                  <c:v>8.0552015274791729E-3</c:v>
                </c:pt>
                <c:pt idx="22">
                  <c:v>-5.6605091957128706E-3</c:v>
                </c:pt>
                <c:pt idx="23">
                  <c:v>9.909389001106635E-3</c:v>
                </c:pt>
              </c:numCache>
            </c:numRef>
          </c:val>
          <c:smooth val="0"/>
          <c:extLst>
            <c:ext xmlns:c16="http://schemas.microsoft.com/office/drawing/2014/chart" uri="{C3380CC4-5D6E-409C-BE32-E72D297353CC}">
              <c16:uniqueId val="{00000000-3999-478E-A998-E1540141CF16}"/>
            </c:ext>
          </c:extLst>
        </c:ser>
        <c:ser>
          <c:idx val="1"/>
          <c:order val="1"/>
          <c:tx>
            <c:strRef>
              <c:f>'6.ΑΠΟΤΕΛΕΣΜΑΤΑ'!$G$2</c:f>
              <c:strCache>
                <c:ptCount val="1"/>
                <c:pt idx="0">
                  <c:v>ΣΩΡΕΥΤΙΚΗ ΑΠΟΔΟΣΗ Χ/Φ</c:v>
                </c:pt>
              </c:strCache>
            </c:strRef>
          </c:tx>
          <c:spPr>
            <a:ln w="28575" cap="rnd">
              <a:solidFill>
                <a:schemeClr val="accent2">
                  <a:lumMod val="60000"/>
                  <a:lumOff val="40000"/>
                </a:schemeClr>
              </a:solidFill>
              <a:round/>
            </a:ln>
            <a:effectLst/>
          </c:spPr>
          <c:marker>
            <c:symbol val="none"/>
          </c:marker>
          <c:cat>
            <c:numRef>
              <c:f>'6.ΑΠΟΤΕΛΕΣΜΑΤΑ'!$C$3:$C$26</c:f>
              <c:numCache>
                <c:formatCode>m/d/yy</c:formatCode>
                <c:ptCount val="24"/>
                <c:pt idx="0">
                  <c:v>43935</c:v>
                </c:pt>
                <c:pt idx="1">
                  <c:v>43936</c:v>
                </c:pt>
                <c:pt idx="2">
                  <c:v>43937</c:v>
                </c:pt>
                <c:pt idx="3">
                  <c:v>43942</c:v>
                </c:pt>
                <c:pt idx="4">
                  <c:v>43943</c:v>
                </c:pt>
                <c:pt idx="5">
                  <c:v>43944</c:v>
                </c:pt>
                <c:pt idx="6">
                  <c:v>43945</c:v>
                </c:pt>
                <c:pt idx="7">
                  <c:v>43948</c:v>
                </c:pt>
                <c:pt idx="8">
                  <c:v>43949</c:v>
                </c:pt>
                <c:pt idx="9">
                  <c:v>43950</c:v>
                </c:pt>
                <c:pt idx="10">
                  <c:v>43951</c:v>
                </c:pt>
                <c:pt idx="11">
                  <c:v>43955</c:v>
                </c:pt>
                <c:pt idx="12">
                  <c:v>43956</c:v>
                </c:pt>
                <c:pt idx="13">
                  <c:v>43957</c:v>
                </c:pt>
                <c:pt idx="14">
                  <c:v>43958</c:v>
                </c:pt>
                <c:pt idx="15">
                  <c:v>43959</c:v>
                </c:pt>
                <c:pt idx="16">
                  <c:v>43962</c:v>
                </c:pt>
                <c:pt idx="17">
                  <c:v>43963</c:v>
                </c:pt>
                <c:pt idx="18">
                  <c:v>43964</c:v>
                </c:pt>
                <c:pt idx="19">
                  <c:v>43965</c:v>
                </c:pt>
                <c:pt idx="20">
                  <c:v>43966</c:v>
                </c:pt>
                <c:pt idx="21">
                  <c:v>43969</c:v>
                </c:pt>
                <c:pt idx="22">
                  <c:v>43970</c:v>
                </c:pt>
                <c:pt idx="23">
                  <c:v>43971</c:v>
                </c:pt>
              </c:numCache>
            </c:numRef>
          </c:cat>
          <c:val>
            <c:numRef>
              <c:f>'6.ΑΠΟΤΕΛΕΣΜΑΤΑ'!$G$3:$G$26</c:f>
              <c:numCache>
                <c:formatCode>0.000%</c:formatCode>
                <c:ptCount val="24"/>
                <c:pt idx="0">
                  <c:v>1.7600383613843442E-2</c:v>
                </c:pt>
                <c:pt idx="1">
                  <c:v>2.172649744784285E-2</c:v>
                </c:pt>
                <c:pt idx="2">
                  <c:v>2.1229803566107441E-2</c:v>
                </c:pt>
                <c:pt idx="3">
                  <c:v>1.3136413636944783E-2</c:v>
                </c:pt>
                <c:pt idx="4">
                  <c:v>1.9924848015209138E-2</c:v>
                </c:pt>
                <c:pt idx="5">
                  <c:v>2.7170925445789765E-2</c:v>
                </c:pt>
                <c:pt idx="6">
                  <c:v>4.0897815681285865E-2</c:v>
                </c:pt>
                <c:pt idx="7">
                  <c:v>6.3134346602348956E-2</c:v>
                </c:pt>
                <c:pt idx="8">
                  <c:v>9.4587997828147197E-2</c:v>
                </c:pt>
                <c:pt idx="9">
                  <c:v>0.12641126598667585</c:v>
                </c:pt>
                <c:pt idx="10">
                  <c:v>0.15459083741465116</c:v>
                </c:pt>
                <c:pt idx="11">
                  <c:v>0.16955555156601926</c:v>
                </c:pt>
                <c:pt idx="12">
                  <c:v>0.17883609351715901</c:v>
                </c:pt>
                <c:pt idx="13">
                  <c:v>0.18705704595401751</c:v>
                </c:pt>
                <c:pt idx="14">
                  <c:v>0.2025065329686018</c:v>
                </c:pt>
                <c:pt idx="15">
                  <c:v>0.22260623706059951</c:v>
                </c:pt>
                <c:pt idx="16">
                  <c:v>0.23360854111851978</c:v>
                </c:pt>
                <c:pt idx="17">
                  <c:v>0.24225612207571712</c:v>
                </c:pt>
                <c:pt idx="18">
                  <c:v>0.25109867295264005</c:v>
                </c:pt>
                <c:pt idx="19">
                  <c:v>0.24511193872619871</c:v>
                </c:pt>
                <c:pt idx="20">
                  <c:v>0.25486947760437789</c:v>
                </c:pt>
                <c:pt idx="21">
                  <c:v>0.28271825527139283</c:v>
                </c:pt>
                <c:pt idx="22">
                  <c:v>0.29958122223126304</c:v>
                </c:pt>
                <c:pt idx="23">
                  <c:v>0.32012759109778599</c:v>
                </c:pt>
              </c:numCache>
            </c:numRef>
          </c:val>
          <c:smooth val="0"/>
          <c:extLst>
            <c:ext xmlns:c16="http://schemas.microsoft.com/office/drawing/2014/chart" uri="{C3380CC4-5D6E-409C-BE32-E72D297353CC}">
              <c16:uniqueId val="{00000001-3999-478E-A998-E1540141CF16}"/>
            </c:ext>
          </c:extLst>
        </c:ser>
        <c:dLbls>
          <c:showLegendKey val="0"/>
          <c:showVal val="0"/>
          <c:showCatName val="0"/>
          <c:showSerName val="0"/>
          <c:showPercent val="0"/>
          <c:showBubbleSize val="0"/>
        </c:dLbls>
        <c:smooth val="0"/>
        <c:axId val="768029664"/>
        <c:axId val="768030648"/>
      </c:lineChart>
      <c:dateAx>
        <c:axId val="768029664"/>
        <c:scaling>
          <c:orientation val="minMax"/>
        </c:scaling>
        <c:delete val="0"/>
        <c:axPos val="b"/>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GR"/>
          </a:p>
        </c:txPr>
        <c:crossAx val="768030648"/>
        <c:crosses val="autoZero"/>
        <c:auto val="1"/>
        <c:lblOffset val="100"/>
        <c:baseTimeUnit val="days"/>
      </c:dateAx>
      <c:valAx>
        <c:axId val="76803064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GR"/>
          </a:p>
        </c:txPr>
        <c:crossAx val="768029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G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603250</xdr:colOff>
      <xdr:row>5</xdr:row>
      <xdr:rowOff>12700</xdr:rowOff>
    </xdr:from>
    <xdr:to>
      <xdr:col>12</xdr:col>
      <xdr:colOff>19050</xdr:colOff>
      <xdr:row>9</xdr:row>
      <xdr:rowOff>0</xdr:rowOff>
    </xdr:to>
    <xdr:sp macro="" textlink="">
      <xdr:nvSpPr>
        <xdr:cNvPr id="2" name="TextBox 1">
          <a:extLst>
            <a:ext uri="{FF2B5EF4-FFF2-40B4-BE49-F238E27FC236}">
              <a16:creationId xmlns:a16="http://schemas.microsoft.com/office/drawing/2014/main" id="{2F1655AB-0881-42FE-99BC-0650F0955717}"/>
            </a:ext>
          </a:extLst>
        </xdr:cNvPr>
        <xdr:cNvSpPr txBox="1"/>
      </xdr:nvSpPr>
      <xdr:spPr>
        <a:xfrm>
          <a:off x="4191000" y="933450"/>
          <a:ext cx="36830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b="0" baseline="0">
              <a:solidFill>
                <a:schemeClr val="tx2">
                  <a:lumMod val="75000"/>
                </a:schemeClr>
              </a:solidFill>
              <a:effectLst/>
              <a:latin typeface="+mn-lt"/>
              <a:ea typeface="+mn-ea"/>
              <a:cs typeface="+mn-cs"/>
            </a:rPr>
            <a:t>Κεφαλαιοποίηση:</a:t>
          </a:r>
          <a:br>
            <a:rPr lang="el-GR" sz="1100" b="0" baseline="0">
              <a:solidFill>
                <a:schemeClr val="dk1"/>
              </a:solidFill>
              <a:effectLst/>
              <a:latin typeface="+mn-lt"/>
              <a:ea typeface="+mn-ea"/>
              <a:cs typeface="+mn-cs"/>
            </a:rPr>
          </a:br>
          <a:r>
            <a:rPr lang="el-GR" sz="1100" b="0" baseline="0">
              <a:solidFill>
                <a:schemeClr val="dk1"/>
              </a:solidFill>
              <a:effectLst/>
              <a:latin typeface="+mn-lt"/>
              <a:ea typeface="+mn-ea"/>
              <a:cs typeface="+mn-cs"/>
            </a:rPr>
            <a:t>Θεωρούμε ότι περνάνε το κριτήριο (</a:t>
          </a:r>
          <a:r>
            <a:rPr lang="en-US" sz="1100" b="0" baseline="0">
              <a:solidFill>
                <a:schemeClr val="dk1"/>
              </a:solidFill>
              <a:effectLst/>
              <a:latin typeface="+mn-lt"/>
              <a:ea typeface="+mn-ea"/>
              <a:cs typeface="+mn-cs"/>
            </a:rPr>
            <a:t>Score = 1) </a:t>
          </a:r>
          <a:r>
            <a:rPr lang="el-GR" sz="1100" b="0" baseline="0">
              <a:solidFill>
                <a:schemeClr val="dk1"/>
              </a:solidFill>
              <a:effectLst/>
              <a:latin typeface="+mn-lt"/>
              <a:ea typeface="+mn-ea"/>
              <a:cs typeface="+mn-cs"/>
            </a:rPr>
            <a:t>οι μετοχές που ανήκουν στο ανώτερο 50% (οι πρώτες 7 σε κατάταξη).</a:t>
          </a:r>
          <a:endParaRPr lang="el-G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228600</xdr:colOff>
      <xdr:row>23</xdr:row>
      <xdr:rowOff>139700</xdr:rowOff>
    </xdr:from>
    <xdr:to>
      <xdr:col>22</xdr:col>
      <xdr:colOff>488950</xdr:colOff>
      <xdr:row>34</xdr:row>
      <xdr:rowOff>101600</xdr:rowOff>
    </xdr:to>
    <xdr:sp macro="" textlink="">
      <xdr:nvSpPr>
        <xdr:cNvPr id="2" name="TextBox 1">
          <a:extLst>
            <a:ext uri="{FF2B5EF4-FFF2-40B4-BE49-F238E27FC236}">
              <a16:creationId xmlns:a16="http://schemas.microsoft.com/office/drawing/2014/main" id="{ECA26ED7-4099-4086-9084-85F77478BCDB}"/>
            </a:ext>
          </a:extLst>
        </xdr:cNvPr>
        <xdr:cNvSpPr txBox="1"/>
      </xdr:nvSpPr>
      <xdr:spPr>
        <a:xfrm>
          <a:off x="11360150" y="4375150"/>
          <a:ext cx="3346450" cy="19875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b="0" baseline="0">
              <a:solidFill>
                <a:schemeClr val="accent2">
                  <a:lumMod val="50000"/>
                </a:schemeClr>
              </a:solidFill>
              <a:effectLst/>
              <a:latin typeface="+mn-lt"/>
              <a:ea typeface="+mn-ea"/>
              <a:cs typeface="+mn-cs"/>
            </a:rPr>
            <a:t>Συντελεστής βήτα:</a:t>
          </a:r>
          <a:br>
            <a:rPr lang="el-GR" sz="1100" b="0" baseline="0">
              <a:solidFill>
                <a:schemeClr val="dk1"/>
              </a:solidFill>
              <a:effectLst/>
              <a:latin typeface="+mn-lt"/>
              <a:ea typeface="+mn-ea"/>
              <a:cs typeface="+mn-cs"/>
            </a:rPr>
          </a:br>
          <a:r>
            <a:rPr lang="el-GR" sz="1100" b="0" baseline="0">
              <a:solidFill>
                <a:schemeClr val="dk1"/>
              </a:solidFill>
              <a:effectLst/>
              <a:latin typeface="+mn-lt"/>
              <a:ea typeface="+mn-ea"/>
              <a:cs typeface="+mn-cs"/>
            </a:rPr>
            <a:t> Εδώ εκτιμώνται οι συντελεστές βήτα των μετοχών, θεωρώντας ως χαρτοφυλάκιο της αγοράς το Γενικό Δείκτη. Έχει γίνει παλινδρόμηση του υποδείγματος της αγοράς και οι συντελεστές έχουν υπολογιστεί στον πίνακα με τις ισοδύναμες συναρτήσεις </a:t>
          </a:r>
          <a:r>
            <a:rPr lang="en-US" sz="1100" b="0" baseline="0">
              <a:solidFill>
                <a:schemeClr val="dk1"/>
              </a:solidFill>
              <a:effectLst/>
              <a:latin typeface="+mn-lt"/>
              <a:ea typeface="+mn-ea"/>
              <a:cs typeface="+mn-cs"/>
            </a:rPr>
            <a:t>INTERCEPT &amp; SLOPE </a:t>
          </a:r>
          <a:r>
            <a:rPr lang="el-GR" sz="1100" b="0" baseline="0">
              <a:solidFill>
                <a:schemeClr val="dk1"/>
              </a:solidFill>
              <a:effectLst/>
              <a:latin typeface="+mn-lt"/>
              <a:ea typeface="+mn-ea"/>
              <a:cs typeface="+mn-cs"/>
            </a:rPr>
            <a:t>του </a:t>
          </a:r>
          <a:r>
            <a:rPr lang="en-US" sz="1100" b="0" baseline="0">
              <a:solidFill>
                <a:schemeClr val="dk1"/>
              </a:solidFill>
              <a:effectLst/>
              <a:latin typeface="+mn-lt"/>
              <a:ea typeface="+mn-ea"/>
              <a:cs typeface="+mn-cs"/>
            </a:rPr>
            <a:t>Excel. </a:t>
          </a:r>
          <a:r>
            <a:rPr lang="el-GR" sz="1100" b="0" baseline="0">
              <a:solidFill>
                <a:schemeClr val="dk1"/>
              </a:solidFill>
              <a:effectLst/>
              <a:latin typeface="+mn-lt"/>
              <a:ea typeface="+mn-ea"/>
              <a:cs typeface="+mn-cs"/>
            </a:rPr>
            <a:t>Θεωρούμε ότι περνάνε το κριτήριο (</a:t>
          </a:r>
          <a:r>
            <a:rPr lang="en-US" sz="1100" b="0" baseline="0">
              <a:solidFill>
                <a:schemeClr val="dk1"/>
              </a:solidFill>
              <a:effectLst/>
              <a:latin typeface="+mn-lt"/>
              <a:ea typeface="+mn-ea"/>
              <a:cs typeface="+mn-cs"/>
            </a:rPr>
            <a:t>Score = 1) </a:t>
          </a:r>
          <a:r>
            <a:rPr lang="el-GR" sz="1100" b="0" baseline="0">
              <a:solidFill>
                <a:schemeClr val="dk1"/>
              </a:solidFill>
              <a:effectLst/>
              <a:latin typeface="+mn-lt"/>
              <a:ea typeface="+mn-ea"/>
              <a:cs typeface="+mn-cs"/>
            </a:rPr>
            <a:t>οι μετοχές που έχουν συντελεστή βήτα μικρότερο του 1</a:t>
          </a:r>
          <a:r>
            <a:rPr lang="en-US" sz="1100" b="0" baseline="0">
              <a:solidFill>
                <a:schemeClr val="dk1"/>
              </a:solidFill>
              <a:effectLst/>
              <a:latin typeface="+mn-lt"/>
              <a:ea typeface="+mn-ea"/>
              <a:cs typeface="+mn-cs"/>
            </a:rPr>
            <a:t>,1</a:t>
          </a:r>
          <a:r>
            <a:rPr lang="el-GR" sz="1100" b="0" baseline="0">
              <a:solidFill>
                <a:schemeClr val="dk1"/>
              </a:solidFill>
              <a:effectLst/>
              <a:latin typeface="+mn-lt"/>
              <a:ea typeface="+mn-ea"/>
              <a:cs typeface="+mn-cs"/>
            </a:rPr>
            <a:t>, λόγω της συντηρητικής φύσης του χαρτοφυλακίου.</a:t>
          </a:r>
          <a:endParaRPr lang="el-G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173</xdr:row>
      <xdr:rowOff>82550</xdr:rowOff>
    </xdr:from>
    <xdr:to>
      <xdr:col>8</xdr:col>
      <xdr:colOff>1111250</xdr:colOff>
      <xdr:row>175</xdr:row>
      <xdr:rowOff>133350</xdr:rowOff>
    </xdr:to>
    <xdr:sp macro="" textlink="">
      <xdr:nvSpPr>
        <xdr:cNvPr id="2" name="TextBox 1">
          <a:extLst>
            <a:ext uri="{FF2B5EF4-FFF2-40B4-BE49-F238E27FC236}">
              <a16:creationId xmlns:a16="http://schemas.microsoft.com/office/drawing/2014/main" id="{B7AD503C-78FF-4656-AC3C-F2F7D9A4B855}"/>
            </a:ext>
          </a:extLst>
        </xdr:cNvPr>
        <xdr:cNvSpPr txBox="1"/>
      </xdr:nvSpPr>
      <xdr:spPr>
        <a:xfrm>
          <a:off x="12700" y="32245300"/>
          <a:ext cx="9486900" cy="4191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000" b="1"/>
            <a:t>9.ΕΥΔΑΠ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139700</xdr:colOff>
      <xdr:row>19</xdr:row>
      <xdr:rowOff>95250</xdr:rowOff>
    </xdr:from>
    <xdr:to>
      <xdr:col>5</xdr:col>
      <xdr:colOff>596900</xdr:colOff>
      <xdr:row>23</xdr:row>
      <xdr:rowOff>152400</xdr:rowOff>
    </xdr:to>
    <xdr:sp macro="" textlink="">
      <xdr:nvSpPr>
        <xdr:cNvPr id="2" name="TextBox 1">
          <a:extLst>
            <a:ext uri="{FF2B5EF4-FFF2-40B4-BE49-F238E27FC236}">
              <a16:creationId xmlns:a16="http://schemas.microsoft.com/office/drawing/2014/main" id="{0FFA13A3-237B-4C81-BD96-62412D81B112}"/>
            </a:ext>
          </a:extLst>
        </xdr:cNvPr>
        <xdr:cNvSpPr txBox="1"/>
      </xdr:nvSpPr>
      <xdr:spPr>
        <a:xfrm>
          <a:off x="139700" y="3987800"/>
          <a:ext cx="4229100"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b="0" baseline="0">
              <a:solidFill>
                <a:schemeClr val="tx2">
                  <a:lumMod val="75000"/>
                </a:schemeClr>
              </a:solidFill>
              <a:effectLst/>
              <a:latin typeface="+mn-lt"/>
              <a:ea typeface="+mn-ea"/>
              <a:cs typeface="+mn-cs"/>
            </a:rPr>
            <a:t>Ρευστότητα:</a:t>
          </a:r>
          <a:br>
            <a:rPr lang="el-GR" sz="1100" b="0" baseline="0">
              <a:solidFill>
                <a:schemeClr val="dk1"/>
              </a:solidFill>
              <a:effectLst/>
              <a:latin typeface="+mn-lt"/>
              <a:ea typeface="+mn-ea"/>
              <a:cs typeface="+mn-cs"/>
            </a:rPr>
          </a:br>
          <a:r>
            <a:rPr lang="el-GR" sz="1100" b="0" baseline="0">
              <a:solidFill>
                <a:schemeClr val="dk1"/>
              </a:solidFill>
              <a:effectLst/>
              <a:latin typeface="+mn-lt"/>
              <a:ea typeface="+mn-ea"/>
              <a:cs typeface="+mn-cs"/>
            </a:rPr>
            <a:t>Υπολογίζεται ο δείκτης εμπορευσιμότητας σύμφωνα με τις οδηγίες. Θεωρούμε ότι περνάνε το κριτήριο (</a:t>
          </a:r>
          <a:r>
            <a:rPr lang="en-US" sz="1100" b="0" baseline="0">
              <a:solidFill>
                <a:schemeClr val="dk1"/>
              </a:solidFill>
              <a:effectLst/>
              <a:latin typeface="+mn-lt"/>
              <a:ea typeface="+mn-ea"/>
              <a:cs typeface="+mn-cs"/>
            </a:rPr>
            <a:t>Score = 1) </a:t>
          </a:r>
          <a:r>
            <a:rPr lang="el-GR" sz="1100" b="0" baseline="0">
              <a:solidFill>
                <a:schemeClr val="dk1"/>
              </a:solidFill>
              <a:effectLst/>
              <a:latin typeface="+mn-lt"/>
              <a:ea typeface="+mn-ea"/>
              <a:cs typeface="+mn-cs"/>
            </a:rPr>
            <a:t>οι μετοχές που έχουν το δείκτη μεγαλύτερο του 0,20%.</a:t>
          </a:r>
          <a:endParaRPr lang="el-G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24</xdr:row>
      <xdr:rowOff>19050</xdr:rowOff>
    </xdr:from>
    <xdr:to>
      <xdr:col>5</xdr:col>
      <xdr:colOff>0</xdr:colOff>
      <xdr:row>28</xdr:row>
      <xdr:rowOff>107950</xdr:rowOff>
    </xdr:to>
    <xdr:sp macro="" textlink="">
      <xdr:nvSpPr>
        <xdr:cNvPr id="2" name="TextBox 1">
          <a:extLst>
            <a:ext uri="{FF2B5EF4-FFF2-40B4-BE49-F238E27FC236}">
              <a16:creationId xmlns:a16="http://schemas.microsoft.com/office/drawing/2014/main" id="{5690E796-1533-4B09-9508-E0F9D956F3BC}"/>
            </a:ext>
          </a:extLst>
        </xdr:cNvPr>
        <xdr:cNvSpPr txBox="1"/>
      </xdr:nvSpPr>
      <xdr:spPr>
        <a:xfrm>
          <a:off x="63500" y="4635500"/>
          <a:ext cx="3841750"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b="0" baseline="0">
              <a:solidFill>
                <a:schemeClr val="accent6">
                  <a:lumMod val="75000"/>
                </a:schemeClr>
              </a:solidFill>
              <a:effectLst/>
              <a:latin typeface="+mn-lt"/>
              <a:ea typeface="+mn-ea"/>
              <a:cs typeface="+mn-cs"/>
            </a:rPr>
            <a:t>Τυπική Απόκλιση:</a:t>
          </a:r>
          <a:br>
            <a:rPr lang="el-GR" sz="1100" b="0" baseline="0">
              <a:solidFill>
                <a:schemeClr val="dk1"/>
              </a:solidFill>
              <a:effectLst/>
              <a:latin typeface="+mn-lt"/>
              <a:ea typeface="+mn-ea"/>
              <a:cs typeface="+mn-cs"/>
            </a:rPr>
          </a:br>
          <a:r>
            <a:rPr lang="el-GR" sz="1100" b="0" baseline="0">
              <a:solidFill>
                <a:schemeClr val="dk1"/>
              </a:solidFill>
              <a:effectLst/>
              <a:latin typeface="+mn-lt"/>
              <a:ea typeface="+mn-ea"/>
              <a:cs typeface="+mn-cs"/>
            </a:rPr>
            <a:t> Υπολογίζεται η τυπική απόκλιση των αποδόσεων των μετοχών. Θεωρούμε ότι περνάνε το κριτήριο (</a:t>
          </a:r>
          <a:r>
            <a:rPr lang="en-US" sz="1100" b="0" baseline="0">
              <a:solidFill>
                <a:schemeClr val="dk1"/>
              </a:solidFill>
              <a:effectLst/>
              <a:latin typeface="+mn-lt"/>
              <a:ea typeface="+mn-ea"/>
              <a:cs typeface="+mn-cs"/>
            </a:rPr>
            <a:t>Score = 1) </a:t>
          </a:r>
          <a:r>
            <a:rPr lang="el-GR" sz="1100" b="0" baseline="0">
              <a:solidFill>
                <a:schemeClr val="dk1"/>
              </a:solidFill>
              <a:effectLst/>
              <a:latin typeface="+mn-lt"/>
              <a:ea typeface="+mn-ea"/>
              <a:cs typeface="+mn-cs"/>
            </a:rPr>
            <a:t>οι μετοχές που έχουν τυπική απόκλιση μικρότερη από το Γενικό Δείκτη</a:t>
          </a:r>
          <a:endParaRPr lang="el-G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6829</xdr:colOff>
      <xdr:row>3</xdr:row>
      <xdr:rowOff>181823</xdr:rowOff>
    </xdr:from>
    <xdr:to>
      <xdr:col>14</xdr:col>
      <xdr:colOff>573548</xdr:colOff>
      <xdr:row>9</xdr:row>
      <xdr:rowOff>129732</xdr:rowOff>
    </xdr:to>
    <xdr:sp macro="" textlink="">
      <xdr:nvSpPr>
        <xdr:cNvPr id="2" name="TextBox 1">
          <a:extLst>
            <a:ext uri="{FF2B5EF4-FFF2-40B4-BE49-F238E27FC236}">
              <a16:creationId xmlns:a16="http://schemas.microsoft.com/office/drawing/2014/main" id="{2D87179C-7CE5-419E-974C-338EA35B0808}"/>
            </a:ext>
          </a:extLst>
        </xdr:cNvPr>
        <xdr:cNvSpPr txBox="1"/>
      </xdr:nvSpPr>
      <xdr:spPr>
        <a:xfrm>
          <a:off x="5988119" y="748543"/>
          <a:ext cx="4342580" cy="1054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l-GR" sz="1100" b="0" baseline="0">
              <a:solidFill>
                <a:schemeClr val="accent2">
                  <a:lumMod val="75000"/>
                </a:schemeClr>
              </a:solidFill>
              <a:effectLst/>
              <a:latin typeface="+mn-lt"/>
              <a:ea typeface="+mn-ea"/>
              <a:cs typeface="+mn-cs"/>
            </a:rPr>
            <a:t>Δείκτης Ρευστότητας - </a:t>
          </a:r>
          <a:r>
            <a:rPr lang="en-US" sz="1100" b="0" baseline="0">
              <a:solidFill>
                <a:schemeClr val="accent2">
                  <a:lumMod val="75000"/>
                </a:schemeClr>
              </a:solidFill>
              <a:effectLst/>
              <a:latin typeface="+mn-lt"/>
              <a:ea typeface="+mn-ea"/>
              <a:cs typeface="+mn-cs"/>
            </a:rPr>
            <a:t>Quick ratio):</a:t>
          </a:r>
          <a:br>
            <a:rPr lang="el-GR" sz="1100" b="0" baseline="0">
              <a:solidFill>
                <a:schemeClr val="dk1"/>
              </a:solidFill>
              <a:effectLst/>
              <a:latin typeface="+mn-lt"/>
              <a:ea typeface="+mn-ea"/>
              <a:cs typeface="+mn-cs"/>
            </a:rPr>
          </a:br>
          <a:r>
            <a:rPr lang="en-US" sz="1100" b="0" baseline="0">
              <a:solidFill>
                <a:schemeClr val="dk1"/>
              </a:solidFill>
              <a:effectLst/>
              <a:latin typeface="+mn-lt"/>
              <a:ea typeface="+mn-ea"/>
              <a:cs typeface="+mn-cs"/>
            </a:rPr>
            <a:t> </a:t>
          </a:r>
          <a:r>
            <a:rPr lang="el-GR" sz="1100" b="0" baseline="0">
              <a:solidFill>
                <a:schemeClr val="dk1"/>
              </a:solidFill>
              <a:effectLst/>
              <a:latin typeface="+mn-lt"/>
              <a:ea typeface="+mn-ea"/>
              <a:cs typeface="+mn-cs"/>
            </a:rPr>
            <a:t>Υπολογίζεται ο δείκτης ρευστότητας από τις λογιστικές καταστάσεις 2017- 2019 και ο μέσος όρος τους. Θεωρούμε ότι περνάνε το κριτήριο (</a:t>
          </a:r>
          <a:r>
            <a:rPr lang="en-US" sz="1100" b="0" baseline="0">
              <a:solidFill>
                <a:schemeClr val="dk1"/>
              </a:solidFill>
              <a:effectLst/>
              <a:latin typeface="+mn-lt"/>
              <a:ea typeface="+mn-ea"/>
              <a:cs typeface="+mn-cs"/>
            </a:rPr>
            <a:t>Score = 1) </a:t>
          </a:r>
          <a:r>
            <a:rPr lang="el-GR" sz="1100" b="0" baseline="0">
              <a:solidFill>
                <a:schemeClr val="dk1"/>
              </a:solidFill>
              <a:effectLst/>
              <a:latin typeface="+mn-lt"/>
              <a:ea typeface="+mn-ea"/>
              <a:cs typeface="+mn-cs"/>
            </a:rPr>
            <a:t>οι μετοχές που έχουν  δείκτη ρευστότητας μεγαλύτερο του 1.</a:t>
          </a:r>
          <a:endParaRPr lang="el-GR">
            <a:effectLst/>
          </a:endParaRPr>
        </a:p>
        <a:p>
          <a:endParaRPr lang="el-G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xdr:colOff>
      <xdr:row>6</xdr:row>
      <xdr:rowOff>12700</xdr:rowOff>
    </xdr:from>
    <xdr:to>
      <xdr:col>17</xdr:col>
      <xdr:colOff>12700</xdr:colOff>
      <xdr:row>11</xdr:row>
      <xdr:rowOff>152400</xdr:rowOff>
    </xdr:to>
    <xdr:sp macro="" textlink="">
      <xdr:nvSpPr>
        <xdr:cNvPr id="2" name="TextBox 1">
          <a:extLst>
            <a:ext uri="{FF2B5EF4-FFF2-40B4-BE49-F238E27FC236}">
              <a16:creationId xmlns:a16="http://schemas.microsoft.com/office/drawing/2014/main" id="{D6A05647-8678-42FB-9843-195C2976DA6A}"/>
            </a:ext>
          </a:extLst>
        </xdr:cNvPr>
        <xdr:cNvSpPr txBox="1"/>
      </xdr:nvSpPr>
      <xdr:spPr>
        <a:xfrm>
          <a:off x="5568950" y="1130300"/>
          <a:ext cx="4870450" cy="106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l-GR" sz="1100" b="1" baseline="0">
              <a:solidFill>
                <a:schemeClr val="accent2">
                  <a:lumMod val="60000"/>
                  <a:lumOff val="40000"/>
                </a:schemeClr>
              </a:solidFill>
              <a:effectLst/>
              <a:latin typeface="+mn-lt"/>
              <a:ea typeface="+mn-ea"/>
              <a:cs typeface="+mn-cs"/>
            </a:rPr>
            <a:t>Δείκτης Κεφαλαιακής Διάρθρωσης</a:t>
          </a:r>
          <a:r>
            <a:rPr lang="en-US" sz="1100" b="1" baseline="0">
              <a:solidFill>
                <a:schemeClr val="accent2">
                  <a:lumMod val="60000"/>
                  <a:lumOff val="40000"/>
                </a:schemeClr>
              </a:solidFill>
              <a:effectLst/>
              <a:latin typeface="+mn-lt"/>
              <a:ea typeface="+mn-ea"/>
              <a:cs typeface="+mn-cs"/>
            </a:rPr>
            <a:t>: </a:t>
          </a:r>
          <a:br>
            <a:rPr lang="el-GR" sz="1100" b="1" baseline="0">
              <a:solidFill>
                <a:schemeClr val="accent2">
                  <a:lumMod val="60000"/>
                  <a:lumOff val="40000"/>
                </a:schemeClr>
              </a:solidFill>
              <a:effectLst/>
              <a:latin typeface="+mn-lt"/>
              <a:ea typeface="+mn-ea"/>
              <a:cs typeface="+mn-cs"/>
            </a:rPr>
          </a:br>
          <a:r>
            <a:rPr lang="el-GR" sz="1100" b="0" baseline="0">
              <a:solidFill>
                <a:schemeClr val="dk1"/>
              </a:solidFill>
              <a:effectLst/>
              <a:latin typeface="+mn-lt"/>
              <a:ea typeface="+mn-ea"/>
              <a:cs typeface="+mn-cs"/>
            </a:rPr>
            <a:t>Υπολογίζεται ο δείκτης κεφαλαιακής διάρθρωσης από τις λογιστικές καταστάσεις 2017 - 2019 και ο μέσος όρος τους. Θεωρούμε ότι περνάνε το κριτήριο (</a:t>
          </a:r>
          <a:r>
            <a:rPr lang="en-US" sz="1100" b="0" baseline="0">
              <a:solidFill>
                <a:schemeClr val="dk1"/>
              </a:solidFill>
              <a:effectLst/>
              <a:latin typeface="+mn-lt"/>
              <a:ea typeface="+mn-ea"/>
              <a:cs typeface="+mn-cs"/>
            </a:rPr>
            <a:t>Score = 1) </a:t>
          </a:r>
          <a:r>
            <a:rPr lang="el-GR" sz="1100" b="0" baseline="0">
              <a:solidFill>
                <a:schemeClr val="dk1"/>
              </a:solidFill>
              <a:effectLst/>
              <a:latin typeface="+mn-lt"/>
              <a:ea typeface="+mn-ea"/>
              <a:cs typeface="+mn-cs"/>
            </a:rPr>
            <a:t>οι μετοχές που έχουν  δείκτη κεφαλαιακής διάρθρωσης μεγαλύτερο του 100%, δηλαδή τα ίδια κεφάλαιά τους ξεπερνάνε τα ξένα.</a:t>
          </a:r>
          <a:endParaRPr lang="el-GR">
            <a:effectLst/>
          </a:endParaRPr>
        </a:p>
        <a:p>
          <a:endParaRPr lang="el-G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19050</xdr:colOff>
      <xdr:row>2</xdr:row>
      <xdr:rowOff>88900</xdr:rowOff>
    </xdr:from>
    <xdr:to>
      <xdr:col>16</xdr:col>
      <xdr:colOff>215900</xdr:colOff>
      <xdr:row>10</xdr:row>
      <xdr:rowOff>12700</xdr:rowOff>
    </xdr:to>
    <xdr:sp macro="" textlink="">
      <xdr:nvSpPr>
        <xdr:cNvPr id="2" name="TextBox 1">
          <a:extLst>
            <a:ext uri="{FF2B5EF4-FFF2-40B4-BE49-F238E27FC236}">
              <a16:creationId xmlns:a16="http://schemas.microsoft.com/office/drawing/2014/main" id="{92AB385C-E7B1-4B93-A7C7-AB48D6258DE4}"/>
            </a:ext>
          </a:extLst>
        </xdr:cNvPr>
        <xdr:cNvSpPr txBox="1"/>
      </xdr:nvSpPr>
      <xdr:spPr>
        <a:xfrm>
          <a:off x="8413750" y="641350"/>
          <a:ext cx="3854450" cy="139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baseline="0">
              <a:solidFill>
                <a:schemeClr val="tx2">
                  <a:lumMod val="75000"/>
                </a:schemeClr>
              </a:solidFill>
              <a:effectLst/>
              <a:latin typeface="+mn-lt"/>
              <a:ea typeface="+mn-ea"/>
              <a:cs typeface="+mn-cs"/>
            </a:rPr>
            <a:t>Scoring:</a:t>
          </a:r>
          <a:br>
            <a:rPr lang="en-US" sz="1100" b="0" baseline="0">
              <a:solidFill>
                <a:schemeClr val="dk1"/>
              </a:solidFill>
              <a:effectLst/>
              <a:latin typeface="+mn-lt"/>
              <a:ea typeface="+mn-ea"/>
              <a:cs typeface="+mn-cs"/>
            </a:rPr>
          </a:br>
          <a:r>
            <a:rPr lang="el-GR" sz="1100" b="0" baseline="0">
              <a:solidFill>
                <a:schemeClr val="dk1"/>
              </a:solidFill>
              <a:effectLst/>
              <a:latin typeface="+mn-lt"/>
              <a:ea typeface="+mn-ea"/>
              <a:cs typeface="+mn-cs"/>
            </a:rPr>
            <a:t>Ο τελικός πίνακας κατάταξης των κριτηρίων βάσει του </a:t>
          </a:r>
          <a:r>
            <a:rPr lang="en-US" sz="1100" b="0" baseline="0">
              <a:solidFill>
                <a:schemeClr val="dk1"/>
              </a:solidFill>
              <a:effectLst/>
              <a:latin typeface="+mn-lt"/>
              <a:ea typeface="+mn-ea"/>
              <a:cs typeface="+mn-cs"/>
            </a:rPr>
            <a:t>score </a:t>
          </a:r>
          <a:r>
            <a:rPr lang="el-GR" sz="1100" b="0" baseline="0">
              <a:solidFill>
                <a:schemeClr val="dk1"/>
              </a:solidFill>
              <a:effectLst/>
              <a:latin typeface="+mn-lt"/>
              <a:ea typeface="+mn-ea"/>
              <a:cs typeface="+mn-cs"/>
            </a:rPr>
            <a:t>τους. Η επιλογή των βαρών έγινε με γνώμονα να δοθεί ίση έμφαση στις 2 κατηγορίες κριτηρίων (ρευστότητας και κινδύνου) που έτσι καλύπτουν το 50% των βαρών ανά κατηγορία. Οι 7 κορυφαίες σε κατάταξη μετοχές θα συνιστούν την αρχική δομή του μετοχικού χαρτοφυλακίου.</a:t>
          </a:r>
          <a:endParaRPr lang="el-G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28574</xdr:colOff>
      <xdr:row>0</xdr:row>
      <xdr:rowOff>180975</xdr:rowOff>
    </xdr:from>
    <xdr:to>
      <xdr:col>19</xdr:col>
      <xdr:colOff>558799</xdr:colOff>
      <xdr:row>15</xdr:row>
      <xdr:rowOff>155575</xdr:rowOff>
    </xdr:to>
    <xdr:graphicFrame macro="">
      <xdr:nvGraphicFramePr>
        <xdr:cNvPr id="2" name="Γράφημα 1">
          <a:extLst>
            <a:ext uri="{FF2B5EF4-FFF2-40B4-BE49-F238E27FC236}">
              <a16:creationId xmlns:a16="http://schemas.microsoft.com/office/drawing/2014/main" id="{B5C0E58A-6BF6-408B-AF59-50925A65FE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22225</xdr:colOff>
      <xdr:row>17</xdr:row>
      <xdr:rowOff>41275</xdr:rowOff>
    </xdr:from>
    <xdr:to>
      <xdr:col>19</xdr:col>
      <xdr:colOff>327025</xdr:colOff>
      <xdr:row>32</xdr:row>
      <xdr:rowOff>15875</xdr:rowOff>
    </xdr:to>
    <xdr:graphicFrame macro="">
      <xdr:nvGraphicFramePr>
        <xdr:cNvPr id="3" name="Γράφημα 2">
          <a:extLst>
            <a:ext uri="{FF2B5EF4-FFF2-40B4-BE49-F238E27FC236}">
              <a16:creationId xmlns:a16="http://schemas.microsoft.com/office/drawing/2014/main" id="{76BF3B2E-229D-4412-8153-448BB121D3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22~1/AppData/Local/Temp/historydata164358.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ydata164358"/>
    </sheetNames>
    <sheetDataSet>
      <sheetData sheetId="0" refreshError="1">
        <row r="1204">
          <cell r="A1204">
            <v>43902</v>
          </cell>
        </row>
        <row r="1205">
          <cell r="A1205">
            <v>43903</v>
          </cell>
        </row>
        <row r="1206">
          <cell r="A1206">
            <v>43906</v>
          </cell>
        </row>
        <row r="1207">
          <cell r="A1207">
            <v>43907</v>
          </cell>
        </row>
        <row r="1208">
          <cell r="A1208">
            <v>43908</v>
          </cell>
        </row>
        <row r="1209">
          <cell r="A1209">
            <v>43909</v>
          </cell>
        </row>
        <row r="1210">
          <cell r="A1210">
            <v>43910</v>
          </cell>
        </row>
        <row r="1211">
          <cell r="A1211">
            <v>43913</v>
          </cell>
        </row>
        <row r="1212">
          <cell r="A1212">
            <v>43914</v>
          </cell>
        </row>
        <row r="1213">
          <cell r="A1213">
            <v>43916</v>
          </cell>
        </row>
        <row r="1214">
          <cell r="A1214">
            <v>43917</v>
          </cell>
        </row>
        <row r="1215">
          <cell r="A1215">
            <v>43920</v>
          </cell>
        </row>
        <row r="1216">
          <cell r="A1216">
            <v>43921</v>
          </cell>
        </row>
        <row r="1217">
          <cell r="A1217">
            <v>43922</v>
          </cell>
        </row>
        <row r="1218">
          <cell r="A1218">
            <v>43923</v>
          </cell>
        </row>
        <row r="1219">
          <cell r="A1219">
            <v>43924</v>
          </cell>
        </row>
        <row r="1220">
          <cell r="A1220">
            <v>43927</v>
          </cell>
        </row>
        <row r="1221">
          <cell r="A1221">
            <v>43928</v>
          </cell>
        </row>
        <row r="1222">
          <cell r="A1222">
            <v>43929</v>
          </cell>
        </row>
        <row r="1223">
          <cell r="A1223">
            <v>43930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26" Type="http://schemas.openxmlformats.org/officeDocument/2006/relationships/hyperlink" Target="https://www.naftemporiki.gr/finance/story/1593034/eydap-ae-xroniki-epektasi-isxuousas-sumbasis" TargetMode="External"/><Relationship Id="rId21" Type="http://schemas.openxmlformats.org/officeDocument/2006/relationships/hyperlink" Target="https://www.naftemporiki.gr/finance/story/1591838/ote-ae-agora-idion-metoxon" TargetMode="External"/><Relationship Id="rId42" Type="http://schemas.openxmlformats.org/officeDocument/2006/relationships/hyperlink" Target="https://www.naftemporiki.gr/finance/story/1590005/iaso-ae-anakoinosi-agoras-idion-metoxon" TargetMode="External"/><Relationship Id="rId47" Type="http://schemas.openxmlformats.org/officeDocument/2006/relationships/hyperlink" Target="https://www.naftemporiki.gr/finance/story/1600717/terna-energeiaki-abete-agora-idion-metoxon" TargetMode="External"/><Relationship Id="rId63" Type="http://schemas.openxmlformats.org/officeDocument/2006/relationships/hyperlink" Target="https://www.naftemporiki.gr/finance/story/1594175/terna-energeiaki-abete-agora-idion-metoxon" TargetMode="External"/><Relationship Id="rId68" Type="http://schemas.openxmlformats.org/officeDocument/2006/relationships/hyperlink" Target="https://www.naftemporiki.gr/finance/story/1594175/terna-energeiaki-abete-agora-idion-metoxon" TargetMode="External"/><Relationship Id="rId16" Type="http://schemas.openxmlformats.org/officeDocument/2006/relationships/hyperlink" Target="https://www.naftemporiki.gr/finance/story/1594185/ote-ae-agora-idion-metoxon" TargetMode="External"/><Relationship Id="rId11" Type="http://schemas.openxmlformats.org/officeDocument/2006/relationships/hyperlink" Target="https://www.naftemporiki.gr/finance/story/1596712/ote-ae-agora-idion-metoxon" TargetMode="External"/><Relationship Id="rId32" Type="http://schemas.openxmlformats.org/officeDocument/2006/relationships/hyperlink" Target="https://www.naftemporiki.gr/finance/story/1596276/iaso-ae-anakoinosi-agoras-idion-metoxon" TargetMode="External"/><Relationship Id="rId37" Type="http://schemas.openxmlformats.org/officeDocument/2006/relationships/hyperlink" Target="https://www.naftemporiki.gr/finance/story/1593904/iaso-ae-anakoinosi-agoras-idion-metoxon" TargetMode="External"/><Relationship Id="rId53" Type="http://schemas.openxmlformats.org/officeDocument/2006/relationships/hyperlink" Target="https://www.naftemporiki.gr/finance/story/1598222/terna-energeiaki-abete-agora-idion-metoxon" TargetMode="External"/><Relationship Id="rId58" Type="http://schemas.openxmlformats.org/officeDocument/2006/relationships/hyperlink" Target="https://www.naftemporiki.gr/finance/story/1595846/terna-energeiaki-abete-agora-idion-metoxon" TargetMode="External"/><Relationship Id="rId74" Type="http://schemas.openxmlformats.org/officeDocument/2006/relationships/hyperlink" Target="https://www.naftemporiki.gr/finance/story/1589584/titan-cement-international-sa-programma-agoras-idion-metoxon" TargetMode="External"/><Relationship Id="rId79" Type="http://schemas.openxmlformats.org/officeDocument/2006/relationships/hyperlink" Target="https://www.naftemporiki.gr/finance/story/1594873/coca-cola-hbc-ag-notification-of-transactions-by-persons-discharging-managerial-responsibilities" TargetMode="External"/><Relationship Id="rId5" Type="http://schemas.openxmlformats.org/officeDocument/2006/relationships/hyperlink" Target="https://www.naftemporiki.gr/finance/story/1599991/ote-ae-agora-idion-metoxon" TargetMode="External"/><Relationship Id="rId61" Type="http://schemas.openxmlformats.org/officeDocument/2006/relationships/hyperlink" Target="https://www.naftemporiki.gr/finance/story/1594262/terna-energeiaki-abete-apofaseis-taktikis-genikis-suneleusis-ton-metoxon-tis-29042020" TargetMode="External"/><Relationship Id="rId82" Type="http://schemas.openxmlformats.org/officeDocument/2006/relationships/hyperlink" Target="https://www.naftemporiki.gr/finance/story/1591711/olth-ae-i-epidrasi-tou-covid-19-sti-diakinisi-tou-limaniou-tis-thessalonikis" TargetMode="External"/><Relationship Id="rId19" Type="http://schemas.openxmlformats.org/officeDocument/2006/relationships/hyperlink" Target="https://www.naftemporiki.gr/finance/story/1592715/ote-ae-agora-idion-metoxon" TargetMode="External"/><Relationship Id="rId14" Type="http://schemas.openxmlformats.org/officeDocument/2006/relationships/hyperlink" Target="https://www.naftemporiki.gr/finance/story/1595450/ote-ae-agora-idion-metoxon" TargetMode="External"/><Relationship Id="rId22" Type="http://schemas.openxmlformats.org/officeDocument/2006/relationships/hyperlink" Target="https://www.naftemporiki.gr/finance/story/1591456/ote-ae-agora-idion-metoxon" TargetMode="External"/><Relationship Id="rId27" Type="http://schemas.openxmlformats.org/officeDocument/2006/relationships/hyperlink" Target="https://www.naftemporiki.gr/finance/story/1600941/iaso-ae-anakoinosi-dianomis-meroys-kerdon-proigoymenon-oikonomikon-xriseon" TargetMode="External"/><Relationship Id="rId30" Type="http://schemas.openxmlformats.org/officeDocument/2006/relationships/hyperlink" Target="https://www.naftemporiki.gr/finance/story/1598658/iaso-ae-anakoinosi-agoras-idion-metoxon" TargetMode="External"/><Relationship Id="rId35" Type="http://schemas.openxmlformats.org/officeDocument/2006/relationships/hyperlink" Target="https://www.naftemporiki.gr/finance/story/1594549/iaso-ae-anakoinosi-agoras-idion-metoxon" TargetMode="External"/><Relationship Id="rId43" Type="http://schemas.openxmlformats.org/officeDocument/2006/relationships/hyperlink" Target="https://www.naftemporiki.gr/finance/story/1596943/gr-sarantis-abee-gnostopoiisi-apokopis-dikaiomatos-merismatos-pliromis-merismatos-promerismatos" TargetMode="External"/><Relationship Id="rId48" Type="http://schemas.openxmlformats.org/officeDocument/2006/relationships/hyperlink" Target="https://www.naftemporiki.gr/finance/story/1600394/terna-energeiaki-abete-agora-idion-metoxon" TargetMode="External"/><Relationship Id="rId56" Type="http://schemas.openxmlformats.org/officeDocument/2006/relationships/hyperlink" Target="https://www.naftemporiki.gr/finance/story/1596713/terna-energeiaki-abete-agora-idion-metoxon" TargetMode="External"/><Relationship Id="rId64" Type="http://schemas.openxmlformats.org/officeDocument/2006/relationships/hyperlink" Target="https://www.naftemporiki.gr/finance/story/1594175/terna-energeiaki-abete-agora-idion-metoxon" TargetMode="External"/><Relationship Id="rId69" Type="http://schemas.openxmlformats.org/officeDocument/2006/relationships/hyperlink" Target="https://www.naftemporiki.gr/finance/story/1594175/terna-energeiaki-abete-agora-idion-metoxon" TargetMode="External"/><Relationship Id="rId77" Type="http://schemas.openxmlformats.org/officeDocument/2006/relationships/hyperlink" Target="https://www.naftemporiki.gr/finance/story/1591643/coca-cola-hbc-ag-notification-of-transactions-by-persons-discharging-managerial-responsibilities" TargetMode="External"/><Relationship Id="rId8" Type="http://schemas.openxmlformats.org/officeDocument/2006/relationships/hyperlink" Target="https://www.naftemporiki.gr/finance/story/1598228/ote-ae-agora-idion-metoxon" TargetMode="External"/><Relationship Id="rId51" Type="http://schemas.openxmlformats.org/officeDocument/2006/relationships/hyperlink" Target="https://www.naftemporiki.gr/finance/story/1598931/terna-energeiaki-abete-agora-idion-metoxon" TargetMode="External"/><Relationship Id="rId72" Type="http://schemas.openxmlformats.org/officeDocument/2006/relationships/hyperlink" Target="https://www.naftemporiki.gr/finance/story/1598236/titan-cement-international-sa-programma-agoras-idion-metoxon" TargetMode="External"/><Relationship Id="rId80" Type="http://schemas.openxmlformats.org/officeDocument/2006/relationships/hyperlink" Target="https://www.naftemporiki.gr/finance/story/1598930/coca-cola-hbc-ag-announcement-of-the-annual-general-meeting-to-be-held-on-16-June-2020-changes-to-the-board-and-confirmation-of-dividen" TargetMode="External"/><Relationship Id="rId3" Type="http://schemas.openxmlformats.org/officeDocument/2006/relationships/hyperlink" Target="https://www.naftemporiki.gr/finance/story/1600710/ote-ae-agora-idion-metoxon" TargetMode="External"/><Relationship Id="rId12" Type="http://schemas.openxmlformats.org/officeDocument/2006/relationships/hyperlink" Target="https://www.naftemporiki.gr/finance/story/1596240/ote-ae-agora-idion-metoxon" TargetMode="External"/><Relationship Id="rId17" Type="http://schemas.openxmlformats.org/officeDocument/2006/relationships/hyperlink" Target="https://www.naftemporiki.gr/finance/story/1593805/ote-ae-agora-idion-metoxon" TargetMode="External"/><Relationship Id="rId25" Type="http://schemas.openxmlformats.org/officeDocument/2006/relationships/hyperlink" Target="https://www.naftemporiki.gr/finance/story/1599506/eydap-ae-apotelesmata-psifoforias-ektaktis-genikis-syneleysis" TargetMode="External"/><Relationship Id="rId33" Type="http://schemas.openxmlformats.org/officeDocument/2006/relationships/hyperlink" Target="https://www.naftemporiki.gr/finance/story/1595898/iaso-ae-anakoinosi-agoras-idion-metoxon" TargetMode="External"/><Relationship Id="rId38" Type="http://schemas.openxmlformats.org/officeDocument/2006/relationships/hyperlink" Target="https://www.naftemporiki.gr/finance/story/1593512/iaso-ae-anakoinosi-agoras-idion-metoxon" TargetMode="External"/><Relationship Id="rId46" Type="http://schemas.openxmlformats.org/officeDocument/2006/relationships/hyperlink" Target="https://www.naftemporiki.gr/finance/story/1596556/autohellas-atee-anakoinosi-se-sxesi-me-ta-dimosieumata-gia-tin-hertz-global-holdings" TargetMode="External"/><Relationship Id="rId59" Type="http://schemas.openxmlformats.org/officeDocument/2006/relationships/hyperlink" Target="https://www.naftemporiki.gr/finance/story/1595419/terna-energeiaki-abete-agora-idion-metoxon" TargetMode="External"/><Relationship Id="rId67" Type="http://schemas.openxmlformats.org/officeDocument/2006/relationships/hyperlink" Target="https://www.naftemporiki.gr/finance/story/1594175/terna-energeiaki-abete-agora-idion-metoxon" TargetMode="External"/><Relationship Id="rId20" Type="http://schemas.openxmlformats.org/officeDocument/2006/relationships/hyperlink" Target="https://www.naftemporiki.gr/finance/story/1592272/ote-ae-agora-idion-metoxon" TargetMode="External"/><Relationship Id="rId41" Type="http://schemas.openxmlformats.org/officeDocument/2006/relationships/hyperlink" Target="https://www.naftemporiki.gr/finance/story/1591945/iaso-ae-anakoinosi-agoras-idion-metoxon" TargetMode="External"/><Relationship Id="rId54" Type="http://schemas.openxmlformats.org/officeDocument/2006/relationships/hyperlink" Target="https://www.naftemporiki.gr/finance/story/1597868/terna-energeiaki-abete-agora-idion-metoxon" TargetMode="External"/><Relationship Id="rId62" Type="http://schemas.openxmlformats.org/officeDocument/2006/relationships/hyperlink" Target="https://www.naftemporiki.gr/finance/story/1594175/terna-energeiaki-abete-agora-idion-metoxon" TargetMode="External"/><Relationship Id="rId70" Type="http://schemas.openxmlformats.org/officeDocument/2006/relationships/hyperlink" Target="https://www.naftemporiki.gr/finance/story/1600720/titan-cement-international-sa-gnostopoiisi-apofasis-gia-tin-agora-idion-metoxon" TargetMode="External"/><Relationship Id="rId75" Type="http://schemas.openxmlformats.org/officeDocument/2006/relationships/hyperlink" Target="https://www.naftemporiki.gr/finance/story/1591451/titan-cement-international-sa-programma-agoras-idion-metoxon" TargetMode="External"/><Relationship Id="rId83" Type="http://schemas.openxmlformats.org/officeDocument/2006/relationships/hyperlink" Target="https://www.naftemporiki.gr/finance/story/1594843/olth-ae-anakoinosi-3042020-olth-ae" TargetMode="External"/><Relationship Id="rId1" Type="http://schemas.openxmlformats.org/officeDocument/2006/relationships/hyperlink" Target="https://www.naftemporiki.gr/finance/story/1597977/opap-ae-epanaleitourgia-katastimaton-opap" TargetMode="External"/><Relationship Id="rId6" Type="http://schemas.openxmlformats.org/officeDocument/2006/relationships/hyperlink" Target="https://www.naftemporiki.gr/finance/story/1598929/ote-ae-agora-idion-metoxon" TargetMode="External"/><Relationship Id="rId15" Type="http://schemas.openxmlformats.org/officeDocument/2006/relationships/hyperlink" Target="https://www.naftemporiki.gr/finance/story/1594565/ote-ae-agora-idion-metoxon" TargetMode="External"/><Relationship Id="rId23" Type="http://schemas.openxmlformats.org/officeDocument/2006/relationships/hyperlink" Target="https://www.naftemporiki.gr/finance/story/1590452/ote-ae-agora-idion-metoxon" TargetMode="External"/><Relationship Id="rId28" Type="http://schemas.openxmlformats.org/officeDocument/2006/relationships/hyperlink" Target="https://www.naftemporiki.gr/finance/story/1600066/iaso-ae-anakoinosi-agoras-idion-metoxon" TargetMode="External"/><Relationship Id="rId36" Type="http://schemas.openxmlformats.org/officeDocument/2006/relationships/hyperlink" Target="https://www.naftemporiki.gr/finance/story/1594233/iaso-ae-anakoinosi-agoras-idion-metoxon" TargetMode="External"/><Relationship Id="rId49" Type="http://schemas.openxmlformats.org/officeDocument/2006/relationships/hyperlink" Target="https://www.naftemporiki.gr/finance/story/1599969/terna-energeiaki-abete-agora-idion-metoxon" TargetMode="External"/><Relationship Id="rId57" Type="http://schemas.openxmlformats.org/officeDocument/2006/relationships/hyperlink" Target="https://www.naftemporiki.gr/finance/story/1596242/terna-energeiaki-abete-agora-idion-metoxon" TargetMode="External"/><Relationship Id="rId10" Type="http://schemas.openxmlformats.org/officeDocument/2006/relationships/hyperlink" Target="https://www.naftemporiki.gr/finance/story/1597144/ote-ae-agora-idion-metoxon" TargetMode="External"/><Relationship Id="rId31" Type="http://schemas.openxmlformats.org/officeDocument/2006/relationships/hyperlink" Target="https://www.naftemporiki.gr/finance/story/1597888/iaso-ae-anakoinosi-agoras-idion-metoxon" TargetMode="External"/><Relationship Id="rId44" Type="http://schemas.openxmlformats.org/officeDocument/2006/relationships/hyperlink" Target="https://www.naftemporiki.gr/finance/story/1597984/olp-ae-ergo-epektasis-tou-epibatikou-limena-notia-zoni-fasi-a" TargetMode="External"/><Relationship Id="rId52" Type="http://schemas.openxmlformats.org/officeDocument/2006/relationships/hyperlink" Target="https://www.naftemporiki.gr/finance/story/1598581/terna-energeiaki-abete-agora-idion-metoxon" TargetMode="External"/><Relationship Id="rId60" Type="http://schemas.openxmlformats.org/officeDocument/2006/relationships/hyperlink" Target="https://www.naftemporiki.gr/finance/story/1594550/terna-energeiaki-abete-agora-idion-metoxon" TargetMode="External"/><Relationship Id="rId65" Type="http://schemas.openxmlformats.org/officeDocument/2006/relationships/hyperlink" Target="https://www.naftemporiki.gr/finance/story/1594175/terna-energeiaki-abete-agora-idion-metoxon" TargetMode="External"/><Relationship Id="rId73" Type="http://schemas.openxmlformats.org/officeDocument/2006/relationships/hyperlink" Target="https://www.naftemporiki.gr/finance/story/1595853/titan-cement-international-sa-programma-agoras-idion-metoxon" TargetMode="External"/><Relationship Id="rId78" Type="http://schemas.openxmlformats.org/officeDocument/2006/relationships/hyperlink" Target="https://www.naftemporiki.gr/finance/story/1593690/coca-cola-hbc-ag-disclosure-of-rights-attached-to-equity-shares" TargetMode="External"/><Relationship Id="rId81" Type="http://schemas.openxmlformats.org/officeDocument/2006/relationships/hyperlink" Target="https://www.naftemporiki.gr/finance/story/1600523/coca-cola-hbc-ag-notification-of-transactions-by-persons-discharging-managerial-responsibilities" TargetMode="External"/><Relationship Id="rId4" Type="http://schemas.openxmlformats.org/officeDocument/2006/relationships/hyperlink" Target="https://www.naftemporiki.gr/finance/story/1600379/ote-ae-agora-idion-metoxon" TargetMode="External"/><Relationship Id="rId9" Type="http://schemas.openxmlformats.org/officeDocument/2006/relationships/hyperlink" Target="https://www.naftemporiki.gr/finance/story/1597873/ote-ae-agora-idion-metoxon" TargetMode="External"/><Relationship Id="rId13" Type="http://schemas.openxmlformats.org/officeDocument/2006/relationships/hyperlink" Target="https://www.naftemporiki.gr/finance/story/1595845/ote-ae-agora-idion-metoxon" TargetMode="External"/><Relationship Id="rId18" Type="http://schemas.openxmlformats.org/officeDocument/2006/relationships/hyperlink" Target="https://www.naftemporiki.gr/finance/story/1593396/ote-ae-agora-idion-metoxon" TargetMode="External"/><Relationship Id="rId39" Type="http://schemas.openxmlformats.org/officeDocument/2006/relationships/hyperlink" Target="https://www.naftemporiki.gr/finance/story/1592656/iaso-ae-anakoinosi-agoras-idion-metoxon" TargetMode="External"/><Relationship Id="rId34" Type="http://schemas.openxmlformats.org/officeDocument/2006/relationships/hyperlink" Target="https://www.naftemporiki.gr/finance/story/1595525/iaso-ae-anakoinosi-agoras-idion-metoxon" TargetMode="External"/><Relationship Id="rId50" Type="http://schemas.openxmlformats.org/officeDocument/2006/relationships/hyperlink" Target="https://www.naftemporiki.gr/finance/story/1599340/terna-energeiaki-abete-agora-idion-metoxon" TargetMode="External"/><Relationship Id="rId55" Type="http://schemas.openxmlformats.org/officeDocument/2006/relationships/hyperlink" Target="https://www.naftemporiki.gr/finance/story/1597140/terna-energeiaki-abete-agora-idion-metoxon" TargetMode="External"/><Relationship Id="rId76" Type="http://schemas.openxmlformats.org/officeDocument/2006/relationships/hyperlink" Target="https://www.naftemporiki.gr/finance/story/1593782/titan-cement-international-sa-programma-agoras-idion-metoxon" TargetMode="External"/><Relationship Id="rId7" Type="http://schemas.openxmlformats.org/officeDocument/2006/relationships/hyperlink" Target="https://www.naftemporiki.gr/finance/story/1598574/ote-ae-agora-idion-metoxon" TargetMode="External"/><Relationship Id="rId71" Type="http://schemas.openxmlformats.org/officeDocument/2006/relationships/hyperlink" Target="https://www.naftemporiki.gr/finance/story/1598864/titan-cement-international-sa-epistrofi-kefalaiou" TargetMode="External"/><Relationship Id="rId2" Type="http://schemas.openxmlformats.org/officeDocument/2006/relationships/hyperlink" Target="https://www.naftemporiki.gr/finance/story/1591437/opap-ae-ependusi-sti-stoiximan" TargetMode="External"/><Relationship Id="rId29" Type="http://schemas.openxmlformats.org/officeDocument/2006/relationships/hyperlink" Target="https://www.naftemporiki.gr/finance/story/1599455/iaso-ae-anakoinosi-agoras-idion-metoxon" TargetMode="External"/><Relationship Id="rId24" Type="http://schemas.openxmlformats.org/officeDocument/2006/relationships/hyperlink" Target="https://www.naftemporiki.gr/finance/story/1589995/ote-ae-agora-idion-metoxon" TargetMode="External"/><Relationship Id="rId40" Type="http://schemas.openxmlformats.org/officeDocument/2006/relationships/hyperlink" Target="https://www.naftemporiki.gr/finance/story/1592261/iaso-ae-anakoinosi-agoras-idion-metoxon" TargetMode="External"/><Relationship Id="rId45" Type="http://schemas.openxmlformats.org/officeDocument/2006/relationships/hyperlink" Target="https://www.naftemporiki.gr/finance/story/1600221/eurobank-ergasias-ypiresion-anakoinosi-kratous-melous-katagogis" TargetMode="External"/><Relationship Id="rId66" Type="http://schemas.openxmlformats.org/officeDocument/2006/relationships/hyperlink" Target="https://www.naftemporiki.gr/finance/story/1594175/terna-energeiaki-abete-agora-idion-metoxon"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066D4-2B92-4608-90B9-FF9F778E6446}">
  <sheetPr>
    <tabColor theme="7" tint="0.79998168889431442"/>
  </sheetPr>
  <dimension ref="A1:I102"/>
  <sheetViews>
    <sheetView topLeftCell="A21" zoomScale="93" zoomScaleNormal="93" workbookViewId="0">
      <selection activeCell="E33" sqref="E33"/>
    </sheetView>
  </sheetViews>
  <sheetFormatPr baseColWidth="10" defaultColWidth="8.83203125" defaultRowHeight="15"/>
  <cols>
    <col min="1" max="1" width="8.6640625" style="7"/>
    <col min="2" max="2" width="9.5" bestFit="1" customWidth="1"/>
    <col min="3" max="3" width="32.1640625" bestFit="1" customWidth="1"/>
    <col min="4" max="4" width="20.6640625" bestFit="1" customWidth="1"/>
    <col min="5" max="5" width="46" bestFit="1" customWidth="1"/>
    <col min="6" max="6" width="18.33203125" style="38" bestFit="1" customWidth="1"/>
    <col min="8" max="8" width="11.1640625" bestFit="1" customWidth="1"/>
    <col min="9" max="9" width="15.83203125" bestFit="1" customWidth="1"/>
  </cols>
  <sheetData>
    <row r="1" spans="1:9">
      <c r="B1" s="8"/>
      <c r="C1" s="8"/>
      <c r="D1" s="8"/>
      <c r="E1" s="8"/>
      <c r="F1" s="23"/>
    </row>
    <row r="2" spans="1:9">
      <c r="B2" s="22" t="s">
        <v>0</v>
      </c>
      <c r="C2" s="22" t="s">
        <v>1</v>
      </c>
      <c r="D2" s="22" t="s">
        <v>2</v>
      </c>
      <c r="E2" s="22" t="s">
        <v>3</v>
      </c>
      <c r="F2" s="24" t="s">
        <v>108</v>
      </c>
    </row>
    <row r="3" spans="1:9">
      <c r="A3" s="10">
        <v>1</v>
      </c>
      <c r="B3" s="11" t="s">
        <v>4</v>
      </c>
      <c r="C3" s="11" t="s">
        <v>5</v>
      </c>
      <c r="D3" s="11" t="s">
        <v>96</v>
      </c>
      <c r="E3" s="11" t="s">
        <v>93</v>
      </c>
      <c r="F3" s="25">
        <f>1543699381*0.65</f>
        <v>1003404597.65</v>
      </c>
    </row>
    <row r="4" spans="1:9">
      <c r="A4" s="10">
        <v>2</v>
      </c>
      <c r="B4" s="11" t="s">
        <v>8</v>
      </c>
      <c r="C4" s="11" t="s">
        <v>9</v>
      </c>
      <c r="D4" s="11" t="s">
        <v>96</v>
      </c>
      <c r="E4" s="11" t="s">
        <v>93</v>
      </c>
      <c r="F4" s="25">
        <f>0.397*3709161852</f>
        <v>1472537255.244</v>
      </c>
      <c r="H4" s="63" t="s">
        <v>119</v>
      </c>
      <c r="I4" s="64">
        <f>AVERAGE(F3:F7)</f>
        <v>817208716.13419998</v>
      </c>
    </row>
    <row r="5" spans="1:9">
      <c r="A5" s="10">
        <v>3</v>
      </c>
      <c r="B5" s="11" t="s">
        <v>30</v>
      </c>
      <c r="C5" s="11" t="s">
        <v>107</v>
      </c>
      <c r="D5" s="11" t="s">
        <v>96</v>
      </c>
      <c r="E5" s="11" t="s">
        <v>93</v>
      </c>
      <c r="F5" s="25">
        <f>1.09*914715153</f>
        <v>997039516.7700001</v>
      </c>
    </row>
    <row r="6" spans="1:9">
      <c r="A6" s="10">
        <v>4</v>
      </c>
      <c r="B6" s="11" t="s">
        <v>51</v>
      </c>
      <c r="C6" s="11" t="s">
        <v>52</v>
      </c>
      <c r="D6" s="11" t="s">
        <v>96</v>
      </c>
      <c r="E6" s="11" t="s">
        <v>93</v>
      </c>
      <c r="F6" s="25">
        <f>1.198*436659164</f>
        <v>523117678.472</v>
      </c>
    </row>
    <row r="7" spans="1:9">
      <c r="A7" s="10">
        <v>5</v>
      </c>
      <c r="B7" s="11" t="s">
        <v>53</v>
      </c>
      <c r="C7" s="11" t="s">
        <v>54</v>
      </c>
      <c r="D7" s="11" t="s">
        <v>97</v>
      </c>
      <c r="E7" s="11" t="s">
        <v>93</v>
      </c>
      <c r="F7" s="25">
        <f>0.195*461254013</f>
        <v>89944532.534999996</v>
      </c>
    </row>
    <row r="8" spans="1:9">
      <c r="A8" s="10">
        <v>6</v>
      </c>
      <c r="B8" s="12" t="s">
        <v>41</v>
      </c>
      <c r="C8" s="12" t="s">
        <v>42</v>
      </c>
      <c r="D8" s="12" t="s">
        <v>96</v>
      </c>
      <c r="E8" s="12" t="s">
        <v>95</v>
      </c>
      <c r="F8" s="26">
        <f>6.2*142891161</f>
        <v>885925198.20000005</v>
      </c>
    </row>
    <row r="9" spans="1:9">
      <c r="A9" s="10">
        <v>7</v>
      </c>
      <c r="B9" s="12" t="s">
        <v>18</v>
      </c>
      <c r="C9" s="12" t="s">
        <v>19</v>
      </c>
      <c r="D9" s="12" t="s">
        <v>96</v>
      </c>
      <c r="E9" s="12" t="s">
        <v>95</v>
      </c>
      <c r="F9" s="26">
        <f>1.824*259189761</f>
        <v>472762124.06400001</v>
      </c>
    </row>
    <row r="10" spans="1:9">
      <c r="A10" s="10">
        <v>8</v>
      </c>
      <c r="B10" s="12" t="s">
        <v>45</v>
      </c>
      <c r="C10" s="12" t="s">
        <v>46</v>
      </c>
      <c r="D10" s="12" t="s">
        <v>96</v>
      </c>
      <c r="E10" s="12" t="s">
        <v>95</v>
      </c>
      <c r="F10" s="26">
        <f>15.98*25000000</f>
        <v>399500000</v>
      </c>
      <c r="H10" s="65" t="s">
        <v>119</v>
      </c>
      <c r="I10" s="64">
        <f>AVERAGE(F8:F13)</f>
        <v>358266498.16066664</v>
      </c>
    </row>
    <row r="11" spans="1:9">
      <c r="A11" s="10">
        <v>9</v>
      </c>
      <c r="B11" s="13" t="s">
        <v>57</v>
      </c>
      <c r="C11" s="13" t="s">
        <v>58</v>
      </c>
      <c r="D11" s="12" t="s">
        <v>97</v>
      </c>
      <c r="E11" s="12" t="s">
        <v>95</v>
      </c>
      <c r="F11" s="26">
        <f>0.79*190162681</f>
        <v>150228517.99000001</v>
      </c>
    </row>
    <row r="12" spans="1:9">
      <c r="A12" s="10">
        <v>10</v>
      </c>
      <c r="B12" s="13" t="s">
        <v>69</v>
      </c>
      <c r="C12" s="13" t="s">
        <v>70</v>
      </c>
      <c r="D12" s="12" t="s">
        <v>97</v>
      </c>
      <c r="E12" s="12" t="s">
        <v>95</v>
      </c>
      <c r="F12" s="26">
        <f>1.33*26730187</f>
        <v>35551148.710000001</v>
      </c>
    </row>
    <row r="13" spans="1:9">
      <c r="A13" s="10">
        <v>11</v>
      </c>
      <c r="B13" s="12" t="s">
        <v>85</v>
      </c>
      <c r="C13" s="12" t="s">
        <v>86</v>
      </c>
      <c r="D13" s="12" t="s">
        <v>97</v>
      </c>
      <c r="E13" s="12" t="s">
        <v>95</v>
      </c>
      <c r="F13" s="26">
        <f>20.4*10080000</f>
        <v>205632000</v>
      </c>
    </row>
    <row r="14" spans="1:9">
      <c r="A14" s="10">
        <v>12</v>
      </c>
      <c r="B14" s="14" t="s">
        <v>6</v>
      </c>
      <c r="C14" s="14" t="s">
        <v>7</v>
      </c>
      <c r="D14" s="14" t="s">
        <v>96</v>
      </c>
      <c r="E14" s="14" t="s">
        <v>98</v>
      </c>
      <c r="F14" s="27">
        <f>369930157*18.005</f>
        <v>6660592476.7849998</v>
      </c>
    </row>
    <row r="15" spans="1:9">
      <c r="A15" s="10">
        <v>13</v>
      </c>
      <c r="B15" s="14" t="s">
        <v>81</v>
      </c>
      <c r="C15" s="14" t="s">
        <v>82</v>
      </c>
      <c r="D15" s="14" t="s">
        <v>97</v>
      </c>
      <c r="E15" s="14" t="s">
        <v>98</v>
      </c>
      <c r="F15" s="27">
        <f>4.35*33065136</f>
        <v>143833341.59999999</v>
      </c>
    </row>
    <row r="16" spans="1:9">
      <c r="A16" s="10">
        <v>14</v>
      </c>
      <c r="B16" s="2" t="s">
        <v>12</v>
      </c>
      <c r="C16" s="2" t="s">
        <v>13</v>
      </c>
      <c r="D16" s="2" t="s">
        <v>96</v>
      </c>
      <c r="E16" s="2" t="s">
        <v>99</v>
      </c>
      <c r="F16" s="28">
        <f>12.1*136059759</f>
        <v>1646323083.8999999</v>
      </c>
    </row>
    <row r="17" spans="1:9">
      <c r="A17" s="10">
        <v>15</v>
      </c>
      <c r="B17" s="2" t="s">
        <v>91</v>
      </c>
      <c r="C17" s="2" t="s">
        <v>92</v>
      </c>
      <c r="D17" s="2" t="s">
        <v>97</v>
      </c>
      <c r="E17" s="2" t="s">
        <v>99</v>
      </c>
      <c r="F17" s="28">
        <f>1.48*40693350</f>
        <v>60226158</v>
      </c>
    </row>
    <row r="18" spans="1:9">
      <c r="A18" s="10">
        <v>16</v>
      </c>
      <c r="B18" s="2" t="s">
        <v>10</v>
      </c>
      <c r="C18" s="2" t="s">
        <v>11</v>
      </c>
      <c r="D18" s="2" t="s">
        <v>96</v>
      </c>
      <c r="E18" s="2" t="s">
        <v>99</v>
      </c>
      <c r="F18" s="28">
        <f>3.245*52004961</f>
        <v>168756098.44499999</v>
      </c>
      <c r="H18" s="66" t="s">
        <v>119</v>
      </c>
      <c r="I18" s="64">
        <f>AVERAGE(F16:F19)</f>
        <v>592509481.7662499</v>
      </c>
    </row>
    <row r="19" spans="1:9">
      <c r="A19" s="10">
        <v>17</v>
      </c>
      <c r="B19" s="2" t="s">
        <v>26</v>
      </c>
      <c r="C19" s="2" t="s">
        <v>27</v>
      </c>
      <c r="D19" s="2" t="s">
        <v>96</v>
      </c>
      <c r="E19" s="2" t="s">
        <v>99</v>
      </c>
      <c r="F19" s="28">
        <f>7.08*69877484</f>
        <v>494732586.72000003</v>
      </c>
    </row>
    <row r="20" spans="1:9">
      <c r="A20" s="10">
        <v>18</v>
      </c>
      <c r="B20" s="15" t="s">
        <v>14</v>
      </c>
      <c r="C20" s="15" t="s">
        <v>15</v>
      </c>
      <c r="D20" s="16" t="s">
        <v>96</v>
      </c>
      <c r="E20" s="16" t="s">
        <v>100</v>
      </c>
      <c r="F20" s="29">
        <f>5.58*176736715</f>
        <v>986190869.70000005</v>
      </c>
    </row>
    <row r="21" spans="1:9">
      <c r="A21" s="10">
        <v>19</v>
      </c>
      <c r="B21" s="15" t="s">
        <v>83</v>
      </c>
      <c r="C21" s="15" t="s">
        <v>84</v>
      </c>
      <c r="D21" s="16" t="s">
        <v>97</v>
      </c>
      <c r="E21" s="16" t="s">
        <v>100</v>
      </c>
      <c r="F21" s="29">
        <f>1.166*19804134</f>
        <v>23091620.243999999</v>
      </c>
    </row>
    <row r="22" spans="1:9">
      <c r="A22" s="10">
        <v>20</v>
      </c>
      <c r="B22" s="15" t="s">
        <v>61</v>
      </c>
      <c r="C22" s="15" t="s">
        <v>62</v>
      </c>
      <c r="D22" s="16" t="s">
        <v>97</v>
      </c>
      <c r="E22" s="16" t="s">
        <v>100</v>
      </c>
      <c r="F22" s="29">
        <f>0.054*939510748</f>
        <v>50733580.391999997</v>
      </c>
      <c r="H22" s="67" t="s">
        <v>119</v>
      </c>
      <c r="I22" s="64">
        <f>AVERAGE(F20:F24)</f>
        <v>266272290.06720001</v>
      </c>
    </row>
    <row r="23" spans="1:9">
      <c r="A23" s="10">
        <v>21</v>
      </c>
      <c r="B23" s="15" t="s">
        <v>59</v>
      </c>
      <c r="C23" s="15" t="s">
        <v>60</v>
      </c>
      <c r="D23" s="16" t="s">
        <v>97</v>
      </c>
      <c r="E23" s="16" t="s">
        <v>100</v>
      </c>
      <c r="F23" s="29">
        <f>6.1*10500000</f>
        <v>64049999.999999993</v>
      </c>
    </row>
    <row r="24" spans="1:9">
      <c r="A24" s="10">
        <v>22</v>
      </c>
      <c r="B24" s="15" t="s">
        <v>31</v>
      </c>
      <c r="C24" s="15" t="s">
        <v>32</v>
      </c>
      <c r="D24" s="16" t="s">
        <v>96</v>
      </c>
      <c r="E24" s="16" t="s">
        <v>100</v>
      </c>
      <c r="F24" s="29">
        <f>3.435*60348000</f>
        <v>207295380</v>
      </c>
    </row>
    <row r="25" spans="1:9">
      <c r="A25" s="10">
        <v>23</v>
      </c>
      <c r="B25" s="1" t="s">
        <v>20</v>
      </c>
      <c r="C25" s="1" t="s">
        <v>21</v>
      </c>
      <c r="D25" s="1" t="s">
        <v>96</v>
      </c>
      <c r="E25" s="1" t="s">
        <v>101</v>
      </c>
      <c r="F25" s="30">
        <f>1.95*232000000</f>
        <v>452400000</v>
      </c>
    </row>
    <row r="26" spans="1:9">
      <c r="A26" s="10">
        <v>24</v>
      </c>
      <c r="B26" s="1" t="s">
        <v>28</v>
      </c>
      <c r="C26" s="1" t="s">
        <v>29</v>
      </c>
      <c r="D26" s="1" t="s">
        <v>96</v>
      </c>
      <c r="E26" s="1" t="s">
        <v>101</v>
      </c>
      <c r="F26" s="30">
        <f>2.2*232000000</f>
        <v>510400000.00000006</v>
      </c>
      <c r="H26" s="68" t="s">
        <v>119</v>
      </c>
      <c r="I26" s="64">
        <f>AVERAGE(F25:F28)</f>
        <v>623838240.12</v>
      </c>
    </row>
    <row r="27" spans="1:9">
      <c r="A27" s="10">
        <v>25</v>
      </c>
      <c r="B27" s="1" t="s">
        <v>37</v>
      </c>
      <c r="C27" s="1" t="s">
        <v>38</v>
      </c>
      <c r="D27" s="1" t="s">
        <v>96</v>
      </c>
      <c r="E27" s="1" t="s">
        <v>101</v>
      </c>
      <c r="F27" s="30">
        <f>6.71*106500000</f>
        <v>714615000</v>
      </c>
    </row>
    <row r="28" spans="1:9">
      <c r="A28" s="10">
        <v>26</v>
      </c>
      <c r="B28" s="1" t="s">
        <v>49</v>
      </c>
      <c r="C28" s="1" t="s">
        <v>50</v>
      </c>
      <c r="D28" s="1" t="s">
        <v>96</v>
      </c>
      <c r="E28" s="1" t="s">
        <v>101</v>
      </c>
      <c r="F28" s="30">
        <f>7.18*113918936</f>
        <v>817937960.48000002</v>
      </c>
    </row>
    <row r="29" spans="1:9">
      <c r="A29" s="10">
        <v>27</v>
      </c>
      <c r="B29" s="3" t="s">
        <v>43</v>
      </c>
      <c r="C29" s="3" t="s">
        <v>44</v>
      </c>
      <c r="D29" s="3" t="s">
        <v>96</v>
      </c>
      <c r="E29" s="3" t="s">
        <v>102</v>
      </c>
      <c r="F29" s="31">
        <f>6.93*334707816</f>
        <v>2319525164.8800001</v>
      </c>
    </row>
    <row r="30" spans="1:9">
      <c r="A30" s="10">
        <v>28</v>
      </c>
      <c r="B30" s="3" t="s">
        <v>79</v>
      </c>
      <c r="C30" s="3" t="s">
        <v>80</v>
      </c>
      <c r="D30" s="3" t="s">
        <v>97</v>
      </c>
      <c r="E30" s="3" t="s">
        <v>102</v>
      </c>
      <c r="F30" s="31">
        <f>0.135*156961721</f>
        <v>21189832.335000001</v>
      </c>
      <c r="H30" s="69" t="s">
        <v>119</v>
      </c>
      <c r="I30" s="64">
        <f>AVERAGE(F29:F32)</f>
        <v>709698124.05375004</v>
      </c>
    </row>
    <row r="31" spans="1:9">
      <c r="A31" s="10">
        <v>29</v>
      </c>
      <c r="B31" s="3" t="s">
        <v>55</v>
      </c>
      <c r="C31" s="3" t="s">
        <v>56</v>
      </c>
      <c r="D31" s="3" t="s">
        <v>97</v>
      </c>
      <c r="E31" s="3" t="s">
        <v>102</v>
      </c>
      <c r="F31" s="31">
        <f>4.07*48855000</f>
        <v>198839850</v>
      </c>
    </row>
    <row r="32" spans="1:9">
      <c r="A32" s="10">
        <v>30</v>
      </c>
      <c r="B32" s="3" t="s">
        <v>22</v>
      </c>
      <c r="C32" s="3" t="s">
        <v>23</v>
      </c>
      <c r="D32" s="3" t="s">
        <v>96</v>
      </c>
      <c r="E32" s="3" t="s">
        <v>102</v>
      </c>
      <c r="F32" s="31">
        <f>4.19*71417100</f>
        <v>299237649</v>
      </c>
    </row>
    <row r="33" spans="1:9">
      <c r="A33" s="10">
        <v>31</v>
      </c>
      <c r="B33" s="17" t="s">
        <v>16</v>
      </c>
      <c r="C33" s="17" t="s">
        <v>17</v>
      </c>
      <c r="D33" s="17" t="s">
        <v>96</v>
      </c>
      <c r="E33" s="17" t="s">
        <v>103</v>
      </c>
      <c r="F33" s="32">
        <f>10.48*82447868</f>
        <v>864053656.63999999</v>
      </c>
    </row>
    <row r="34" spans="1:9">
      <c r="A34" s="10">
        <v>32</v>
      </c>
      <c r="B34" s="17" t="s">
        <v>24</v>
      </c>
      <c r="C34" s="17" t="s">
        <v>25</v>
      </c>
      <c r="D34" s="17" t="s">
        <v>96</v>
      </c>
      <c r="E34" s="17" t="s">
        <v>103</v>
      </c>
      <c r="F34" s="32">
        <f>5.15*103423291</f>
        <v>532629948.65000004</v>
      </c>
    </row>
    <row r="35" spans="1:9">
      <c r="A35" s="10">
        <v>33</v>
      </c>
      <c r="B35" s="17" t="s">
        <v>33</v>
      </c>
      <c r="C35" s="17" t="s">
        <v>34</v>
      </c>
      <c r="D35" s="17" t="s">
        <v>96</v>
      </c>
      <c r="E35" s="17" t="s">
        <v>103</v>
      </c>
      <c r="F35" s="32">
        <f>0.585*214272003</f>
        <v>125349121.755</v>
      </c>
      <c r="H35" s="70" t="s">
        <v>119</v>
      </c>
      <c r="I35" s="64">
        <f>AVERAGE(F33:F38)</f>
        <v>276093344.26416665</v>
      </c>
    </row>
    <row r="36" spans="1:9">
      <c r="A36" s="10">
        <v>34</v>
      </c>
      <c r="B36" s="17" t="s">
        <v>67</v>
      </c>
      <c r="C36" s="17" t="s">
        <v>68</v>
      </c>
      <c r="D36" s="17" t="s">
        <v>97</v>
      </c>
      <c r="E36" s="17" t="s">
        <v>103</v>
      </c>
      <c r="F36" s="32">
        <f>0.281*144321516</f>
        <v>40554345.996000007</v>
      </c>
    </row>
    <row r="37" spans="1:9">
      <c r="A37" s="10">
        <v>35</v>
      </c>
      <c r="B37" s="17" t="s">
        <v>73</v>
      </c>
      <c r="C37" s="17" t="s">
        <v>74</v>
      </c>
      <c r="D37" s="17" t="s">
        <v>97</v>
      </c>
      <c r="E37" s="17" t="s">
        <v>103</v>
      </c>
      <c r="F37" s="32">
        <f>0.629*114320400</f>
        <v>71907531.599999994</v>
      </c>
    </row>
    <row r="38" spans="1:9">
      <c r="A38" s="10">
        <v>36</v>
      </c>
      <c r="B38" s="17" t="s">
        <v>77</v>
      </c>
      <c r="C38" s="17" t="s">
        <v>78</v>
      </c>
      <c r="D38" s="17" t="s">
        <v>97</v>
      </c>
      <c r="E38" s="17" t="s">
        <v>103</v>
      </c>
      <c r="F38" s="32">
        <f>0.724*30477156</f>
        <v>22065460.943999998</v>
      </c>
    </row>
    <row r="39" spans="1:9">
      <c r="A39" s="10">
        <v>37</v>
      </c>
      <c r="B39" s="4" t="s">
        <v>35</v>
      </c>
      <c r="C39" s="4" t="s">
        <v>36</v>
      </c>
      <c r="D39" s="18" t="s">
        <v>96</v>
      </c>
      <c r="E39" s="4" t="s">
        <v>104</v>
      </c>
      <c r="F39" s="33">
        <f>5.2*305635185</f>
        <v>1589302962</v>
      </c>
    </row>
    <row r="40" spans="1:9">
      <c r="A40" s="10">
        <v>38</v>
      </c>
      <c r="B40" s="4" t="s">
        <v>39</v>
      </c>
      <c r="C40" s="4" t="s">
        <v>40</v>
      </c>
      <c r="D40" s="18" t="s">
        <v>96</v>
      </c>
      <c r="E40" s="4" t="s">
        <v>104</v>
      </c>
      <c r="F40" s="33">
        <f>11.18*110782980</f>
        <v>1238553716.3999999</v>
      </c>
    </row>
    <row r="41" spans="1:9">
      <c r="A41" s="10">
        <v>39</v>
      </c>
      <c r="B41" s="5" t="s">
        <v>47</v>
      </c>
      <c r="C41" s="5" t="s">
        <v>48</v>
      </c>
      <c r="D41" s="19" t="s">
        <v>96</v>
      </c>
      <c r="E41" s="5" t="s">
        <v>105</v>
      </c>
      <c r="F41" s="34">
        <f>11.15*470174576</f>
        <v>5242446522.4000006</v>
      </c>
    </row>
    <row r="42" spans="1:9">
      <c r="A42" s="10">
        <v>40</v>
      </c>
      <c r="B42" s="6" t="s">
        <v>63</v>
      </c>
      <c r="C42" s="6" t="s">
        <v>64</v>
      </c>
      <c r="D42" s="6" t="s">
        <v>97</v>
      </c>
      <c r="E42" s="6" t="s">
        <v>106</v>
      </c>
      <c r="F42" s="35">
        <f>2.76*11812193</f>
        <v>32601652.679999996</v>
      </c>
    </row>
    <row r="43" spans="1:9">
      <c r="A43" s="10">
        <v>41</v>
      </c>
      <c r="B43" s="6" t="s">
        <v>65</v>
      </c>
      <c r="C43" s="6" t="s">
        <v>66</v>
      </c>
      <c r="D43" s="6" t="s">
        <v>97</v>
      </c>
      <c r="E43" s="6" t="s">
        <v>106</v>
      </c>
      <c r="F43" s="35">
        <f>6.56*35740896</f>
        <v>234460277.75999999</v>
      </c>
      <c r="H43" s="71" t="s">
        <v>119</v>
      </c>
      <c r="I43" s="64">
        <f>AVERAGE(F42:F45)</f>
        <v>86008585.060000002</v>
      </c>
    </row>
    <row r="44" spans="1:9">
      <c r="A44" s="10">
        <v>42</v>
      </c>
      <c r="B44" s="6" t="s">
        <v>75</v>
      </c>
      <c r="C44" s="6" t="s">
        <v>76</v>
      </c>
      <c r="D44" s="6" t="s">
        <v>97</v>
      </c>
      <c r="E44" s="6" t="s">
        <v>106</v>
      </c>
      <c r="F44" s="35">
        <f>0.397*76000000</f>
        <v>30172000</v>
      </c>
    </row>
    <row r="45" spans="1:9">
      <c r="A45" s="10">
        <v>43</v>
      </c>
      <c r="B45" s="6" t="s">
        <v>87</v>
      </c>
      <c r="C45" s="6" t="s">
        <v>88</v>
      </c>
      <c r="D45" s="6" t="s">
        <v>97</v>
      </c>
      <c r="E45" s="6" t="s">
        <v>106</v>
      </c>
      <c r="F45" s="35">
        <f>2.12*22075665</f>
        <v>46800409.800000004</v>
      </c>
    </row>
    <row r="46" spans="1:9">
      <c r="A46" s="10">
        <v>44</v>
      </c>
      <c r="B46" s="20" t="s">
        <v>89</v>
      </c>
      <c r="C46" s="20" t="s">
        <v>90</v>
      </c>
      <c r="D46" s="20" t="s">
        <v>97</v>
      </c>
      <c r="E46" s="20" t="s">
        <v>109</v>
      </c>
      <c r="F46" s="36">
        <f>1.3*43741452</f>
        <v>56863887.600000001</v>
      </c>
    </row>
    <row r="47" spans="1:9">
      <c r="A47" s="10">
        <v>45</v>
      </c>
      <c r="B47" s="21" t="s">
        <v>71</v>
      </c>
      <c r="C47" s="21" t="s">
        <v>72</v>
      </c>
      <c r="D47" s="21" t="s">
        <v>97</v>
      </c>
      <c r="E47" s="21" t="s">
        <v>94</v>
      </c>
      <c r="F47" s="37">
        <f>1.274*122156754</f>
        <v>155627704.59600002</v>
      </c>
    </row>
    <row r="48" spans="1:9">
      <c r="A48" s="9"/>
    </row>
    <row r="49" spans="1:5">
      <c r="A49" s="9"/>
      <c r="C49" s="388" t="s">
        <v>120</v>
      </c>
      <c r="D49" s="388"/>
      <c r="E49" s="72">
        <f>AVERAGE(F3:F47)</f>
        <v>719088942.68748879</v>
      </c>
    </row>
    <row r="50" spans="1:5">
      <c r="A50" s="9"/>
    </row>
    <row r="51" spans="1:5">
      <c r="A51" s="9"/>
    </row>
    <row r="52" spans="1:5">
      <c r="A52" s="9"/>
    </row>
    <row r="55" spans="1:5">
      <c r="B55" s="53" t="s">
        <v>112</v>
      </c>
      <c r="C55" s="54"/>
    </row>
    <row r="57" spans="1:5">
      <c r="B57" s="22" t="s">
        <v>116</v>
      </c>
      <c r="C57" s="24" t="s">
        <v>117</v>
      </c>
    </row>
    <row r="58" spans="1:5">
      <c r="B58" s="14" t="s">
        <v>6</v>
      </c>
      <c r="C58" s="27">
        <f>369930157*18.005</f>
        <v>6660592476.7849998</v>
      </c>
    </row>
    <row r="59" spans="1:5">
      <c r="B59" s="5" t="s">
        <v>47</v>
      </c>
      <c r="C59" s="34">
        <f>11.15*470174576</f>
        <v>5242446522.4000006</v>
      </c>
    </row>
    <row r="60" spans="1:5">
      <c r="B60" s="3" t="s">
        <v>43</v>
      </c>
      <c r="C60" s="31">
        <f>6.93*334707816</f>
        <v>2319525164.8800001</v>
      </c>
    </row>
    <row r="61" spans="1:5">
      <c r="B61" s="2" t="s">
        <v>12</v>
      </c>
      <c r="C61" s="28">
        <f>12.1*136059759</f>
        <v>1646323083.8999999</v>
      </c>
    </row>
    <row r="62" spans="1:5">
      <c r="B62" s="4" t="s">
        <v>35</v>
      </c>
      <c r="C62" s="33">
        <f>5.2*305635185</f>
        <v>1589302962</v>
      </c>
    </row>
    <row r="63" spans="1:5">
      <c r="B63" s="11" t="s">
        <v>8</v>
      </c>
      <c r="C63" s="25">
        <f>0.397*3709161852</f>
        <v>1472537255.244</v>
      </c>
    </row>
    <row r="64" spans="1:5">
      <c r="B64" s="4" t="s">
        <v>39</v>
      </c>
      <c r="C64" s="33">
        <f>11.18*110782980</f>
        <v>1238553716.3999999</v>
      </c>
    </row>
    <row r="65" spans="2:3">
      <c r="B65" s="11" t="s">
        <v>4</v>
      </c>
      <c r="C65" s="25">
        <f>1543699381*0.65</f>
        <v>1003404597.65</v>
      </c>
    </row>
    <row r="66" spans="2:3">
      <c r="B66" s="11" t="s">
        <v>30</v>
      </c>
      <c r="C66" s="25">
        <f>1.09*914715153</f>
        <v>997039516.7700001</v>
      </c>
    </row>
    <row r="67" spans="2:3">
      <c r="B67" s="15" t="s">
        <v>14</v>
      </c>
      <c r="C67" s="29">
        <f>5.58*176736715</f>
        <v>986190869.70000005</v>
      </c>
    </row>
    <row r="68" spans="2:3">
      <c r="B68" s="12" t="s">
        <v>41</v>
      </c>
      <c r="C68" s="26">
        <f>6.2*142891161</f>
        <v>885925198.20000005</v>
      </c>
    </row>
    <row r="69" spans="2:3">
      <c r="B69" s="17" t="s">
        <v>16</v>
      </c>
      <c r="C69" s="32">
        <f>10.48*82447868</f>
        <v>864053656.63999999</v>
      </c>
    </row>
    <row r="70" spans="2:3">
      <c r="B70" s="1" t="s">
        <v>49</v>
      </c>
      <c r="C70" s="30">
        <f>7.18*113918936</f>
        <v>817937960.48000002</v>
      </c>
    </row>
    <row r="71" spans="2:3">
      <c r="B71" s="1" t="s">
        <v>37</v>
      </c>
      <c r="C71" s="30">
        <f>6.71*106500000</f>
        <v>714615000</v>
      </c>
    </row>
    <row r="72" spans="2:3">
      <c r="B72" s="17" t="s">
        <v>24</v>
      </c>
      <c r="C72" s="32">
        <f>5.15*103423291</f>
        <v>532629948.65000004</v>
      </c>
    </row>
    <row r="73" spans="2:3">
      <c r="B73" s="11" t="s">
        <v>51</v>
      </c>
      <c r="C73" s="25">
        <f>1.198*436659164</f>
        <v>523117678.472</v>
      </c>
    </row>
    <row r="74" spans="2:3">
      <c r="B74" s="1" t="s">
        <v>28</v>
      </c>
      <c r="C74" s="30">
        <f>2.2*232000000</f>
        <v>510400000.00000006</v>
      </c>
    </row>
    <row r="75" spans="2:3">
      <c r="B75" s="2" t="s">
        <v>26</v>
      </c>
      <c r="C75" s="28">
        <f>7.08*69877484</f>
        <v>494732586.72000003</v>
      </c>
    </row>
    <row r="76" spans="2:3">
      <c r="B76" s="12" t="s">
        <v>18</v>
      </c>
      <c r="C76" s="26">
        <f>1.824*259189761</f>
        <v>472762124.06400001</v>
      </c>
    </row>
    <row r="77" spans="2:3">
      <c r="B77" s="1" t="s">
        <v>20</v>
      </c>
      <c r="C77" s="30">
        <f>1.95*232000000</f>
        <v>452400000</v>
      </c>
    </row>
    <row r="78" spans="2:3">
      <c r="B78" s="12" t="s">
        <v>45</v>
      </c>
      <c r="C78" s="26">
        <f>15.98*25000000</f>
        <v>399500000</v>
      </c>
    </row>
    <row r="79" spans="2:3">
      <c r="B79" s="3" t="s">
        <v>22</v>
      </c>
      <c r="C79" s="31">
        <f>4.19*71417100</f>
        <v>299237649</v>
      </c>
    </row>
    <row r="80" spans="2:3">
      <c r="B80" s="6" t="s">
        <v>65</v>
      </c>
      <c r="C80" s="35">
        <f>6.56*35740896</f>
        <v>234460277.75999999</v>
      </c>
    </row>
    <row r="81" spans="2:3">
      <c r="B81" s="15" t="s">
        <v>31</v>
      </c>
      <c r="C81" s="29">
        <f>3.435*60348000</f>
        <v>207295380</v>
      </c>
    </row>
    <row r="82" spans="2:3">
      <c r="B82" s="12" t="s">
        <v>85</v>
      </c>
      <c r="C82" s="26">
        <f>20.4*10080000</f>
        <v>205632000</v>
      </c>
    </row>
    <row r="83" spans="2:3">
      <c r="B83" s="3" t="s">
        <v>55</v>
      </c>
      <c r="C83" s="31">
        <f>4.07*48855000</f>
        <v>198839850</v>
      </c>
    </row>
    <row r="84" spans="2:3">
      <c r="B84" s="2" t="s">
        <v>10</v>
      </c>
      <c r="C84" s="28">
        <f>3.245*52004961</f>
        <v>168756098.44499999</v>
      </c>
    </row>
    <row r="85" spans="2:3">
      <c r="B85" s="21" t="s">
        <v>71</v>
      </c>
      <c r="C85" s="37">
        <f>1.274*122156754</f>
        <v>155627704.59600002</v>
      </c>
    </row>
    <row r="86" spans="2:3">
      <c r="B86" s="13" t="s">
        <v>57</v>
      </c>
      <c r="C86" s="26">
        <f>0.79*190162681</f>
        <v>150228517.99000001</v>
      </c>
    </row>
    <row r="87" spans="2:3">
      <c r="B87" s="14" t="s">
        <v>81</v>
      </c>
      <c r="C87" s="27">
        <f>4.35*33065136</f>
        <v>143833341.59999999</v>
      </c>
    </row>
    <row r="88" spans="2:3">
      <c r="B88" s="17" t="s">
        <v>33</v>
      </c>
      <c r="C88" s="32">
        <f>0.585*214272003</f>
        <v>125349121.755</v>
      </c>
    </row>
    <row r="89" spans="2:3">
      <c r="B89" s="11" t="s">
        <v>53</v>
      </c>
      <c r="C89" s="25">
        <f>0.195*461254013</f>
        <v>89944532.534999996</v>
      </c>
    </row>
    <row r="90" spans="2:3">
      <c r="B90" s="17" t="s">
        <v>73</v>
      </c>
      <c r="C90" s="32">
        <f>0.629*114320400</f>
        <v>71907531.599999994</v>
      </c>
    </row>
    <row r="91" spans="2:3">
      <c r="B91" s="15" t="s">
        <v>59</v>
      </c>
      <c r="C91" s="29">
        <f>6.1*10500000</f>
        <v>64049999.999999993</v>
      </c>
    </row>
    <row r="92" spans="2:3">
      <c r="B92" s="2" t="s">
        <v>91</v>
      </c>
      <c r="C92" s="28">
        <f>1.48*40693350</f>
        <v>60226158</v>
      </c>
    </row>
    <row r="93" spans="2:3">
      <c r="B93" s="20" t="s">
        <v>89</v>
      </c>
      <c r="C93" s="36">
        <f>1.3*43741452</f>
        <v>56863887.600000001</v>
      </c>
    </row>
    <row r="94" spans="2:3">
      <c r="B94" s="15" t="s">
        <v>61</v>
      </c>
      <c r="C94" s="29">
        <f>0.054*939510748</f>
        <v>50733580.391999997</v>
      </c>
    </row>
    <row r="95" spans="2:3">
      <c r="B95" s="6" t="s">
        <v>87</v>
      </c>
      <c r="C95" s="35">
        <f>2.12*22075665</f>
        <v>46800409.800000004</v>
      </c>
    </row>
    <row r="96" spans="2:3">
      <c r="B96" s="17" t="s">
        <v>67</v>
      </c>
      <c r="C96" s="32">
        <f>0.281*144321516</f>
        <v>40554345.996000007</v>
      </c>
    </row>
    <row r="97" spans="2:3">
      <c r="B97" s="13" t="s">
        <v>69</v>
      </c>
      <c r="C97" s="26">
        <f>1.33*26730187</f>
        <v>35551148.710000001</v>
      </c>
    </row>
    <row r="98" spans="2:3">
      <c r="B98" s="6" t="s">
        <v>63</v>
      </c>
      <c r="C98" s="35">
        <f>2.76*11812193</f>
        <v>32601652.679999996</v>
      </c>
    </row>
    <row r="99" spans="2:3">
      <c r="B99" s="6" t="s">
        <v>75</v>
      </c>
      <c r="C99" s="35">
        <f>0.397*76000000</f>
        <v>30172000</v>
      </c>
    </row>
    <row r="100" spans="2:3">
      <c r="B100" s="15" t="s">
        <v>83</v>
      </c>
      <c r="C100" s="29">
        <f>1.166*19804134</f>
        <v>23091620.243999999</v>
      </c>
    </row>
    <row r="101" spans="2:3">
      <c r="B101" s="17" t="s">
        <v>77</v>
      </c>
      <c r="C101" s="32">
        <f>0.724*30477156</f>
        <v>22065460.943999998</v>
      </c>
    </row>
    <row r="102" spans="2:3">
      <c r="B102" s="3" t="s">
        <v>79</v>
      </c>
      <c r="C102" s="31">
        <f>0.135*156961721</f>
        <v>21189832.335000001</v>
      </c>
    </row>
  </sheetData>
  <sortState xmlns:xlrd2="http://schemas.microsoft.com/office/spreadsheetml/2017/richdata2" ref="B58:C102">
    <sortCondition descending="1" ref="C58:C102"/>
  </sortState>
  <mergeCells count="1">
    <mergeCell ref="C49:D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93CF-B2D2-43B2-AFE9-952B93687DDD}">
  <sheetPr>
    <tabColor theme="7" tint="0.79998168889431442"/>
  </sheetPr>
  <dimension ref="A1:AU249"/>
  <sheetViews>
    <sheetView topLeftCell="P1" zoomScale="58" zoomScaleNormal="58" workbookViewId="0">
      <selection activeCell="D102" sqref="D102"/>
    </sheetView>
  </sheetViews>
  <sheetFormatPr baseColWidth="10" defaultColWidth="8.83203125" defaultRowHeight="15"/>
  <cols>
    <col min="1" max="1" width="10.5" style="7" bestFit="1" customWidth="1"/>
    <col min="16" max="16" width="9.1640625" bestFit="1" customWidth="1"/>
    <col min="28" max="29" width="8.6640625" customWidth="1"/>
    <col min="47" max="47" width="19.33203125" bestFit="1" customWidth="1"/>
  </cols>
  <sheetData>
    <row r="1" spans="1:47">
      <c r="B1" s="16" t="s">
        <v>6</v>
      </c>
      <c r="C1" s="16" t="s">
        <v>47</v>
      </c>
      <c r="D1" s="15" t="s">
        <v>43</v>
      </c>
      <c r="E1" s="16" t="s">
        <v>12</v>
      </c>
      <c r="F1" s="16" t="s">
        <v>35</v>
      </c>
      <c r="G1" s="16" t="s">
        <v>8</v>
      </c>
      <c r="H1" s="16" t="s">
        <v>39</v>
      </c>
      <c r="I1" s="16" t="s">
        <v>4</v>
      </c>
      <c r="J1" s="16" t="s">
        <v>30</v>
      </c>
      <c r="K1" s="15" t="s">
        <v>14</v>
      </c>
      <c r="L1" s="16" t="s">
        <v>41</v>
      </c>
      <c r="M1" s="15" t="s">
        <v>16</v>
      </c>
      <c r="N1" s="16" t="s">
        <v>49</v>
      </c>
      <c r="O1" s="16" t="s">
        <v>37</v>
      </c>
      <c r="P1" s="15" t="s">
        <v>24</v>
      </c>
      <c r="Q1" s="16" t="s">
        <v>51</v>
      </c>
      <c r="R1" s="16" t="s">
        <v>28</v>
      </c>
      <c r="S1" s="16" t="s">
        <v>26</v>
      </c>
      <c r="T1" s="16" t="s">
        <v>18</v>
      </c>
      <c r="U1" s="16" t="s">
        <v>20</v>
      </c>
      <c r="V1" s="16" t="s">
        <v>45</v>
      </c>
      <c r="W1" s="15" t="s">
        <v>22</v>
      </c>
      <c r="X1" s="15" t="s">
        <v>65</v>
      </c>
      <c r="Y1" s="15" t="s">
        <v>31</v>
      </c>
      <c r="Z1" s="16" t="s">
        <v>85</v>
      </c>
      <c r="AA1" s="15" t="s">
        <v>55</v>
      </c>
      <c r="AB1" s="16" t="s">
        <v>10</v>
      </c>
      <c r="AC1" s="15" t="s">
        <v>71</v>
      </c>
      <c r="AD1" s="15" t="s">
        <v>57</v>
      </c>
      <c r="AE1" s="16" t="s">
        <v>81</v>
      </c>
      <c r="AF1" s="15" t="s">
        <v>33</v>
      </c>
      <c r="AG1" s="16" t="s">
        <v>53</v>
      </c>
      <c r="AH1" s="15" t="s">
        <v>73</v>
      </c>
      <c r="AI1" s="15" t="s">
        <v>59</v>
      </c>
      <c r="AJ1" s="16" t="s">
        <v>91</v>
      </c>
      <c r="AK1" s="15" t="s">
        <v>89</v>
      </c>
      <c r="AL1" s="15" t="s">
        <v>61</v>
      </c>
      <c r="AM1" s="15" t="s">
        <v>87</v>
      </c>
      <c r="AN1" s="15" t="s">
        <v>67</v>
      </c>
      <c r="AO1" s="15" t="s">
        <v>69</v>
      </c>
      <c r="AP1" s="15" t="s">
        <v>63</v>
      </c>
      <c r="AQ1" s="15" t="s">
        <v>75</v>
      </c>
      <c r="AR1" s="15" t="s">
        <v>83</v>
      </c>
      <c r="AS1" s="15" t="s">
        <v>77</v>
      </c>
      <c r="AT1" s="15" t="s">
        <v>79</v>
      </c>
      <c r="AU1" s="55" t="s">
        <v>110</v>
      </c>
    </row>
    <row r="2" spans="1:47">
      <c r="A2" s="39">
        <v>43551</v>
      </c>
      <c r="B2">
        <v>30.65</v>
      </c>
      <c r="C2">
        <v>11.66</v>
      </c>
      <c r="D2">
        <v>8.8420000000000005</v>
      </c>
      <c r="E2">
        <v>14.6</v>
      </c>
      <c r="F2">
        <v>8.49</v>
      </c>
      <c r="G2">
        <v>0.67600000000000005</v>
      </c>
      <c r="H2">
        <v>20.9</v>
      </c>
      <c r="I2">
        <v>1.22</v>
      </c>
      <c r="J2">
        <v>1.546</v>
      </c>
      <c r="K2">
        <v>6.0149999999999997</v>
      </c>
      <c r="L2">
        <v>8.9600000000000009</v>
      </c>
      <c r="M2" s="40">
        <v>19.02</v>
      </c>
      <c r="N2">
        <v>6.3879999999999999</v>
      </c>
      <c r="O2">
        <v>5.44</v>
      </c>
      <c r="P2">
        <v>5.05</v>
      </c>
      <c r="Q2">
        <v>1.212</v>
      </c>
      <c r="R2">
        <v>1.5620000000000001</v>
      </c>
      <c r="S2">
        <v>7.2</v>
      </c>
      <c r="T2">
        <v>3.2450000000000001</v>
      </c>
      <c r="U2">
        <v>1.76</v>
      </c>
      <c r="V2">
        <v>16.559999999999999</v>
      </c>
      <c r="W2">
        <v>7.96</v>
      </c>
      <c r="X2">
        <v>4.7690000000000001</v>
      </c>
      <c r="Y2">
        <v>4.2050000000000001</v>
      </c>
      <c r="Z2">
        <v>24.7</v>
      </c>
      <c r="AA2">
        <v>5.45</v>
      </c>
      <c r="AB2">
        <v>5.04</v>
      </c>
      <c r="AC2">
        <v>1.4</v>
      </c>
      <c r="AD2">
        <v>1.28</v>
      </c>
      <c r="AE2">
        <v>4.6900000000000004</v>
      </c>
      <c r="AF2">
        <v>1.5760000000000001</v>
      </c>
      <c r="AG2">
        <v>0.19</v>
      </c>
      <c r="AH2">
        <v>1.26</v>
      </c>
      <c r="AI2">
        <v>6.05</v>
      </c>
      <c r="AJ2">
        <v>1.85</v>
      </c>
      <c r="AK2">
        <v>2.2400000000000002</v>
      </c>
      <c r="AL2">
        <v>0.08</v>
      </c>
      <c r="AM2">
        <v>4.1900000000000004</v>
      </c>
      <c r="AN2">
        <v>0.25800000000000001</v>
      </c>
      <c r="AO2">
        <v>1.5</v>
      </c>
      <c r="AP2">
        <v>2.0190000000000001</v>
      </c>
      <c r="AQ2">
        <v>0.92900000000000005</v>
      </c>
      <c r="AR2">
        <v>1.66</v>
      </c>
      <c r="AS2">
        <v>1.2849999999999999</v>
      </c>
      <c r="AT2">
        <v>0.51800000000000002</v>
      </c>
      <c r="AU2">
        <v>713.73</v>
      </c>
    </row>
    <row r="3" spans="1:47">
      <c r="A3" s="39">
        <v>43552</v>
      </c>
      <c r="B3">
        <v>30.71</v>
      </c>
      <c r="C3">
        <v>11.93</v>
      </c>
      <c r="D3">
        <v>9.0220000000000002</v>
      </c>
      <c r="E3">
        <v>14.92</v>
      </c>
      <c r="F3">
        <v>8.51</v>
      </c>
      <c r="G3">
        <v>0.68600000000000005</v>
      </c>
      <c r="H3">
        <v>20.75</v>
      </c>
      <c r="I3">
        <v>1.22</v>
      </c>
      <c r="J3">
        <v>1.5049999999999999</v>
      </c>
      <c r="K3">
        <v>5.94</v>
      </c>
      <c r="L3">
        <v>8.8000000000000007</v>
      </c>
      <c r="M3" s="40">
        <v>19.2</v>
      </c>
      <c r="N3">
        <v>6.28</v>
      </c>
      <c r="O3">
        <v>5.37</v>
      </c>
      <c r="P3">
        <v>4.97</v>
      </c>
      <c r="Q3">
        <v>1.2010000000000001</v>
      </c>
      <c r="R3">
        <v>1.5649999999999999</v>
      </c>
      <c r="S3">
        <v>7.06</v>
      </c>
      <c r="T3">
        <v>3.23</v>
      </c>
      <c r="U3">
        <v>1.73</v>
      </c>
      <c r="V3">
        <v>16.46</v>
      </c>
      <c r="W3">
        <v>7.9</v>
      </c>
      <c r="X3">
        <v>4.7690000000000001</v>
      </c>
      <c r="Y3">
        <v>4.2300000000000004</v>
      </c>
      <c r="Z3">
        <v>24.7</v>
      </c>
      <c r="AA3">
        <v>5.35</v>
      </c>
      <c r="AB3">
        <v>5.05</v>
      </c>
      <c r="AC3">
        <v>1.385</v>
      </c>
      <c r="AD3">
        <v>1.28</v>
      </c>
      <c r="AE3">
        <v>4.6100000000000003</v>
      </c>
      <c r="AF3">
        <v>1.5660000000000001</v>
      </c>
      <c r="AG3">
        <v>0.187</v>
      </c>
      <c r="AH3">
        <v>1.29</v>
      </c>
      <c r="AI3">
        <v>6.05</v>
      </c>
      <c r="AJ3">
        <v>1.83</v>
      </c>
      <c r="AK3">
        <v>2.2200000000000002</v>
      </c>
      <c r="AL3">
        <v>0.08</v>
      </c>
      <c r="AM3">
        <v>4.18</v>
      </c>
      <c r="AN3">
        <v>0.24</v>
      </c>
      <c r="AO3">
        <v>1.48</v>
      </c>
      <c r="AP3">
        <v>2.0489999999999999</v>
      </c>
      <c r="AQ3">
        <v>0.90200000000000002</v>
      </c>
      <c r="AR3">
        <v>1.7</v>
      </c>
      <c r="AS3">
        <v>1.27</v>
      </c>
      <c r="AT3">
        <v>0.5</v>
      </c>
      <c r="AU3">
        <v>713.66</v>
      </c>
    </row>
    <row r="4" spans="1:47">
      <c r="A4" s="39">
        <v>43553</v>
      </c>
      <c r="B4">
        <v>30.46</v>
      </c>
      <c r="C4">
        <v>11.94</v>
      </c>
      <c r="D4">
        <v>9.1920000000000002</v>
      </c>
      <c r="E4">
        <v>14.9</v>
      </c>
      <c r="F4">
        <v>8.5500000000000007</v>
      </c>
      <c r="G4">
        <v>0.70699999999999996</v>
      </c>
      <c r="H4">
        <v>20.7</v>
      </c>
      <c r="I4">
        <v>1.234</v>
      </c>
      <c r="J4">
        <v>1.556</v>
      </c>
      <c r="K4">
        <v>6.0339999999999998</v>
      </c>
      <c r="L4">
        <v>9.01</v>
      </c>
      <c r="M4" s="40">
        <v>19.260000000000002</v>
      </c>
      <c r="N4">
        <v>6.32</v>
      </c>
      <c r="O4">
        <v>5.49</v>
      </c>
      <c r="P4">
        <v>4.92</v>
      </c>
      <c r="Q4">
        <v>1.218</v>
      </c>
      <c r="R4">
        <v>1.5509999999999999</v>
      </c>
      <c r="S4">
        <v>7.04</v>
      </c>
      <c r="T4">
        <v>3.2650000000000001</v>
      </c>
      <c r="U4">
        <v>1.726</v>
      </c>
      <c r="V4">
        <v>16.84</v>
      </c>
      <c r="W4">
        <v>8.27</v>
      </c>
      <c r="X4">
        <v>4.7690000000000001</v>
      </c>
      <c r="Y4">
        <v>4.29</v>
      </c>
      <c r="Z4">
        <v>24.7</v>
      </c>
      <c r="AA4">
        <v>5.4</v>
      </c>
      <c r="AB4">
        <v>5.05</v>
      </c>
      <c r="AC4">
        <v>1.42</v>
      </c>
      <c r="AD4">
        <v>1.298</v>
      </c>
      <c r="AE4">
        <v>4.8</v>
      </c>
      <c r="AF4">
        <v>1.62</v>
      </c>
      <c r="AG4">
        <v>0.19400000000000001</v>
      </c>
      <c r="AH4">
        <v>1.2749999999999999</v>
      </c>
      <c r="AI4">
        <v>6</v>
      </c>
      <c r="AJ4">
        <v>2</v>
      </c>
      <c r="AK4">
        <v>2.2400000000000002</v>
      </c>
      <c r="AL4">
        <v>8.1000000000000003E-2</v>
      </c>
      <c r="AM4">
        <v>4.1500000000000004</v>
      </c>
      <c r="AN4">
        <v>0.254</v>
      </c>
      <c r="AO4">
        <v>1.49</v>
      </c>
      <c r="AP4">
        <v>2.069</v>
      </c>
      <c r="AQ4">
        <v>0.93</v>
      </c>
      <c r="AR4">
        <v>1.7</v>
      </c>
      <c r="AS4">
        <v>1.27</v>
      </c>
      <c r="AT4">
        <v>0.51200000000000001</v>
      </c>
      <c r="AU4">
        <v>721.37</v>
      </c>
    </row>
    <row r="5" spans="1:47">
      <c r="A5" s="39">
        <v>43556</v>
      </c>
      <c r="B5">
        <v>30.47</v>
      </c>
      <c r="C5">
        <v>12</v>
      </c>
      <c r="D5">
        <v>9.2919999999999998</v>
      </c>
      <c r="E5">
        <v>14.88</v>
      </c>
      <c r="F5">
        <v>8.6999999999999993</v>
      </c>
      <c r="G5">
        <v>0.72499999999999998</v>
      </c>
      <c r="H5">
        <v>20.94</v>
      </c>
      <c r="I5">
        <v>1.3280000000000001</v>
      </c>
      <c r="J5">
        <v>1.75</v>
      </c>
      <c r="K5">
        <v>6.2130000000000001</v>
      </c>
      <c r="L5">
        <v>9.19</v>
      </c>
      <c r="M5" s="40">
        <v>19.48</v>
      </c>
      <c r="N5">
        <v>6.32</v>
      </c>
      <c r="O5">
        <v>5.55</v>
      </c>
      <c r="P5">
        <v>5.05</v>
      </c>
      <c r="Q5">
        <v>1.4159999999999999</v>
      </c>
      <c r="R5">
        <v>1.6259999999999999</v>
      </c>
      <c r="S5">
        <v>7.15</v>
      </c>
      <c r="T5">
        <v>3.36</v>
      </c>
      <c r="U5">
        <v>1.76</v>
      </c>
      <c r="V5">
        <v>16.920000000000002</v>
      </c>
      <c r="W5">
        <v>8.1999999999999993</v>
      </c>
      <c r="X5">
        <v>4.7859999999999996</v>
      </c>
      <c r="Y5">
        <v>4.5</v>
      </c>
      <c r="Z5">
        <v>24.8</v>
      </c>
      <c r="AA5">
        <v>5.45</v>
      </c>
      <c r="AB5">
        <v>5.0999999999999996</v>
      </c>
      <c r="AC5">
        <v>1.444</v>
      </c>
      <c r="AD5">
        <v>1.3220000000000001</v>
      </c>
      <c r="AE5">
        <v>4.8899999999999997</v>
      </c>
      <c r="AF5">
        <v>1.6579999999999999</v>
      </c>
      <c r="AG5">
        <v>0.20499999999999999</v>
      </c>
      <c r="AH5">
        <v>1.2629999999999999</v>
      </c>
      <c r="AI5">
        <v>5.85</v>
      </c>
      <c r="AJ5">
        <v>2.11</v>
      </c>
      <c r="AK5">
        <v>2.2999999999999998</v>
      </c>
      <c r="AL5">
        <v>8.3000000000000004E-2</v>
      </c>
      <c r="AM5">
        <v>4.1399999999999997</v>
      </c>
      <c r="AN5">
        <v>0.26900000000000002</v>
      </c>
      <c r="AO5">
        <v>1.52</v>
      </c>
      <c r="AP5">
        <v>2.0979999999999999</v>
      </c>
      <c r="AQ5">
        <v>0.96499999999999997</v>
      </c>
      <c r="AR5">
        <v>1.73</v>
      </c>
      <c r="AS5">
        <v>1.3</v>
      </c>
      <c r="AT5">
        <v>0.51900000000000002</v>
      </c>
      <c r="AU5">
        <v>741.01</v>
      </c>
    </row>
    <row r="6" spans="1:47">
      <c r="A6" s="39">
        <v>43557</v>
      </c>
      <c r="B6">
        <v>30.79</v>
      </c>
      <c r="C6">
        <v>12</v>
      </c>
      <c r="D6">
        <v>9.3119999999999994</v>
      </c>
      <c r="E6">
        <v>14.81</v>
      </c>
      <c r="F6">
        <v>8.64</v>
      </c>
      <c r="G6">
        <v>0.73499999999999999</v>
      </c>
      <c r="H6">
        <v>20.8</v>
      </c>
      <c r="I6">
        <v>1.3</v>
      </c>
      <c r="J6">
        <v>1.7569999999999999</v>
      </c>
      <c r="K6">
        <v>6.2320000000000002</v>
      </c>
      <c r="L6">
        <v>9.3249999999999993</v>
      </c>
      <c r="M6" s="40">
        <v>19.399999999999999</v>
      </c>
      <c r="N6">
        <v>6.3689999999999998</v>
      </c>
      <c r="O6">
        <v>5.66</v>
      </c>
      <c r="P6">
        <v>5.31</v>
      </c>
      <c r="Q6">
        <v>1.389</v>
      </c>
      <c r="R6">
        <v>1.64</v>
      </c>
      <c r="S6">
        <v>7.3</v>
      </c>
      <c r="T6">
        <v>3.42</v>
      </c>
      <c r="U6">
        <v>1.77</v>
      </c>
      <c r="V6">
        <v>17.2</v>
      </c>
      <c r="W6">
        <v>8.01</v>
      </c>
      <c r="X6">
        <v>4.8019999999999996</v>
      </c>
      <c r="Y6">
        <v>4.4400000000000004</v>
      </c>
      <c r="Z6">
        <v>25.2</v>
      </c>
      <c r="AA6">
        <v>5.45</v>
      </c>
      <c r="AB6">
        <v>5.0999999999999996</v>
      </c>
      <c r="AC6">
        <v>1.43</v>
      </c>
      <c r="AD6">
        <v>1.3440000000000001</v>
      </c>
      <c r="AE6">
        <v>4.93</v>
      </c>
      <c r="AF6">
        <v>1.66</v>
      </c>
      <c r="AG6">
        <v>0.20100000000000001</v>
      </c>
      <c r="AH6">
        <v>1.25</v>
      </c>
      <c r="AI6">
        <v>5.85</v>
      </c>
      <c r="AJ6">
        <v>2.0699999999999998</v>
      </c>
      <c r="AK6">
        <v>2.2200000000000002</v>
      </c>
      <c r="AL6">
        <v>8.5999999999999993E-2</v>
      </c>
      <c r="AM6">
        <v>3.93</v>
      </c>
      <c r="AN6">
        <v>0.27400000000000002</v>
      </c>
      <c r="AO6">
        <v>1.48</v>
      </c>
      <c r="AP6">
        <v>2.0779999999999998</v>
      </c>
      <c r="AQ6">
        <v>0.98099999999999998</v>
      </c>
      <c r="AR6">
        <v>1.81</v>
      </c>
      <c r="AS6">
        <v>1.3049999999999999</v>
      </c>
      <c r="AT6">
        <v>0.52</v>
      </c>
      <c r="AU6">
        <v>743.46</v>
      </c>
    </row>
    <row r="7" spans="1:47">
      <c r="A7" s="39">
        <v>43558</v>
      </c>
      <c r="B7">
        <v>30.5</v>
      </c>
      <c r="C7">
        <v>12.18</v>
      </c>
      <c r="D7">
        <v>9.1920000000000002</v>
      </c>
      <c r="E7">
        <v>14.8</v>
      </c>
      <c r="F7">
        <v>8.67</v>
      </c>
      <c r="G7">
        <v>0.73399999999999999</v>
      </c>
      <c r="H7">
        <v>21.1</v>
      </c>
      <c r="I7">
        <v>1.3620000000000001</v>
      </c>
      <c r="J7">
        <v>1.86</v>
      </c>
      <c r="K7">
        <v>6.2880000000000003</v>
      </c>
      <c r="L7">
        <v>9.3550000000000004</v>
      </c>
      <c r="M7" s="40">
        <v>19.18</v>
      </c>
      <c r="N7">
        <v>6.3689999999999998</v>
      </c>
      <c r="O7">
        <v>5.72</v>
      </c>
      <c r="P7">
        <v>5.23</v>
      </c>
      <c r="Q7">
        <v>1.44</v>
      </c>
      <c r="R7">
        <v>1.621</v>
      </c>
      <c r="S7">
        <v>7.3</v>
      </c>
      <c r="T7">
        <v>3.44</v>
      </c>
      <c r="U7">
        <v>1.76</v>
      </c>
      <c r="V7">
        <v>17.04</v>
      </c>
      <c r="W7">
        <v>8.09</v>
      </c>
      <c r="X7">
        <v>4.8179999999999996</v>
      </c>
      <c r="Y7">
        <v>4.47</v>
      </c>
      <c r="Z7">
        <v>25.1</v>
      </c>
      <c r="AA7">
        <v>5.9</v>
      </c>
      <c r="AB7">
        <v>5.0999999999999996</v>
      </c>
      <c r="AC7">
        <v>1.4259999999999999</v>
      </c>
      <c r="AD7">
        <v>1.31</v>
      </c>
      <c r="AE7">
        <v>4.93</v>
      </c>
      <c r="AF7">
        <v>1.67</v>
      </c>
      <c r="AG7">
        <v>0.2</v>
      </c>
      <c r="AH7">
        <v>1.2649999999999999</v>
      </c>
      <c r="AI7">
        <v>5.85</v>
      </c>
      <c r="AJ7">
        <v>2.13</v>
      </c>
      <c r="AK7">
        <v>2.25</v>
      </c>
      <c r="AL7">
        <v>8.7999999999999995E-2</v>
      </c>
      <c r="AM7">
        <v>4.0199999999999996</v>
      </c>
      <c r="AN7">
        <v>0.29399999999999998</v>
      </c>
      <c r="AO7">
        <v>1.51</v>
      </c>
      <c r="AP7">
        <v>1.911</v>
      </c>
      <c r="AQ7">
        <v>0.96199999999999997</v>
      </c>
      <c r="AR7">
        <v>1.79</v>
      </c>
      <c r="AS7">
        <v>1.325</v>
      </c>
      <c r="AT7">
        <v>0.50600000000000001</v>
      </c>
      <c r="AU7">
        <v>749.4</v>
      </c>
    </row>
    <row r="8" spans="1:47">
      <c r="A8" s="39">
        <v>43559</v>
      </c>
      <c r="B8">
        <v>30.07</v>
      </c>
      <c r="C8">
        <v>12.12</v>
      </c>
      <c r="D8">
        <v>9.1769999999999996</v>
      </c>
      <c r="E8">
        <v>14.73</v>
      </c>
      <c r="F8">
        <v>8.3000000000000007</v>
      </c>
      <c r="G8">
        <v>0.72199999999999998</v>
      </c>
      <c r="H8">
        <v>21.06</v>
      </c>
      <c r="I8">
        <v>1.3080000000000001</v>
      </c>
      <c r="J8">
        <v>1.83</v>
      </c>
      <c r="K8">
        <v>6.2510000000000003</v>
      </c>
      <c r="L8">
        <v>9.27</v>
      </c>
      <c r="M8" s="40">
        <v>19.079999999999998</v>
      </c>
      <c r="N8">
        <v>6.3689999999999998</v>
      </c>
      <c r="O8">
        <v>5.72</v>
      </c>
      <c r="P8">
        <v>5.35</v>
      </c>
      <c r="Q8">
        <v>1.45</v>
      </c>
      <c r="R8">
        <v>1.62</v>
      </c>
      <c r="S8">
        <v>7.31</v>
      </c>
      <c r="T8">
        <v>3.48</v>
      </c>
      <c r="U8">
        <v>1.754</v>
      </c>
      <c r="V8">
        <v>17.239999999999998</v>
      </c>
      <c r="W8">
        <v>8.19</v>
      </c>
      <c r="X8">
        <v>4.7690000000000001</v>
      </c>
      <c r="Y8">
        <v>4.4950000000000001</v>
      </c>
      <c r="Z8">
        <v>24.6</v>
      </c>
      <c r="AA8">
        <v>6.2</v>
      </c>
      <c r="AB8">
        <v>5.03</v>
      </c>
      <c r="AC8">
        <v>1.4319999999999999</v>
      </c>
      <c r="AD8">
        <v>1.3220000000000001</v>
      </c>
      <c r="AE8">
        <v>4.9000000000000004</v>
      </c>
      <c r="AF8">
        <v>1.7</v>
      </c>
      <c r="AG8">
        <v>0.20300000000000001</v>
      </c>
      <c r="AH8">
        <v>1.2529999999999999</v>
      </c>
      <c r="AI8">
        <v>5.8</v>
      </c>
      <c r="AJ8">
        <v>2.67</v>
      </c>
      <c r="AK8">
        <v>2.23</v>
      </c>
      <c r="AL8">
        <v>8.5999999999999993E-2</v>
      </c>
      <c r="AM8">
        <v>4.05</v>
      </c>
      <c r="AN8">
        <v>0.32700000000000001</v>
      </c>
      <c r="AO8">
        <v>1.5649999999999999</v>
      </c>
      <c r="AP8">
        <v>1.8620000000000001</v>
      </c>
      <c r="AQ8">
        <v>1.04</v>
      </c>
      <c r="AR8">
        <v>1.85</v>
      </c>
      <c r="AS8">
        <v>1.365</v>
      </c>
      <c r="AT8">
        <v>0.505</v>
      </c>
      <c r="AU8">
        <v>745</v>
      </c>
    </row>
    <row r="9" spans="1:47">
      <c r="A9" s="39">
        <v>43560</v>
      </c>
      <c r="B9">
        <v>29.99</v>
      </c>
      <c r="C9">
        <v>12.18</v>
      </c>
      <c r="D9">
        <v>9.1920000000000002</v>
      </c>
      <c r="E9">
        <v>14.85</v>
      </c>
      <c r="F9">
        <v>8.42</v>
      </c>
      <c r="G9">
        <v>0.71599999999999997</v>
      </c>
      <c r="H9">
        <v>20.92</v>
      </c>
      <c r="I9">
        <v>1.399</v>
      </c>
      <c r="J9">
        <v>1.891</v>
      </c>
      <c r="K9">
        <v>6.3070000000000004</v>
      </c>
      <c r="L9">
        <v>9.44</v>
      </c>
      <c r="M9" s="40">
        <v>18.98</v>
      </c>
      <c r="N9">
        <v>6.3879999999999999</v>
      </c>
      <c r="O9">
        <v>5.73</v>
      </c>
      <c r="P9">
        <v>5.44</v>
      </c>
      <c r="Q9">
        <v>1.629</v>
      </c>
      <c r="R9">
        <v>1.66</v>
      </c>
      <c r="S9">
        <v>7.26</v>
      </c>
      <c r="T9">
        <v>3.48</v>
      </c>
      <c r="U9">
        <v>1.752</v>
      </c>
      <c r="V9">
        <v>17.38</v>
      </c>
      <c r="W9">
        <v>8.16</v>
      </c>
      <c r="X9">
        <v>4.835</v>
      </c>
      <c r="Y9">
        <v>4.5350000000000001</v>
      </c>
      <c r="Z9">
        <v>25</v>
      </c>
      <c r="AA9">
        <v>6.2750000000000004</v>
      </c>
      <c r="AB9">
        <v>5.2</v>
      </c>
      <c r="AC9">
        <v>1.4419999999999999</v>
      </c>
      <c r="AD9">
        <v>1.3080000000000001</v>
      </c>
      <c r="AE9">
        <v>4.95</v>
      </c>
      <c r="AF9">
        <v>1.712</v>
      </c>
      <c r="AG9">
        <v>0.20499999999999999</v>
      </c>
      <c r="AH9">
        <v>1.2629999999999999</v>
      </c>
      <c r="AI9">
        <v>5.8</v>
      </c>
      <c r="AJ9">
        <v>2.54</v>
      </c>
      <c r="AK9">
        <v>2.27</v>
      </c>
      <c r="AL9">
        <v>8.7999999999999995E-2</v>
      </c>
      <c r="AM9">
        <v>4.05</v>
      </c>
      <c r="AN9">
        <v>0.32200000000000001</v>
      </c>
      <c r="AO9">
        <v>1.635</v>
      </c>
      <c r="AP9">
        <v>2.0099999999999998</v>
      </c>
      <c r="AQ9">
        <v>1.07</v>
      </c>
      <c r="AR9">
        <v>1.83</v>
      </c>
      <c r="AS9">
        <v>1.36</v>
      </c>
      <c r="AT9">
        <v>0.53600000000000003</v>
      </c>
      <c r="AU9">
        <v>754.42</v>
      </c>
    </row>
    <row r="10" spans="1:47">
      <c r="A10" s="39">
        <v>43563</v>
      </c>
      <c r="B10">
        <v>29.62</v>
      </c>
      <c r="C10">
        <v>12.19</v>
      </c>
      <c r="D10">
        <v>9.2919999999999998</v>
      </c>
      <c r="E10">
        <v>14.9</v>
      </c>
      <c r="F10">
        <v>8.35</v>
      </c>
      <c r="G10">
        <v>0.70199999999999996</v>
      </c>
      <c r="H10">
        <v>21.1</v>
      </c>
      <c r="I10">
        <v>1.4</v>
      </c>
      <c r="J10">
        <v>1.8560000000000001</v>
      </c>
      <c r="K10">
        <v>6.3070000000000004</v>
      </c>
      <c r="L10">
        <v>9.5</v>
      </c>
      <c r="M10" s="40">
        <v>18.82</v>
      </c>
      <c r="N10">
        <v>6.3689999999999998</v>
      </c>
      <c r="O10">
        <v>5.8</v>
      </c>
      <c r="P10">
        <v>5.38</v>
      </c>
      <c r="Q10">
        <v>1.6950000000000001</v>
      </c>
      <c r="R10">
        <v>1.712</v>
      </c>
      <c r="S10">
        <v>7.18</v>
      </c>
      <c r="T10">
        <v>3.46</v>
      </c>
      <c r="U10">
        <v>1.756</v>
      </c>
      <c r="V10">
        <v>18</v>
      </c>
      <c r="W10">
        <v>8.2200000000000006</v>
      </c>
      <c r="X10">
        <v>4.835</v>
      </c>
      <c r="Y10">
        <v>4.63</v>
      </c>
      <c r="Z10">
        <v>25.2</v>
      </c>
      <c r="AA10">
        <v>6.5</v>
      </c>
      <c r="AB10">
        <v>5.2</v>
      </c>
      <c r="AC10">
        <v>1.452</v>
      </c>
      <c r="AD10">
        <v>1.3160000000000001</v>
      </c>
      <c r="AE10">
        <v>5</v>
      </c>
      <c r="AF10">
        <v>1.718</v>
      </c>
      <c r="AG10">
        <v>0.20399999999999999</v>
      </c>
      <c r="AH10">
        <v>1.25</v>
      </c>
      <c r="AI10">
        <v>5.8</v>
      </c>
      <c r="AJ10">
        <v>2.5299999999999998</v>
      </c>
      <c r="AK10">
        <v>2.2599999999999998</v>
      </c>
      <c r="AL10">
        <v>8.5999999999999993E-2</v>
      </c>
      <c r="AM10">
        <v>4.04</v>
      </c>
      <c r="AN10">
        <v>0.30499999999999999</v>
      </c>
      <c r="AO10">
        <v>1.68</v>
      </c>
      <c r="AP10">
        <v>2.0099999999999998</v>
      </c>
      <c r="AQ10">
        <v>1.0720000000000001</v>
      </c>
      <c r="AR10">
        <v>1.8480000000000001</v>
      </c>
      <c r="AS10">
        <v>1.35</v>
      </c>
      <c r="AT10">
        <v>0.52700000000000002</v>
      </c>
      <c r="AU10">
        <v>753.58</v>
      </c>
    </row>
    <row r="11" spans="1:47">
      <c r="A11" s="39">
        <v>43564</v>
      </c>
      <c r="B11">
        <v>29.41</v>
      </c>
      <c r="C11">
        <v>12.14</v>
      </c>
      <c r="D11">
        <v>9.4220000000000006</v>
      </c>
      <c r="E11">
        <v>14.9</v>
      </c>
      <c r="F11">
        <v>8.36</v>
      </c>
      <c r="G11">
        <v>0.69299999999999995</v>
      </c>
      <c r="H11">
        <v>21.02</v>
      </c>
      <c r="I11">
        <v>1.4450000000000001</v>
      </c>
      <c r="J11">
        <v>1.847</v>
      </c>
      <c r="K11">
        <v>6.476</v>
      </c>
      <c r="L11">
        <v>9.5</v>
      </c>
      <c r="M11" s="40">
        <v>19</v>
      </c>
      <c r="N11">
        <v>6.4080000000000004</v>
      </c>
      <c r="O11">
        <v>5.88</v>
      </c>
      <c r="P11">
        <v>5.36</v>
      </c>
      <c r="Q11">
        <v>1.7430000000000001</v>
      </c>
      <c r="R11">
        <v>1.6819999999999999</v>
      </c>
      <c r="S11">
        <v>7.12</v>
      </c>
      <c r="T11">
        <v>3.4550000000000001</v>
      </c>
      <c r="U11">
        <v>1.74</v>
      </c>
      <c r="V11">
        <v>17.96</v>
      </c>
      <c r="W11">
        <v>8.18</v>
      </c>
      <c r="X11">
        <v>4.867</v>
      </c>
      <c r="Y11">
        <v>4.66</v>
      </c>
      <c r="Z11">
        <v>25.3</v>
      </c>
      <c r="AA11">
        <v>6.4249999999999998</v>
      </c>
      <c r="AB11">
        <v>5.15</v>
      </c>
      <c r="AC11">
        <v>1.452</v>
      </c>
      <c r="AD11">
        <v>1.272</v>
      </c>
      <c r="AE11">
        <v>5.04</v>
      </c>
      <c r="AF11">
        <v>1.6779999999999999</v>
      </c>
      <c r="AG11">
        <v>0.19600000000000001</v>
      </c>
      <c r="AH11">
        <v>1.2410000000000001</v>
      </c>
      <c r="AI11">
        <v>6.05</v>
      </c>
      <c r="AJ11">
        <v>2.46</v>
      </c>
      <c r="AK11">
        <v>2.36</v>
      </c>
      <c r="AL11">
        <v>8.5999999999999993E-2</v>
      </c>
      <c r="AM11">
        <v>4.0599999999999996</v>
      </c>
      <c r="AN11">
        <v>0.312</v>
      </c>
      <c r="AO11">
        <v>1.67</v>
      </c>
      <c r="AP11">
        <v>2</v>
      </c>
      <c r="AQ11">
        <v>0.98599999999999999</v>
      </c>
      <c r="AR11">
        <v>1.6739999999999999</v>
      </c>
      <c r="AS11">
        <v>1.2949999999999999</v>
      </c>
      <c r="AT11">
        <v>0.52</v>
      </c>
      <c r="AU11">
        <v>753.16</v>
      </c>
    </row>
    <row r="12" spans="1:47">
      <c r="A12" s="39">
        <v>43565</v>
      </c>
      <c r="B12">
        <v>30</v>
      </c>
      <c r="C12">
        <v>12.3</v>
      </c>
      <c r="D12">
        <v>9.3520000000000003</v>
      </c>
      <c r="E12">
        <v>14.84</v>
      </c>
      <c r="F12">
        <v>8.4</v>
      </c>
      <c r="G12">
        <v>0.69399999999999995</v>
      </c>
      <c r="H12">
        <v>21.18</v>
      </c>
      <c r="I12">
        <v>1.4570000000000001</v>
      </c>
      <c r="J12">
        <v>1.82</v>
      </c>
      <c r="K12">
        <v>6.4109999999999996</v>
      </c>
      <c r="L12">
        <v>9.44</v>
      </c>
      <c r="M12" s="40">
        <v>18.84</v>
      </c>
      <c r="N12">
        <v>6.4370000000000003</v>
      </c>
      <c r="O12">
        <v>5.88</v>
      </c>
      <c r="P12">
        <v>5.32</v>
      </c>
      <c r="Q12">
        <v>1.78</v>
      </c>
      <c r="R12">
        <v>1.6990000000000001</v>
      </c>
      <c r="S12">
        <v>7.2</v>
      </c>
      <c r="T12">
        <v>3.415</v>
      </c>
      <c r="U12">
        <v>1.774</v>
      </c>
      <c r="V12">
        <v>18.46</v>
      </c>
      <c r="W12">
        <v>8.2799999999999994</v>
      </c>
      <c r="X12">
        <v>4.9489999999999998</v>
      </c>
      <c r="Y12">
        <v>4.5999999999999996</v>
      </c>
      <c r="Z12">
        <v>25.3</v>
      </c>
      <c r="AA12">
        <v>6.4</v>
      </c>
      <c r="AB12">
        <v>5.15</v>
      </c>
      <c r="AC12">
        <v>1.452</v>
      </c>
      <c r="AD12">
        <v>1.25</v>
      </c>
      <c r="AE12">
        <v>5</v>
      </c>
      <c r="AF12">
        <v>1.68</v>
      </c>
      <c r="AG12">
        <v>0.19900000000000001</v>
      </c>
      <c r="AH12">
        <v>1.26</v>
      </c>
      <c r="AI12">
        <v>6.1</v>
      </c>
      <c r="AJ12">
        <v>2.41</v>
      </c>
      <c r="AK12">
        <v>2.35</v>
      </c>
      <c r="AL12">
        <v>8.4000000000000005E-2</v>
      </c>
      <c r="AM12">
        <v>3.99</v>
      </c>
      <c r="AN12">
        <v>0.32200000000000001</v>
      </c>
      <c r="AO12">
        <v>1.635</v>
      </c>
      <c r="AP12">
        <v>2.1469999999999998</v>
      </c>
      <c r="AQ12">
        <v>0.95</v>
      </c>
      <c r="AR12">
        <v>1.62</v>
      </c>
      <c r="AS12">
        <v>1.2450000000000001</v>
      </c>
      <c r="AT12">
        <v>0.51400000000000001</v>
      </c>
      <c r="AU12">
        <v>755.53</v>
      </c>
    </row>
    <row r="13" spans="1:47">
      <c r="A13" s="39">
        <v>43566</v>
      </c>
      <c r="B13">
        <v>29.72</v>
      </c>
      <c r="C13">
        <v>12.53</v>
      </c>
      <c r="D13">
        <v>9.3620000000000001</v>
      </c>
      <c r="E13">
        <v>14.8</v>
      </c>
      <c r="F13">
        <v>8.35</v>
      </c>
      <c r="G13">
        <v>0.69899999999999995</v>
      </c>
      <c r="H13">
        <v>21.08</v>
      </c>
      <c r="I13">
        <v>1.4950000000000001</v>
      </c>
      <c r="J13">
        <v>1.881</v>
      </c>
      <c r="K13">
        <v>6.42</v>
      </c>
      <c r="L13">
        <v>9.6199999999999992</v>
      </c>
      <c r="M13" s="40">
        <v>19.059999999999999</v>
      </c>
      <c r="N13">
        <v>6.4660000000000002</v>
      </c>
      <c r="O13">
        <v>6.02</v>
      </c>
      <c r="P13">
        <v>5.4</v>
      </c>
      <c r="Q13">
        <v>1.845</v>
      </c>
      <c r="R13">
        <v>1.7949999999999999</v>
      </c>
      <c r="S13">
        <v>7.3</v>
      </c>
      <c r="T13">
        <v>3.4649999999999999</v>
      </c>
      <c r="U13">
        <v>1.8</v>
      </c>
      <c r="V13">
        <v>18.8</v>
      </c>
      <c r="W13">
        <v>8.32</v>
      </c>
      <c r="X13">
        <v>5.3079999999999998</v>
      </c>
      <c r="Y13">
        <v>4.67</v>
      </c>
      <c r="Z13">
        <v>25.3</v>
      </c>
      <c r="AA13">
        <v>6.4</v>
      </c>
      <c r="AB13">
        <v>5.2</v>
      </c>
      <c r="AC13">
        <v>1.46</v>
      </c>
      <c r="AD13">
        <v>1.274</v>
      </c>
      <c r="AE13">
        <v>4.9800000000000004</v>
      </c>
      <c r="AF13">
        <v>1.718</v>
      </c>
      <c r="AG13">
        <v>0.20300000000000001</v>
      </c>
      <c r="AH13">
        <v>1.28</v>
      </c>
      <c r="AI13">
        <v>6.1</v>
      </c>
      <c r="AJ13">
        <v>2.44</v>
      </c>
      <c r="AK13">
        <v>2.3199999999999998</v>
      </c>
      <c r="AL13">
        <v>8.7999999999999995E-2</v>
      </c>
      <c r="AM13">
        <v>3.95</v>
      </c>
      <c r="AN13">
        <v>0.31900000000000001</v>
      </c>
      <c r="AO13">
        <v>1.665</v>
      </c>
      <c r="AP13">
        <v>2.2160000000000002</v>
      </c>
      <c r="AQ13">
        <v>0.97299999999999998</v>
      </c>
      <c r="AR13">
        <v>1.65</v>
      </c>
      <c r="AS13">
        <v>1.2450000000000001</v>
      </c>
      <c r="AT13">
        <v>0.51700000000000002</v>
      </c>
      <c r="AU13">
        <v>764.13</v>
      </c>
    </row>
    <row r="14" spans="1:47">
      <c r="A14" s="39">
        <v>43567</v>
      </c>
      <c r="B14">
        <v>29.98</v>
      </c>
      <c r="C14">
        <v>12.42</v>
      </c>
      <c r="D14">
        <v>9.3620000000000001</v>
      </c>
      <c r="E14">
        <v>15.05</v>
      </c>
      <c r="F14">
        <v>8.35</v>
      </c>
      <c r="G14">
        <v>0.68600000000000005</v>
      </c>
      <c r="H14">
        <v>20.96</v>
      </c>
      <c r="I14">
        <v>1.48</v>
      </c>
      <c r="J14">
        <v>1.901</v>
      </c>
      <c r="K14">
        <v>6.4669999999999996</v>
      </c>
      <c r="L14">
        <v>9.6199999999999992</v>
      </c>
      <c r="M14" s="40">
        <v>19.18</v>
      </c>
      <c r="N14">
        <v>6.6529999999999996</v>
      </c>
      <c r="O14">
        <v>6</v>
      </c>
      <c r="P14">
        <v>5.38</v>
      </c>
      <c r="Q14">
        <v>1.8520000000000001</v>
      </c>
      <c r="R14">
        <v>1.8109999999999999</v>
      </c>
      <c r="S14">
        <v>7.44</v>
      </c>
      <c r="T14">
        <v>3.4849999999999999</v>
      </c>
      <c r="U14">
        <v>1.8</v>
      </c>
      <c r="V14">
        <v>18.940000000000001</v>
      </c>
      <c r="W14">
        <v>8.2799999999999994</v>
      </c>
      <c r="X14">
        <v>5.5529999999999999</v>
      </c>
      <c r="Y14">
        <v>4.57</v>
      </c>
      <c r="Z14">
        <v>26.8</v>
      </c>
      <c r="AA14">
        <v>6.3250000000000002</v>
      </c>
      <c r="AB14">
        <v>5.33</v>
      </c>
      <c r="AC14">
        <v>1.458</v>
      </c>
      <c r="AD14">
        <v>1.266</v>
      </c>
      <c r="AE14">
        <v>5.04</v>
      </c>
      <c r="AF14">
        <v>1.72</v>
      </c>
      <c r="AG14">
        <v>0.19900000000000001</v>
      </c>
      <c r="AH14">
        <v>1.3049999999999999</v>
      </c>
      <c r="AI14">
        <v>6</v>
      </c>
      <c r="AJ14">
        <v>2.73</v>
      </c>
      <c r="AK14">
        <v>2.2799999999999998</v>
      </c>
      <c r="AL14">
        <v>9.1999999999999998E-2</v>
      </c>
      <c r="AM14">
        <v>3.91</v>
      </c>
      <c r="AN14">
        <v>0.315</v>
      </c>
      <c r="AO14">
        <v>1.7250000000000001</v>
      </c>
      <c r="AP14">
        <v>2.3439999999999999</v>
      </c>
      <c r="AQ14">
        <v>0.98399999999999999</v>
      </c>
      <c r="AR14">
        <v>1.696</v>
      </c>
      <c r="AS14">
        <v>1.2549999999999999</v>
      </c>
      <c r="AT14">
        <v>0.54</v>
      </c>
      <c r="AU14">
        <v>765.67</v>
      </c>
    </row>
    <row r="15" spans="1:47">
      <c r="A15" s="39">
        <v>43570</v>
      </c>
      <c r="B15">
        <v>30.66</v>
      </c>
      <c r="C15">
        <v>12.4</v>
      </c>
      <c r="D15">
        <v>9.3620000000000001</v>
      </c>
      <c r="E15">
        <v>15.14</v>
      </c>
      <c r="F15">
        <v>8.2899999999999991</v>
      </c>
      <c r="G15">
        <v>0.73199999999999998</v>
      </c>
      <c r="H15">
        <v>21.02</v>
      </c>
      <c r="I15">
        <v>1.52</v>
      </c>
      <c r="J15">
        <v>1.925</v>
      </c>
      <c r="K15">
        <v>6.4580000000000002</v>
      </c>
      <c r="L15">
        <v>9.7200000000000006</v>
      </c>
      <c r="M15" s="40">
        <v>19.28</v>
      </c>
      <c r="N15">
        <v>6.6719999999999997</v>
      </c>
      <c r="O15">
        <v>6.03</v>
      </c>
      <c r="P15">
        <v>5.3</v>
      </c>
      <c r="Q15">
        <v>1.7909999999999999</v>
      </c>
      <c r="R15">
        <v>1.77</v>
      </c>
      <c r="S15">
        <v>7.38</v>
      </c>
      <c r="T15">
        <v>3.45</v>
      </c>
      <c r="U15">
        <v>1.788</v>
      </c>
      <c r="V15">
        <v>19.48</v>
      </c>
      <c r="W15">
        <v>8.32</v>
      </c>
      <c r="X15">
        <v>5.6840000000000002</v>
      </c>
      <c r="Y15">
        <v>4.6100000000000003</v>
      </c>
      <c r="Z15">
        <v>27.9</v>
      </c>
      <c r="AA15">
        <v>6.35</v>
      </c>
      <c r="AB15">
        <v>5.46</v>
      </c>
      <c r="AC15">
        <v>1.46</v>
      </c>
      <c r="AD15">
        <v>1.298</v>
      </c>
      <c r="AE15">
        <v>5.0599999999999996</v>
      </c>
      <c r="AF15">
        <v>1.728</v>
      </c>
      <c r="AG15">
        <v>0.217</v>
      </c>
      <c r="AH15">
        <v>1.365</v>
      </c>
      <c r="AI15">
        <v>6.25</v>
      </c>
      <c r="AJ15">
        <v>2.66</v>
      </c>
      <c r="AK15">
        <v>2.2999999999999998</v>
      </c>
      <c r="AL15">
        <v>0.09</v>
      </c>
      <c r="AM15">
        <v>4.0199999999999996</v>
      </c>
      <c r="AN15">
        <v>0.30099999999999999</v>
      </c>
      <c r="AO15">
        <v>1.72</v>
      </c>
      <c r="AP15">
        <v>2.3439999999999999</v>
      </c>
      <c r="AQ15">
        <v>1.008</v>
      </c>
      <c r="AR15">
        <v>1.6659999999999999</v>
      </c>
      <c r="AS15">
        <v>1.26</v>
      </c>
      <c r="AT15">
        <v>0.55100000000000005</v>
      </c>
      <c r="AU15">
        <v>773.51</v>
      </c>
    </row>
    <row r="16" spans="1:47">
      <c r="A16" s="39">
        <v>43571</v>
      </c>
      <c r="B16">
        <v>31.1</v>
      </c>
      <c r="C16">
        <v>12.49</v>
      </c>
      <c r="D16">
        <v>9.3420000000000005</v>
      </c>
      <c r="E16">
        <v>15.69</v>
      </c>
      <c r="F16">
        <v>8.43</v>
      </c>
      <c r="G16">
        <v>0.74099999999999999</v>
      </c>
      <c r="H16">
        <v>21.18</v>
      </c>
      <c r="I16">
        <v>1.4590000000000001</v>
      </c>
      <c r="J16">
        <v>1.9279999999999999</v>
      </c>
      <c r="K16">
        <v>6.3819999999999997</v>
      </c>
      <c r="L16">
        <v>9.67</v>
      </c>
      <c r="M16" s="40">
        <v>19.28</v>
      </c>
      <c r="N16">
        <v>6.6619999999999999</v>
      </c>
      <c r="O16">
        <v>6.08</v>
      </c>
      <c r="P16">
        <v>5.31</v>
      </c>
      <c r="Q16">
        <v>1.7250000000000001</v>
      </c>
      <c r="R16">
        <v>1.8069999999999999</v>
      </c>
      <c r="S16">
        <v>7.36</v>
      </c>
      <c r="T16">
        <v>3.45</v>
      </c>
      <c r="U16">
        <v>1.776</v>
      </c>
      <c r="V16">
        <v>19.68</v>
      </c>
      <c r="W16">
        <v>8.42</v>
      </c>
      <c r="X16">
        <v>5.5369999999999999</v>
      </c>
      <c r="Y16">
        <v>4.5650000000000004</v>
      </c>
      <c r="Z16">
        <v>28.7</v>
      </c>
      <c r="AA16">
        <v>6.3</v>
      </c>
      <c r="AB16">
        <v>5.6</v>
      </c>
      <c r="AC16">
        <v>1.46</v>
      </c>
      <c r="AD16">
        <v>1.298</v>
      </c>
      <c r="AE16">
        <v>5.18</v>
      </c>
      <c r="AF16">
        <v>1.758</v>
      </c>
      <c r="AG16">
        <v>0.21199999999999999</v>
      </c>
      <c r="AH16">
        <v>1.373</v>
      </c>
      <c r="AI16">
        <v>6.2</v>
      </c>
      <c r="AJ16">
        <v>2.76</v>
      </c>
      <c r="AK16">
        <v>2.25</v>
      </c>
      <c r="AL16">
        <v>8.6999999999999994E-2</v>
      </c>
      <c r="AM16">
        <v>4.1100000000000003</v>
      </c>
      <c r="AN16">
        <v>0.313</v>
      </c>
      <c r="AO16">
        <v>1.72</v>
      </c>
      <c r="AP16">
        <v>2.3439999999999999</v>
      </c>
      <c r="AQ16">
        <v>0.97399999999999998</v>
      </c>
      <c r="AR16">
        <v>1.6020000000000001</v>
      </c>
      <c r="AS16">
        <v>1.24</v>
      </c>
      <c r="AT16">
        <v>0.505</v>
      </c>
      <c r="AU16">
        <v>775.78</v>
      </c>
    </row>
    <row r="17" spans="1:47">
      <c r="A17" s="39">
        <v>43572</v>
      </c>
      <c r="B17">
        <v>31.09</v>
      </c>
      <c r="C17">
        <v>12.25</v>
      </c>
      <c r="D17">
        <v>9.3520000000000003</v>
      </c>
      <c r="E17">
        <v>16.149999999999999</v>
      </c>
      <c r="F17">
        <v>8.5299999999999994</v>
      </c>
      <c r="G17">
        <v>0.73</v>
      </c>
      <c r="H17">
        <v>21.28</v>
      </c>
      <c r="I17">
        <v>1.448</v>
      </c>
      <c r="J17">
        <v>1.9279999999999999</v>
      </c>
      <c r="K17">
        <v>6.476</v>
      </c>
      <c r="L17">
        <v>9.69</v>
      </c>
      <c r="M17" s="40">
        <v>19.02</v>
      </c>
      <c r="N17">
        <v>6.702</v>
      </c>
      <c r="O17">
        <v>6.07</v>
      </c>
      <c r="P17">
        <v>5.25</v>
      </c>
      <c r="Q17">
        <v>1.6919999999999999</v>
      </c>
      <c r="R17">
        <v>1.794</v>
      </c>
      <c r="S17">
        <v>7.38</v>
      </c>
      <c r="T17">
        <v>3.42</v>
      </c>
      <c r="U17">
        <v>1.806</v>
      </c>
      <c r="V17">
        <v>19.5</v>
      </c>
      <c r="W17">
        <v>8.5500000000000007</v>
      </c>
      <c r="X17">
        <v>5.5860000000000003</v>
      </c>
      <c r="Y17">
        <v>4.54</v>
      </c>
      <c r="Z17">
        <v>28.8</v>
      </c>
      <c r="AA17">
        <v>6.375</v>
      </c>
      <c r="AB17">
        <v>5.6</v>
      </c>
      <c r="AC17">
        <v>1.46</v>
      </c>
      <c r="AD17">
        <v>1.32</v>
      </c>
      <c r="AE17">
        <v>5.12</v>
      </c>
      <c r="AF17">
        <v>1.762</v>
      </c>
      <c r="AG17">
        <v>0.214</v>
      </c>
      <c r="AH17">
        <v>1.36</v>
      </c>
      <c r="AI17">
        <v>6.5</v>
      </c>
      <c r="AJ17">
        <v>2.69</v>
      </c>
      <c r="AK17">
        <v>2.17</v>
      </c>
      <c r="AL17">
        <v>8.8999999999999996E-2</v>
      </c>
      <c r="AM17">
        <v>4.22</v>
      </c>
      <c r="AN17">
        <v>0.312</v>
      </c>
      <c r="AO17">
        <v>1.7</v>
      </c>
      <c r="AP17">
        <v>2.3839999999999999</v>
      </c>
      <c r="AQ17">
        <v>0.97199999999999998</v>
      </c>
      <c r="AR17">
        <v>1.62</v>
      </c>
      <c r="AS17">
        <v>1.25</v>
      </c>
      <c r="AT17">
        <v>0.496</v>
      </c>
      <c r="AU17">
        <v>773.44</v>
      </c>
    </row>
    <row r="18" spans="1:47">
      <c r="A18" s="39">
        <v>43573</v>
      </c>
      <c r="B18">
        <v>31.17</v>
      </c>
      <c r="C18">
        <v>12.32</v>
      </c>
      <c r="D18">
        <v>9.3520000000000003</v>
      </c>
      <c r="E18">
        <v>16.059999999999999</v>
      </c>
      <c r="F18">
        <v>8.5</v>
      </c>
      <c r="G18">
        <v>0.73699999999999999</v>
      </c>
      <c r="H18">
        <v>21.8</v>
      </c>
      <c r="I18">
        <v>1.47</v>
      </c>
      <c r="J18">
        <v>1.95</v>
      </c>
      <c r="K18">
        <v>6.476</v>
      </c>
      <c r="L18">
        <v>9.61</v>
      </c>
      <c r="M18" s="40">
        <v>19</v>
      </c>
      <c r="N18">
        <v>6.7309999999999999</v>
      </c>
      <c r="O18">
        <v>6.13</v>
      </c>
      <c r="P18">
        <v>5.28</v>
      </c>
      <c r="Q18">
        <v>1.78</v>
      </c>
      <c r="R18">
        <v>1.7949999999999999</v>
      </c>
      <c r="S18">
        <v>7.45</v>
      </c>
      <c r="T18">
        <v>3.44</v>
      </c>
      <c r="U18">
        <v>1.81</v>
      </c>
      <c r="V18">
        <v>19.5</v>
      </c>
      <c r="W18">
        <v>8.6</v>
      </c>
      <c r="X18">
        <v>5.7489999999999997</v>
      </c>
      <c r="Y18">
        <v>4.51</v>
      </c>
      <c r="Z18">
        <v>28.5</v>
      </c>
      <c r="AA18">
        <v>6.3250000000000002</v>
      </c>
      <c r="AB18">
        <v>5.65</v>
      </c>
      <c r="AC18">
        <v>1.466</v>
      </c>
      <c r="AD18">
        <v>1.306</v>
      </c>
      <c r="AE18">
        <v>5.08</v>
      </c>
      <c r="AF18">
        <v>1.786</v>
      </c>
      <c r="AG18">
        <v>0.22500000000000001</v>
      </c>
      <c r="AH18">
        <v>1.375</v>
      </c>
      <c r="AI18">
        <v>6.45</v>
      </c>
      <c r="AJ18">
        <v>2.86</v>
      </c>
      <c r="AK18">
        <v>2.09</v>
      </c>
      <c r="AL18">
        <v>0.09</v>
      </c>
      <c r="AM18">
        <v>4.2699999999999996</v>
      </c>
      <c r="AN18">
        <v>0.30499999999999999</v>
      </c>
      <c r="AO18">
        <v>1.69</v>
      </c>
      <c r="AP18">
        <v>2.4529999999999998</v>
      </c>
      <c r="AQ18">
        <v>0.96199999999999997</v>
      </c>
      <c r="AR18">
        <v>1.62</v>
      </c>
      <c r="AS18">
        <v>1.24</v>
      </c>
      <c r="AT18">
        <v>0.46500000000000002</v>
      </c>
      <c r="AU18">
        <v>778.42</v>
      </c>
    </row>
    <row r="19" spans="1:47">
      <c r="A19" s="39">
        <v>43578</v>
      </c>
      <c r="B19">
        <v>32.03</v>
      </c>
      <c r="C19">
        <v>12.24</v>
      </c>
      <c r="D19">
        <v>9.3719999999999999</v>
      </c>
      <c r="E19">
        <v>15.88</v>
      </c>
      <c r="F19">
        <v>8.51</v>
      </c>
      <c r="G19">
        <v>0.73599999999999999</v>
      </c>
      <c r="H19">
        <v>21.72</v>
      </c>
      <c r="I19">
        <v>1.4450000000000001</v>
      </c>
      <c r="J19">
        <v>1.9650000000000001</v>
      </c>
      <c r="K19">
        <v>6.3920000000000003</v>
      </c>
      <c r="L19">
        <v>9.56</v>
      </c>
      <c r="M19" s="40">
        <v>18.96</v>
      </c>
      <c r="N19">
        <v>6.77</v>
      </c>
      <c r="O19">
        <v>6.1</v>
      </c>
      <c r="P19">
        <v>5.2</v>
      </c>
      <c r="Q19">
        <v>1.855</v>
      </c>
      <c r="R19">
        <v>1.5840000000000001</v>
      </c>
      <c r="S19">
        <v>7.41</v>
      </c>
      <c r="T19">
        <v>3.3250000000000002</v>
      </c>
      <c r="U19">
        <v>1.768</v>
      </c>
      <c r="V19">
        <v>19.899999999999999</v>
      </c>
      <c r="W19">
        <v>8.51</v>
      </c>
      <c r="X19">
        <v>5.766</v>
      </c>
      <c r="Y19">
        <v>4.4400000000000004</v>
      </c>
      <c r="Z19">
        <v>28.5</v>
      </c>
      <c r="AA19">
        <v>6.2750000000000004</v>
      </c>
      <c r="AB19">
        <v>5.53</v>
      </c>
      <c r="AC19">
        <v>1.464</v>
      </c>
      <c r="AD19">
        <v>1.294</v>
      </c>
      <c r="AE19">
        <v>5.16</v>
      </c>
      <c r="AF19">
        <v>1.75</v>
      </c>
      <c r="AG19">
        <v>0.22</v>
      </c>
      <c r="AH19">
        <v>1.38</v>
      </c>
      <c r="AI19">
        <v>6.5</v>
      </c>
      <c r="AJ19">
        <v>2.8</v>
      </c>
      <c r="AK19">
        <v>2.0499999999999998</v>
      </c>
      <c r="AL19">
        <v>8.5000000000000006E-2</v>
      </c>
      <c r="AM19">
        <v>4.2300000000000004</v>
      </c>
      <c r="AN19">
        <v>0.31</v>
      </c>
      <c r="AO19">
        <v>1.65</v>
      </c>
      <c r="AP19">
        <v>2.4630000000000001</v>
      </c>
      <c r="AQ19">
        <v>0.95299999999999996</v>
      </c>
      <c r="AR19">
        <v>1.73</v>
      </c>
      <c r="AS19">
        <v>1.2</v>
      </c>
      <c r="AT19">
        <v>0.47399999999999998</v>
      </c>
      <c r="AU19">
        <v>776.4</v>
      </c>
    </row>
    <row r="20" spans="1:47">
      <c r="A20" s="39">
        <v>43579</v>
      </c>
      <c r="B20">
        <v>31.94</v>
      </c>
      <c r="C20">
        <v>12.25</v>
      </c>
      <c r="D20">
        <v>9.3719999999999999</v>
      </c>
      <c r="E20">
        <v>16.2</v>
      </c>
      <c r="F20">
        <v>8.43</v>
      </c>
      <c r="G20">
        <v>0.73399999999999999</v>
      </c>
      <c r="H20">
        <v>22.16</v>
      </c>
      <c r="I20">
        <v>1.4350000000000001</v>
      </c>
      <c r="J20">
        <v>1.98</v>
      </c>
      <c r="K20">
        <v>6.3540000000000001</v>
      </c>
      <c r="L20">
        <v>9.5</v>
      </c>
      <c r="M20" s="40">
        <v>18.98</v>
      </c>
      <c r="N20">
        <v>6.76</v>
      </c>
      <c r="O20">
        <v>6.01</v>
      </c>
      <c r="P20">
        <v>5.19</v>
      </c>
      <c r="Q20">
        <v>1.8109999999999999</v>
      </c>
      <c r="R20">
        <v>1.3</v>
      </c>
      <c r="S20">
        <v>7.36</v>
      </c>
      <c r="T20">
        <v>3.2650000000000001</v>
      </c>
      <c r="U20">
        <v>1.74</v>
      </c>
      <c r="V20">
        <v>20</v>
      </c>
      <c r="W20">
        <v>8.49</v>
      </c>
      <c r="X20">
        <v>5.6509999999999998</v>
      </c>
      <c r="Y20">
        <v>4.4000000000000004</v>
      </c>
      <c r="Z20">
        <v>28.1</v>
      </c>
      <c r="AA20">
        <v>6.25</v>
      </c>
      <c r="AB20">
        <v>5.4</v>
      </c>
      <c r="AC20">
        <v>1.464</v>
      </c>
      <c r="AD20">
        <v>1.286</v>
      </c>
      <c r="AE20">
        <v>5.18</v>
      </c>
      <c r="AF20">
        <v>1.704</v>
      </c>
      <c r="AG20">
        <v>0.22</v>
      </c>
      <c r="AH20">
        <v>1.335</v>
      </c>
      <c r="AI20">
        <v>6.6</v>
      </c>
      <c r="AJ20">
        <v>2.69</v>
      </c>
      <c r="AK20">
        <v>2.0299999999999998</v>
      </c>
      <c r="AL20">
        <v>8.5999999999999993E-2</v>
      </c>
      <c r="AM20">
        <v>4.2</v>
      </c>
      <c r="AN20">
        <v>0.30199999999999999</v>
      </c>
      <c r="AO20">
        <v>1.62</v>
      </c>
      <c r="AP20">
        <v>2.5609999999999999</v>
      </c>
      <c r="AQ20">
        <v>0.92200000000000004</v>
      </c>
      <c r="AR20">
        <v>1.724</v>
      </c>
      <c r="AS20">
        <v>1.22</v>
      </c>
      <c r="AT20">
        <v>0.45600000000000002</v>
      </c>
      <c r="AU20">
        <v>772.66</v>
      </c>
    </row>
    <row r="21" spans="1:47">
      <c r="A21" s="39">
        <v>43580</v>
      </c>
      <c r="B21">
        <v>31.9</v>
      </c>
      <c r="C21">
        <v>12.3</v>
      </c>
      <c r="D21">
        <v>9.3420000000000005</v>
      </c>
      <c r="E21">
        <v>16.25</v>
      </c>
      <c r="F21">
        <v>8.4499999999999993</v>
      </c>
      <c r="G21">
        <v>0.73299999999999998</v>
      </c>
      <c r="H21">
        <v>22.46</v>
      </c>
      <c r="I21">
        <v>1.44</v>
      </c>
      <c r="J21">
        <v>1.96</v>
      </c>
      <c r="K21">
        <v>6.3920000000000003</v>
      </c>
      <c r="L21">
        <v>9.4949999999999992</v>
      </c>
      <c r="M21" s="40">
        <v>19.2</v>
      </c>
      <c r="N21">
        <v>6.76</v>
      </c>
      <c r="O21">
        <v>6.07</v>
      </c>
      <c r="P21">
        <v>5.0599999999999996</v>
      </c>
      <c r="Q21">
        <v>1.7909999999999999</v>
      </c>
      <c r="R21">
        <v>1.3320000000000001</v>
      </c>
      <c r="S21">
        <v>7.24</v>
      </c>
      <c r="T21">
        <v>3.33</v>
      </c>
      <c r="U21">
        <v>1.74</v>
      </c>
      <c r="V21">
        <v>20</v>
      </c>
      <c r="W21">
        <v>8.35</v>
      </c>
      <c r="X21">
        <v>5.6509999999999998</v>
      </c>
      <c r="Y21">
        <v>4.415</v>
      </c>
      <c r="Z21">
        <v>28.2</v>
      </c>
      <c r="AA21">
        <v>6.2750000000000004</v>
      </c>
      <c r="AB21">
        <v>5.3</v>
      </c>
      <c r="AC21">
        <v>1.468</v>
      </c>
      <c r="AD21">
        <v>1.3</v>
      </c>
      <c r="AE21">
        <v>5.16</v>
      </c>
      <c r="AF21">
        <v>1.728</v>
      </c>
      <c r="AG21">
        <v>0.22600000000000001</v>
      </c>
      <c r="AH21">
        <v>1.3380000000000001</v>
      </c>
      <c r="AI21">
        <v>6.6</v>
      </c>
      <c r="AJ21">
        <v>2.62</v>
      </c>
      <c r="AK21">
        <v>2.0299999999999998</v>
      </c>
      <c r="AL21">
        <v>9.4E-2</v>
      </c>
      <c r="AM21">
        <v>4.21</v>
      </c>
      <c r="AN21">
        <v>0.30599999999999999</v>
      </c>
      <c r="AO21">
        <v>1.625</v>
      </c>
      <c r="AP21">
        <v>2.65</v>
      </c>
      <c r="AQ21">
        <v>0.93</v>
      </c>
      <c r="AR21">
        <v>1.73</v>
      </c>
      <c r="AS21">
        <v>1.2250000000000001</v>
      </c>
      <c r="AT21">
        <v>0.44</v>
      </c>
      <c r="AU21">
        <v>772.74</v>
      </c>
    </row>
    <row r="22" spans="1:47">
      <c r="A22" s="39">
        <v>43585</v>
      </c>
      <c r="B22">
        <v>31.92</v>
      </c>
      <c r="C22">
        <v>12.38</v>
      </c>
      <c r="D22">
        <v>9.5920000000000005</v>
      </c>
      <c r="E22">
        <v>16.2</v>
      </c>
      <c r="F22">
        <v>8.25</v>
      </c>
      <c r="G22">
        <v>0.74199999999999999</v>
      </c>
      <c r="H22">
        <v>22.74</v>
      </c>
      <c r="I22">
        <v>1.3819999999999999</v>
      </c>
      <c r="J22">
        <v>1.954</v>
      </c>
      <c r="K22">
        <v>6.4109999999999996</v>
      </c>
      <c r="L22">
        <v>9.6649999999999991</v>
      </c>
      <c r="M22" s="40">
        <v>19.36</v>
      </c>
      <c r="N22">
        <v>6.8</v>
      </c>
      <c r="O22">
        <v>5.95</v>
      </c>
      <c r="P22">
        <v>5.14</v>
      </c>
      <c r="Q22">
        <v>1.8049999999999999</v>
      </c>
      <c r="R22">
        <v>1.26</v>
      </c>
      <c r="S22">
        <v>7.39</v>
      </c>
      <c r="T22">
        <v>3.355</v>
      </c>
      <c r="U22">
        <v>1.716</v>
      </c>
      <c r="V22">
        <v>20.7</v>
      </c>
      <c r="W22">
        <v>8.43</v>
      </c>
      <c r="X22">
        <v>5.7009999999999996</v>
      </c>
      <c r="Y22">
        <v>4.4800000000000004</v>
      </c>
      <c r="Z22">
        <v>28.4</v>
      </c>
      <c r="AA22">
        <v>6.25</v>
      </c>
      <c r="AB22">
        <v>5.4</v>
      </c>
      <c r="AC22">
        <v>1.47</v>
      </c>
      <c r="AD22">
        <v>1.278</v>
      </c>
      <c r="AE22">
        <v>5.18</v>
      </c>
      <c r="AF22">
        <v>1.714</v>
      </c>
      <c r="AG22">
        <v>0.216</v>
      </c>
      <c r="AH22">
        <v>1.325</v>
      </c>
      <c r="AI22">
        <v>6.55</v>
      </c>
      <c r="AJ22">
        <v>2.4500000000000002</v>
      </c>
      <c r="AK22">
        <v>1.98</v>
      </c>
      <c r="AL22">
        <v>9.1999999999999998E-2</v>
      </c>
      <c r="AM22">
        <v>4.0999999999999996</v>
      </c>
      <c r="AN22">
        <v>0.29199999999999998</v>
      </c>
      <c r="AO22">
        <v>1.62</v>
      </c>
      <c r="AP22">
        <v>2.61</v>
      </c>
      <c r="AQ22">
        <v>0.89100000000000001</v>
      </c>
      <c r="AR22">
        <v>1.716</v>
      </c>
      <c r="AS22">
        <v>1.21</v>
      </c>
      <c r="AT22">
        <v>0.41799999999999998</v>
      </c>
      <c r="AU22">
        <v>773.24</v>
      </c>
    </row>
    <row r="23" spans="1:47">
      <c r="A23" s="39">
        <v>43587</v>
      </c>
      <c r="B23">
        <v>32.6</v>
      </c>
      <c r="C23">
        <v>12.25</v>
      </c>
      <c r="D23">
        <v>9.5820000000000007</v>
      </c>
      <c r="E23">
        <v>16.05</v>
      </c>
      <c r="F23">
        <v>8.35</v>
      </c>
      <c r="G23">
        <v>0.75</v>
      </c>
      <c r="H23">
        <v>22.1</v>
      </c>
      <c r="I23">
        <v>1.3620000000000001</v>
      </c>
      <c r="J23">
        <v>1.9570000000000001</v>
      </c>
      <c r="K23">
        <v>6.4290000000000003</v>
      </c>
      <c r="L23">
        <v>9.6549999999999994</v>
      </c>
      <c r="M23" s="40">
        <v>19.3</v>
      </c>
      <c r="N23">
        <v>6.6429999999999998</v>
      </c>
      <c r="O23">
        <v>6</v>
      </c>
      <c r="P23">
        <v>5.27</v>
      </c>
      <c r="Q23">
        <v>1.7729999999999999</v>
      </c>
      <c r="R23">
        <v>1.3</v>
      </c>
      <c r="S23">
        <v>7.35</v>
      </c>
      <c r="T23">
        <v>3.37</v>
      </c>
      <c r="U23">
        <v>1.722</v>
      </c>
      <c r="V23">
        <v>21.5</v>
      </c>
      <c r="W23">
        <v>8.65</v>
      </c>
      <c r="X23">
        <v>5.7009999999999996</v>
      </c>
      <c r="Y23">
        <v>4.47</v>
      </c>
      <c r="Z23">
        <v>29.3</v>
      </c>
      <c r="AA23">
        <v>6.375</v>
      </c>
      <c r="AB23">
        <v>5.38</v>
      </c>
      <c r="AC23">
        <v>1.468</v>
      </c>
      <c r="AD23">
        <v>1.3</v>
      </c>
      <c r="AE23">
        <v>5.26</v>
      </c>
      <c r="AF23">
        <v>1.728</v>
      </c>
      <c r="AG23">
        <v>0.20699999999999999</v>
      </c>
      <c r="AH23">
        <v>1.33</v>
      </c>
      <c r="AI23">
        <v>6.65</v>
      </c>
      <c r="AJ23">
        <v>2.29</v>
      </c>
      <c r="AK23">
        <v>1.99</v>
      </c>
      <c r="AL23">
        <v>8.5999999999999993E-2</v>
      </c>
      <c r="AM23">
        <v>4.12</v>
      </c>
      <c r="AN23">
        <v>0.31</v>
      </c>
      <c r="AO23">
        <v>1.61</v>
      </c>
      <c r="AP23">
        <v>2.8370000000000002</v>
      </c>
      <c r="AQ23">
        <v>0.877</v>
      </c>
      <c r="AR23">
        <v>1.6719999999999999</v>
      </c>
      <c r="AS23">
        <v>1.1950000000000001</v>
      </c>
      <c r="AT23">
        <v>0.42599999999999999</v>
      </c>
      <c r="AU23">
        <v>775.16</v>
      </c>
    </row>
    <row r="24" spans="1:47">
      <c r="A24" s="39">
        <v>43588</v>
      </c>
      <c r="B24">
        <v>32.21</v>
      </c>
      <c r="C24">
        <v>12</v>
      </c>
      <c r="D24">
        <v>9.4369999999999994</v>
      </c>
      <c r="E24">
        <v>16.09</v>
      </c>
      <c r="F24">
        <v>8.4499999999999993</v>
      </c>
      <c r="G24">
        <v>0.75700000000000001</v>
      </c>
      <c r="H24">
        <v>21.8</v>
      </c>
      <c r="I24">
        <v>1.347</v>
      </c>
      <c r="J24">
        <v>1.98</v>
      </c>
      <c r="K24">
        <v>6.3449999999999998</v>
      </c>
      <c r="L24">
        <v>9.67</v>
      </c>
      <c r="M24" s="40">
        <v>19.28</v>
      </c>
      <c r="N24">
        <v>6.76</v>
      </c>
      <c r="O24">
        <v>6.08</v>
      </c>
      <c r="P24">
        <v>5.23</v>
      </c>
      <c r="Q24">
        <v>1.827</v>
      </c>
      <c r="R24">
        <v>1.3140000000000001</v>
      </c>
      <c r="S24">
        <v>7.34</v>
      </c>
      <c r="T24">
        <v>3.3650000000000002</v>
      </c>
      <c r="U24">
        <v>1.72</v>
      </c>
      <c r="V24">
        <v>22.2</v>
      </c>
      <c r="W24">
        <v>8.7100000000000009</v>
      </c>
      <c r="X24">
        <v>5.7009999999999996</v>
      </c>
      <c r="Y24">
        <v>4.5199999999999996</v>
      </c>
      <c r="Z24">
        <v>29.2</v>
      </c>
      <c r="AA24">
        <v>6.2750000000000004</v>
      </c>
      <c r="AB24">
        <v>5.38</v>
      </c>
      <c r="AC24">
        <v>1.466</v>
      </c>
      <c r="AD24">
        <v>1.288</v>
      </c>
      <c r="AE24">
        <v>5.28</v>
      </c>
      <c r="AF24">
        <v>1.718</v>
      </c>
      <c r="AG24">
        <v>0.2</v>
      </c>
      <c r="AH24">
        <v>1.33</v>
      </c>
      <c r="AI24">
        <v>6.7</v>
      </c>
      <c r="AJ24">
        <v>2.33</v>
      </c>
      <c r="AK24">
        <v>2.08</v>
      </c>
      <c r="AL24">
        <v>8.5999999999999993E-2</v>
      </c>
      <c r="AM24">
        <v>4.1500000000000004</v>
      </c>
      <c r="AN24">
        <v>0.311</v>
      </c>
      <c r="AO24">
        <v>1.6</v>
      </c>
      <c r="AP24">
        <v>2.827</v>
      </c>
      <c r="AQ24">
        <v>0.88</v>
      </c>
      <c r="AR24">
        <v>1.7</v>
      </c>
      <c r="AS24">
        <v>1.2</v>
      </c>
      <c r="AT24">
        <v>0.432</v>
      </c>
      <c r="AU24">
        <v>774.37</v>
      </c>
    </row>
    <row r="25" spans="1:47">
      <c r="A25" s="39">
        <v>43591</v>
      </c>
      <c r="B25">
        <v>31.84</v>
      </c>
      <c r="C25">
        <v>11.75</v>
      </c>
      <c r="D25">
        <v>9.2070000000000007</v>
      </c>
      <c r="E25">
        <v>15.9</v>
      </c>
      <c r="F25">
        <v>8.23</v>
      </c>
      <c r="G25">
        <v>0.73199999999999998</v>
      </c>
      <c r="H25">
        <v>21.44</v>
      </c>
      <c r="I25">
        <v>1.288</v>
      </c>
      <c r="J25">
        <v>1.9</v>
      </c>
      <c r="K25">
        <v>6.2220000000000004</v>
      </c>
      <c r="L25">
        <v>9.25</v>
      </c>
      <c r="M25" s="40">
        <v>19.239999999999998</v>
      </c>
      <c r="N25">
        <v>6.702</v>
      </c>
      <c r="O25">
        <v>5.95</v>
      </c>
      <c r="P25">
        <v>4.95</v>
      </c>
      <c r="Q25">
        <v>1.7470000000000001</v>
      </c>
      <c r="R25">
        <v>1.34</v>
      </c>
      <c r="S25">
        <v>7.31</v>
      </c>
      <c r="T25">
        <v>3.23</v>
      </c>
      <c r="U25">
        <v>1.6859999999999999</v>
      </c>
      <c r="V25">
        <v>20.7</v>
      </c>
      <c r="W25">
        <v>8.5</v>
      </c>
      <c r="X25">
        <v>5.5369999999999999</v>
      </c>
      <c r="Y25">
        <v>4.37</v>
      </c>
      <c r="Z25">
        <v>28</v>
      </c>
      <c r="AA25">
        <v>6.25</v>
      </c>
      <c r="AB25">
        <v>5.23</v>
      </c>
      <c r="AC25">
        <v>1.468</v>
      </c>
      <c r="AD25">
        <v>1.25</v>
      </c>
      <c r="AE25">
        <v>5.22</v>
      </c>
      <c r="AF25">
        <v>1.64</v>
      </c>
      <c r="AG25">
        <v>0.19</v>
      </c>
      <c r="AH25">
        <v>1.3</v>
      </c>
      <c r="AI25">
        <v>6.65</v>
      </c>
      <c r="AJ25">
        <v>2.12</v>
      </c>
      <c r="AK25">
        <v>2.0299999999999998</v>
      </c>
      <c r="AL25">
        <v>8.3000000000000004E-2</v>
      </c>
      <c r="AM25">
        <v>4.04</v>
      </c>
      <c r="AN25">
        <v>0.29499999999999998</v>
      </c>
      <c r="AO25">
        <v>1.5149999999999999</v>
      </c>
      <c r="AP25">
        <v>2.5609999999999999</v>
      </c>
      <c r="AQ25">
        <v>0.84599999999999997</v>
      </c>
      <c r="AR25">
        <v>1.6060000000000001</v>
      </c>
      <c r="AS25">
        <v>1.17</v>
      </c>
      <c r="AT25">
        <v>0.42599999999999999</v>
      </c>
      <c r="AU25">
        <v>754.2</v>
      </c>
    </row>
    <row r="26" spans="1:47">
      <c r="A26" s="39">
        <v>43592</v>
      </c>
      <c r="B26">
        <v>32.21</v>
      </c>
      <c r="C26">
        <v>11.58</v>
      </c>
      <c r="D26">
        <v>9.2219999999999995</v>
      </c>
      <c r="E26">
        <v>16.2</v>
      </c>
      <c r="F26">
        <v>8.24</v>
      </c>
      <c r="G26">
        <v>0.747</v>
      </c>
      <c r="H26">
        <v>21</v>
      </c>
      <c r="I26">
        <v>1.296</v>
      </c>
      <c r="J26">
        <v>1.93</v>
      </c>
      <c r="K26">
        <v>6.2030000000000003</v>
      </c>
      <c r="L26">
        <v>9.42</v>
      </c>
      <c r="M26" s="40">
        <v>19.2</v>
      </c>
      <c r="N26">
        <v>6.7409999999999997</v>
      </c>
      <c r="O26">
        <v>6.02</v>
      </c>
      <c r="P26">
        <v>5.04</v>
      </c>
      <c r="Q26">
        <v>1.764</v>
      </c>
      <c r="R26">
        <v>1.4</v>
      </c>
      <c r="S26">
        <v>7.44</v>
      </c>
      <c r="T26">
        <v>3.14</v>
      </c>
      <c r="U26">
        <v>1.704</v>
      </c>
      <c r="V26">
        <v>20.6</v>
      </c>
      <c r="W26">
        <v>8.6199999999999992</v>
      </c>
      <c r="X26">
        <v>5.4720000000000004</v>
      </c>
      <c r="Y26">
        <v>4.33</v>
      </c>
      <c r="Z26">
        <v>28</v>
      </c>
      <c r="AA26">
        <v>6.2249999999999996</v>
      </c>
      <c r="AB26">
        <v>5.29</v>
      </c>
      <c r="AC26">
        <v>1.468</v>
      </c>
      <c r="AD26">
        <v>1.262</v>
      </c>
      <c r="AE26">
        <v>5.28</v>
      </c>
      <c r="AF26">
        <v>1.6459999999999999</v>
      </c>
      <c r="AG26">
        <v>0.19700000000000001</v>
      </c>
      <c r="AH26">
        <v>1.298</v>
      </c>
      <c r="AI26">
        <v>6.45</v>
      </c>
      <c r="AJ26">
        <v>2.12</v>
      </c>
      <c r="AK26">
        <v>1.9850000000000001</v>
      </c>
      <c r="AL26">
        <v>8.6999999999999994E-2</v>
      </c>
      <c r="AM26">
        <v>4.13</v>
      </c>
      <c r="AN26">
        <v>0.318</v>
      </c>
      <c r="AO26">
        <v>1.53</v>
      </c>
      <c r="AP26">
        <v>2.66</v>
      </c>
      <c r="AQ26">
        <v>0.84499999999999997</v>
      </c>
      <c r="AR26">
        <v>1.59</v>
      </c>
      <c r="AS26">
        <v>1.175</v>
      </c>
      <c r="AT26">
        <v>0.42799999999999999</v>
      </c>
      <c r="AU26">
        <v>758.97</v>
      </c>
    </row>
    <row r="27" spans="1:47">
      <c r="A27" s="39">
        <v>43593</v>
      </c>
      <c r="B27">
        <v>32.020000000000003</v>
      </c>
      <c r="C27">
        <v>11.5</v>
      </c>
      <c r="D27">
        <v>9.0920000000000005</v>
      </c>
      <c r="E27">
        <v>15.54</v>
      </c>
      <c r="F27">
        <v>8</v>
      </c>
      <c r="G27">
        <v>0.71599999999999997</v>
      </c>
      <c r="H27">
        <v>20.72</v>
      </c>
      <c r="I27">
        <v>1.24</v>
      </c>
      <c r="J27">
        <v>1.9</v>
      </c>
      <c r="K27">
        <v>6.1470000000000002</v>
      </c>
      <c r="L27">
        <v>9.26</v>
      </c>
      <c r="M27" s="40">
        <v>18.82</v>
      </c>
      <c r="N27">
        <v>6.6920000000000002</v>
      </c>
      <c r="O27">
        <v>5.96</v>
      </c>
      <c r="P27">
        <v>4.92</v>
      </c>
      <c r="Q27">
        <v>1.63</v>
      </c>
      <c r="R27">
        <v>1.4319999999999999</v>
      </c>
      <c r="S27">
        <v>7.34</v>
      </c>
      <c r="T27">
        <v>3.08</v>
      </c>
      <c r="U27">
        <v>1.6659999999999999</v>
      </c>
      <c r="V27">
        <v>20.6</v>
      </c>
      <c r="W27">
        <v>8.35</v>
      </c>
      <c r="X27">
        <v>5.4390000000000001</v>
      </c>
      <c r="Y27">
        <v>4.32</v>
      </c>
      <c r="Z27">
        <v>28.2</v>
      </c>
      <c r="AA27">
        <v>6.125</v>
      </c>
      <c r="AB27">
        <v>5.14</v>
      </c>
      <c r="AC27">
        <v>1.468</v>
      </c>
      <c r="AD27">
        <v>1.22</v>
      </c>
      <c r="AE27">
        <v>5.16</v>
      </c>
      <c r="AF27">
        <v>1.5960000000000001</v>
      </c>
      <c r="AG27">
        <v>0.188</v>
      </c>
      <c r="AH27">
        <v>1.2849999999999999</v>
      </c>
      <c r="AI27">
        <v>6.5</v>
      </c>
      <c r="AJ27">
        <v>2.11</v>
      </c>
      <c r="AK27">
        <v>1.99</v>
      </c>
      <c r="AL27">
        <v>8.5999999999999993E-2</v>
      </c>
      <c r="AM27">
        <v>4.07</v>
      </c>
      <c r="AN27">
        <v>0.32200000000000001</v>
      </c>
      <c r="AO27">
        <v>1.51</v>
      </c>
      <c r="AP27">
        <v>2.6989999999999998</v>
      </c>
      <c r="AQ27">
        <v>0.83099999999999996</v>
      </c>
      <c r="AR27">
        <v>1.57</v>
      </c>
      <c r="AS27">
        <v>1.165</v>
      </c>
      <c r="AT27">
        <v>0.41299999999999998</v>
      </c>
      <c r="AU27">
        <v>743.01</v>
      </c>
    </row>
    <row r="28" spans="1:47">
      <c r="A28" s="39">
        <v>43594</v>
      </c>
      <c r="B28">
        <v>32</v>
      </c>
      <c r="C28">
        <v>11.32</v>
      </c>
      <c r="D28">
        <v>8.8170000000000002</v>
      </c>
      <c r="E28">
        <v>15.32</v>
      </c>
      <c r="F28">
        <v>7.92</v>
      </c>
      <c r="G28">
        <v>0.68700000000000006</v>
      </c>
      <c r="H28">
        <v>20.399999999999999</v>
      </c>
      <c r="I28">
        <v>1.2170000000000001</v>
      </c>
      <c r="J28">
        <v>1.88</v>
      </c>
      <c r="K28">
        <v>6.1189999999999998</v>
      </c>
      <c r="L28">
        <v>9.11</v>
      </c>
      <c r="M28" s="40">
        <v>18.2</v>
      </c>
      <c r="N28">
        <v>6.6040000000000001</v>
      </c>
      <c r="O28">
        <v>5.76</v>
      </c>
      <c r="P28">
        <v>4.82</v>
      </c>
      <c r="Q28">
        <v>1.494</v>
      </c>
      <c r="R28">
        <v>1.3480000000000001</v>
      </c>
      <c r="S28">
        <v>7.3</v>
      </c>
      <c r="T28">
        <v>3.0350000000000001</v>
      </c>
      <c r="U28">
        <v>1.6679999999999999</v>
      </c>
      <c r="V28">
        <v>19.98</v>
      </c>
      <c r="W28">
        <v>8.24</v>
      </c>
      <c r="X28">
        <v>5.2590000000000003</v>
      </c>
      <c r="Y28">
        <v>4.25</v>
      </c>
      <c r="Z28">
        <v>27.5</v>
      </c>
      <c r="AA28">
        <v>6.125</v>
      </c>
      <c r="AB28">
        <v>4.95</v>
      </c>
      <c r="AC28">
        <v>1.464</v>
      </c>
      <c r="AD28">
        <v>1.21</v>
      </c>
      <c r="AE28">
        <v>5.16</v>
      </c>
      <c r="AF28">
        <v>1.5680000000000001</v>
      </c>
      <c r="AG28">
        <v>0.19</v>
      </c>
      <c r="AH28">
        <v>1.2549999999999999</v>
      </c>
      <c r="AI28">
        <v>6.25</v>
      </c>
      <c r="AJ28">
        <v>2.11</v>
      </c>
      <c r="AK28">
        <v>1.9950000000000001</v>
      </c>
      <c r="AL28">
        <v>8.5999999999999993E-2</v>
      </c>
      <c r="AM28">
        <v>4.05</v>
      </c>
      <c r="AN28">
        <v>0.312</v>
      </c>
      <c r="AO28">
        <v>1.4950000000000001</v>
      </c>
      <c r="AP28">
        <v>2.63</v>
      </c>
      <c r="AQ28">
        <v>0.80900000000000005</v>
      </c>
      <c r="AR28">
        <v>1.54</v>
      </c>
      <c r="AS28">
        <v>1.1299999999999999</v>
      </c>
      <c r="AT28">
        <v>0.40400000000000003</v>
      </c>
      <c r="AU28">
        <v>728.62</v>
      </c>
    </row>
    <row r="29" spans="1:47">
      <c r="A29" s="39">
        <v>43595</v>
      </c>
      <c r="B29">
        <v>31.64</v>
      </c>
      <c r="C29">
        <v>11.34</v>
      </c>
      <c r="D29">
        <v>8.9120000000000008</v>
      </c>
      <c r="E29">
        <v>15.1</v>
      </c>
      <c r="F29">
        <v>7.91</v>
      </c>
      <c r="G29">
        <v>0.70499999999999996</v>
      </c>
      <c r="H29">
        <v>20.36</v>
      </c>
      <c r="I29">
        <v>1.2350000000000001</v>
      </c>
      <c r="J29">
        <v>2.04</v>
      </c>
      <c r="K29">
        <v>6.1280000000000001</v>
      </c>
      <c r="L29">
        <v>9.16</v>
      </c>
      <c r="M29" s="40">
        <v>17.920000000000002</v>
      </c>
      <c r="N29">
        <v>6.5839999999999996</v>
      </c>
      <c r="O29">
        <v>5.86</v>
      </c>
      <c r="P29">
        <v>4.93</v>
      </c>
      <c r="Q29">
        <v>1.5369999999999999</v>
      </c>
      <c r="R29">
        <v>1.3</v>
      </c>
      <c r="S29">
        <v>7.28</v>
      </c>
      <c r="T29">
        <v>3.0750000000000002</v>
      </c>
      <c r="U29">
        <v>1.6779999999999999</v>
      </c>
      <c r="V29">
        <v>21.4</v>
      </c>
      <c r="W29">
        <v>8.15</v>
      </c>
      <c r="X29">
        <v>5.39</v>
      </c>
      <c r="Y29">
        <v>4.2850000000000001</v>
      </c>
      <c r="Z29">
        <v>28</v>
      </c>
      <c r="AA29">
        <v>6.05</v>
      </c>
      <c r="AB29">
        <v>4.93</v>
      </c>
      <c r="AC29">
        <v>1.464</v>
      </c>
      <c r="AD29">
        <v>1.234</v>
      </c>
      <c r="AE29">
        <v>5.24</v>
      </c>
      <c r="AF29">
        <v>1.5860000000000001</v>
      </c>
      <c r="AG29">
        <v>0.19600000000000001</v>
      </c>
      <c r="AH29">
        <v>1.25</v>
      </c>
      <c r="AI29">
        <v>6.3</v>
      </c>
      <c r="AJ29">
        <v>2.15</v>
      </c>
      <c r="AK29">
        <v>1.95</v>
      </c>
      <c r="AL29">
        <v>8.7999999999999995E-2</v>
      </c>
      <c r="AM29">
        <v>4.09</v>
      </c>
      <c r="AN29">
        <v>0.32600000000000001</v>
      </c>
      <c r="AO29">
        <v>1.5249999999999999</v>
      </c>
      <c r="AP29">
        <v>2.7090000000000001</v>
      </c>
      <c r="AQ29">
        <v>0.81399999999999995</v>
      </c>
      <c r="AR29">
        <v>1.532</v>
      </c>
      <c r="AS29">
        <v>1.1399999999999999</v>
      </c>
      <c r="AT29">
        <v>0.42799999999999999</v>
      </c>
      <c r="AU29">
        <v>736.01</v>
      </c>
    </row>
    <row r="30" spans="1:47">
      <c r="A30" s="39">
        <v>43598</v>
      </c>
      <c r="B30">
        <v>31.19</v>
      </c>
      <c r="C30">
        <v>11.34</v>
      </c>
      <c r="D30">
        <v>8.7919999999999998</v>
      </c>
      <c r="E30">
        <v>14.8</v>
      </c>
      <c r="F30">
        <v>7.95</v>
      </c>
      <c r="G30">
        <v>0.68600000000000005</v>
      </c>
      <c r="H30">
        <v>20.2</v>
      </c>
      <c r="I30">
        <v>1.21</v>
      </c>
      <c r="J30">
        <v>2.0110000000000001</v>
      </c>
      <c r="K30">
        <v>6.0339999999999998</v>
      </c>
      <c r="L30">
        <v>9.1300000000000008</v>
      </c>
      <c r="M30" s="40">
        <v>17.579999999999998</v>
      </c>
      <c r="N30">
        <v>6.5549999999999997</v>
      </c>
      <c r="O30">
        <v>5.74</v>
      </c>
      <c r="P30">
        <v>4.7949999999999999</v>
      </c>
      <c r="Q30">
        <v>1.4059999999999999</v>
      </c>
      <c r="R30">
        <v>1.3069999999999999</v>
      </c>
      <c r="S30">
        <v>7.16</v>
      </c>
      <c r="T30">
        <v>2.9849999999999999</v>
      </c>
      <c r="U30">
        <v>1.6779999999999999</v>
      </c>
      <c r="V30">
        <v>21.2</v>
      </c>
      <c r="W30">
        <v>8.1300000000000008</v>
      </c>
      <c r="X30">
        <v>5.423</v>
      </c>
      <c r="Y30">
        <v>4.07</v>
      </c>
      <c r="Z30">
        <v>27.1</v>
      </c>
      <c r="AA30">
        <v>6.0750000000000002</v>
      </c>
      <c r="AB30">
        <v>4.8</v>
      </c>
      <c r="AC30">
        <v>1.462</v>
      </c>
      <c r="AD30">
        <v>1.254</v>
      </c>
      <c r="AE30">
        <v>5.3</v>
      </c>
      <c r="AF30">
        <v>1.5580000000000001</v>
      </c>
      <c r="AG30">
        <v>0.19700000000000001</v>
      </c>
      <c r="AH30">
        <v>1.25</v>
      </c>
      <c r="AI30">
        <v>6.2</v>
      </c>
      <c r="AJ30">
        <v>2.13</v>
      </c>
      <c r="AK30">
        <v>1.93</v>
      </c>
      <c r="AL30">
        <v>8.5000000000000006E-2</v>
      </c>
      <c r="AM30">
        <v>4.05</v>
      </c>
      <c r="AN30">
        <v>0.32300000000000001</v>
      </c>
      <c r="AO30">
        <v>1.51</v>
      </c>
      <c r="AP30">
        <v>2.758</v>
      </c>
      <c r="AQ30">
        <v>0.81200000000000006</v>
      </c>
      <c r="AR30">
        <v>1.55</v>
      </c>
      <c r="AS30">
        <v>1.1399999999999999</v>
      </c>
      <c r="AT30">
        <v>0.4</v>
      </c>
      <c r="AU30">
        <v>724.65</v>
      </c>
    </row>
    <row r="31" spans="1:47">
      <c r="A31" s="39">
        <v>43599</v>
      </c>
      <c r="B31">
        <v>31.7</v>
      </c>
      <c r="C31">
        <v>11.46</v>
      </c>
      <c r="D31">
        <v>8.6229999999999993</v>
      </c>
      <c r="E31">
        <v>14.61</v>
      </c>
      <c r="F31">
        <v>7.96</v>
      </c>
      <c r="G31">
        <v>0.70299999999999996</v>
      </c>
      <c r="H31">
        <v>20.04</v>
      </c>
      <c r="I31">
        <v>1.2649999999999999</v>
      </c>
      <c r="J31">
        <v>2.0779999999999998</v>
      </c>
      <c r="K31">
        <v>6.1</v>
      </c>
      <c r="L31">
        <v>9.3000000000000007</v>
      </c>
      <c r="M31" s="40">
        <v>17.2</v>
      </c>
      <c r="N31">
        <v>6.5549999999999997</v>
      </c>
      <c r="O31">
        <v>5.76</v>
      </c>
      <c r="P31">
        <v>4.84</v>
      </c>
      <c r="Q31">
        <v>1.4550000000000001</v>
      </c>
      <c r="R31">
        <v>1.282</v>
      </c>
      <c r="S31">
        <v>7.25</v>
      </c>
      <c r="T31">
        <v>3.08</v>
      </c>
      <c r="U31">
        <v>1.68</v>
      </c>
      <c r="V31">
        <v>21.55</v>
      </c>
      <c r="W31">
        <v>8</v>
      </c>
      <c r="X31">
        <v>5.4390000000000001</v>
      </c>
      <c r="Y31">
        <v>4.12</v>
      </c>
      <c r="Z31">
        <v>27.4</v>
      </c>
      <c r="AA31">
        <v>6.25</v>
      </c>
      <c r="AB31">
        <v>4.8250000000000002</v>
      </c>
      <c r="AC31">
        <v>1.462</v>
      </c>
      <c r="AD31">
        <v>1.282</v>
      </c>
      <c r="AE31">
        <v>5.32</v>
      </c>
      <c r="AF31">
        <v>1.544</v>
      </c>
      <c r="AG31">
        <v>0.2</v>
      </c>
      <c r="AH31">
        <v>1.25</v>
      </c>
      <c r="AI31">
        <v>6.1</v>
      </c>
      <c r="AJ31">
        <v>2.04</v>
      </c>
      <c r="AK31">
        <v>1.925</v>
      </c>
      <c r="AL31">
        <v>8.4000000000000005E-2</v>
      </c>
      <c r="AM31">
        <v>4.04</v>
      </c>
      <c r="AN31">
        <v>0.32100000000000001</v>
      </c>
      <c r="AO31">
        <v>1.48</v>
      </c>
      <c r="AP31">
        <v>2.738</v>
      </c>
      <c r="AQ31">
        <v>0.80500000000000005</v>
      </c>
      <c r="AR31">
        <v>1.55</v>
      </c>
      <c r="AS31">
        <v>1.1599999999999999</v>
      </c>
      <c r="AT31">
        <v>0.38500000000000001</v>
      </c>
      <c r="AU31">
        <v>732.06</v>
      </c>
    </row>
    <row r="32" spans="1:47">
      <c r="A32" s="39">
        <v>43600</v>
      </c>
      <c r="B32">
        <v>31.89</v>
      </c>
      <c r="C32">
        <v>11.35</v>
      </c>
      <c r="D32">
        <v>8.3729999999999993</v>
      </c>
      <c r="E32">
        <v>14.41</v>
      </c>
      <c r="F32">
        <v>7.62</v>
      </c>
      <c r="G32">
        <v>0.71199999999999997</v>
      </c>
      <c r="H32">
        <v>19.7</v>
      </c>
      <c r="I32">
        <v>1.2230000000000001</v>
      </c>
      <c r="J32">
        <v>2.0409999999999999</v>
      </c>
      <c r="K32">
        <v>6.0060000000000002</v>
      </c>
      <c r="L32">
        <v>9.0150000000000006</v>
      </c>
      <c r="M32" s="40">
        <v>16.86</v>
      </c>
      <c r="N32">
        <v>6.4859999999999998</v>
      </c>
      <c r="O32">
        <v>5.82</v>
      </c>
      <c r="P32">
        <v>4.8099999999999996</v>
      </c>
      <c r="Q32">
        <v>1.42</v>
      </c>
      <c r="R32">
        <v>1.28</v>
      </c>
      <c r="S32">
        <v>7.21</v>
      </c>
      <c r="T32">
        <v>2.95</v>
      </c>
      <c r="U32">
        <v>1.6759999999999999</v>
      </c>
      <c r="V32">
        <v>21</v>
      </c>
      <c r="W32">
        <v>7.97</v>
      </c>
      <c r="X32">
        <v>5.4390000000000001</v>
      </c>
      <c r="Y32">
        <v>4.1399999999999997</v>
      </c>
      <c r="Z32">
        <v>27.3</v>
      </c>
      <c r="AA32">
        <v>6.1749999999999998</v>
      </c>
      <c r="AB32">
        <v>4.67</v>
      </c>
      <c r="AC32">
        <v>1.46</v>
      </c>
      <c r="AD32">
        <v>1.26</v>
      </c>
      <c r="AE32">
        <v>5.28</v>
      </c>
      <c r="AF32">
        <v>1.506</v>
      </c>
      <c r="AG32">
        <v>0.19600000000000001</v>
      </c>
      <c r="AH32">
        <v>1.25</v>
      </c>
      <c r="AI32">
        <v>6.2</v>
      </c>
      <c r="AJ32">
        <v>1.99</v>
      </c>
      <c r="AK32">
        <v>1.88</v>
      </c>
      <c r="AL32">
        <v>8.4000000000000005E-2</v>
      </c>
      <c r="AM32">
        <v>3.95</v>
      </c>
      <c r="AN32">
        <v>0.315</v>
      </c>
      <c r="AO32">
        <v>1.47</v>
      </c>
      <c r="AP32">
        <v>2.9260000000000002</v>
      </c>
      <c r="AQ32">
        <v>0.78600000000000003</v>
      </c>
      <c r="AR32">
        <v>1.65</v>
      </c>
      <c r="AS32">
        <v>1.155</v>
      </c>
      <c r="AT32">
        <v>0.35399999999999998</v>
      </c>
      <c r="AU32">
        <v>722.88</v>
      </c>
    </row>
    <row r="33" spans="1:47">
      <c r="A33" s="39">
        <v>43601</v>
      </c>
      <c r="B33">
        <v>32.090000000000003</v>
      </c>
      <c r="C33">
        <v>11.33</v>
      </c>
      <c r="D33">
        <v>8.343</v>
      </c>
      <c r="E33">
        <v>14.5</v>
      </c>
      <c r="F33">
        <v>7.7</v>
      </c>
      <c r="G33">
        <v>0.70899999999999996</v>
      </c>
      <c r="H33">
        <v>19.920000000000002</v>
      </c>
      <c r="I33">
        <v>1.2210000000000001</v>
      </c>
      <c r="J33">
        <v>2.1120000000000001</v>
      </c>
      <c r="K33">
        <v>6.0620000000000003</v>
      </c>
      <c r="L33">
        <v>9</v>
      </c>
      <c r="M33" s="40">
        <v>17.100000000000001</v>
      </c>
      <c r="N33">
        <v>6.5549999999999997</v>
      </c>
      <c r="O33">
        <v>5.8</v>
      </c>
      <c r="P33">
        <v>4.75</v>
      </c>
      <c r="Q33">
        <v>1.4259999999999999</v>
      </c>
      <c r="R33">
        <v>1.28</v>
      </c>
      <c r="S33">
        <v>7.17</v>
      </c>
      <c r="T33">
        <v>2.94</v>
      </c>
      <c r="U33">
        <v>1.734</v>
      </c>
      <c r="V33">
        <v>21.4</v>
      </c>
      <c r="W33">
        <v>7.86</v>
      </c>
      <c r="X33">
        <v>5.5529999999999999</v>
      </c>
      <c r="Y33">
        <v>4.07</v>
      </c>
      <c r="Z33">
        <v>27.3</v>
      </c>
      <c r="AA33">
        <v>6.2249999999999996</v>
      </c>
      <c r="AB33">
        <v>4.7050000000000001</v>
      </c>
      <c r="AC33">
        <v>1.46</v>
      </c>
      <c r="AD33">
        <v>1.254</v>
      </c>
      <c r="AE33">
        <v>5.12</v>
      </c>
      <c r="AF33">
        <v>1.524</v>
      </c>
      <c r="AG33">
        <v>0.19700000000000001</v>
      </c>
      <c r="AH33">
        <v>1.25</v>
      </c>
      <c r="AI33">
        <v>6.05</v>
      </c>
      <c r="AJ33">
        <v>2.04</v>
      </c>
      <c r="AK33">
        <v>1.88</v>
      </c>
      <c r="AL33">
        <v>8.4000000000000005E-2</v>
      </c>
      <c r="AM33">
        <v>3.94</v>
      </c>
      <c r="AN33">
        <v>0.316</v>
      </c>
      <c r="AO33">
        <v>1.47</v>
      </c>
      <c r="AP33">
        <v>2.8860000000000001</v>
      </c>
      <c r="AQ33">
        <v>0.77500000000000002</v>
      </c>
      <c r="AR33">
        <v>1.6779999999999999</v>
      </c>
      <c r="AS33">
        <v>1.1599999999999999</v>
      </c>
      <c r="AT33">
        <v>0.35799999999999998</v>
      </c>
      <c r="AU33">
        <v>726.51</v>
      </c>
    </row>
    <row r="34" spans="1:47">
      <c r="A34" s="39">
        <v>43602</v>
      </c>
      <c r="B34">
        <v>32.630000000000003</v>
      </c>
      <c r="C34">
        <v>11.35</v>
      </c>
      <c r="D34">
        <v>8.4079999999999995</v>
      </c>
      <c r="E34">
        <v>14.75</v>
      </c>
      <c r="F34">
        <v>7.83</v>
      </c>
      <c r="G34">
        <v>0.71599999999999997</v>
      </c>
      <c r="H34">
        <v>19.899999999999999</v>
      </c>
      <c r="I34">
        <v>1.22</v>
      </c>
      <c r="J34">
        <v>2.089</v>
      </c>
      <c r="K34">
        <v>6.0720000000000001</v>
      </c>
      <c r="L34">
        <v>8.9749999999999996</v>
      </c>
      <c r="M34" s="40">
        <v>17</v>
      </c>
      <c r="N34">
        <v>6.6230000000000002</v>
      </c>
      <c r="O34">
        <v>5.81</v>
      </c>
      <c r="P34">
        <v>4.7050000000000001</v>
      </c>
      <c r="Q34">
        <v>1.45</v>
      </c>
      <c r="R34">
        <v>1.288</v>
      </c>
      <c r="S34">
        <v>7.23</v>
      </c>
      <c r="T34">
        <v>2.92</v>
      </c>
      <c r="U34">
        <v>1.72</v>
      </c>
      <c r="V34">
        <v>21.55</v>
      </c>
      <c r="W34">
        <v>7.84</v>
      </c>
      <c r="X34">
        <v>5.5860000000000003</v>
      </c>
      <c r="Y34">
        <v>4.0549999999999997</v>
      </c>
      <c r="Z34">
        <v>27.3</v>
      </c>
      <c r="AA34">
        <v>6.2249999999999996</v>
      </c>
      <c r="AB34">
        <v>4.78</v>
      </c>
      <c r="AC34">
        <v>1.46</v>
      </c>
      <c r="AD34">
        <v>1.268</v>
      </c>
      <c r="AE34">
        <v>5.08</v>
      </c>
      <c r="AF34">
        <v>1.522</v>
      </c>
      <c r="AG34">
        <v>0.192</v>
      </c>
      <c r="AH34">
        <v>1.2450000000000001</v>
      </c>
      <c r="AI34">
        <v>5.95</v>
      </c>
      <c r="AJ34">
        <v>2.02</v>
      </c>
      <c r="AK34">
        <v>1.88</v>
      </c>
      <c r="AL34">
        <v>8.3000000000000004E-2</v>
      </c>
      <c r="AM34">
        <v>4.0199999999999996</v>
      </c>
      <c r="AN34">
        <v>0.32100000000000001</v>
      </c>
      <c r="AO34">
        <v>1.4850000000000001</v>
      </c>
      <c r="AP34">
        <v>2.8660000000000001</v>
      </c>
      <c r="AQ34">
        <v>0.76500000000000001</v>
      </c>
      <c r="AR34">
        <v>1.64</v>
      </c>
      <c r="AS34">
        <v>1.165</v>
      </c>
      <c r="AT34">
        <v>0.36299999999999999</v>
      </c>
      <c r="AU34">
        <v>729.31</v>
      </c>
    </row>
    <row r="35" spans="1:47">
      <c r="A35" s="39">
        <v>43605</v>
      </c>
      <c r="B35">
        <v>30.79</v>
      </c>
      <c r="C35">
        <v>11.37</v>
      </c>
      <c r="D35">
        <v>8.3879999999999999</v>
      </c>
      <c r="E35">
        <v>14.35</v>
      </c>
      <c r="F35">
        <v>7.61</v>
      </c>
      <c r="G35">
        <v>0.71099999999999997</v>
      </c>
      <c r="H35">
        <v>19.760000000000002</v>
      </c>
      <c r="I35">
        <v>1.1970000000000001</v>
      </c>
      <c r="J35">
        <v>1.994</v>
      </c>
      <c r="K35">
        <v>5.9870000000000001</v>
      </c>
      <c r="L35">
        <v>8.75</v>
      </c>
      <c r="M35" s="40">
        <v>16.86</v>
      </c>
      <c r="N35">
        <v>6.6130000000000004</v>
      </c>
      <c r="O35">
        <v>5.83</v>
      </c>
      <c r="P35">
        <v>4.79</v>
      </c>
      <c r="Q35">
        <v>1.45</v>
      </c>
      <c r="R35">
        <v>1.3280000000000001</v>
      </c>
      <c r="S35">
        <v>7.2</v>
      </c>
      <c r="T35">
        <v>2.87</v>
      </c>
      <c r="U35">
        <v>1.68</v>
      </c>
      <c r="V35">
        <v>20.95</v>
      </c>
      <c r="W35">
        <v>7.82</v>
      </c>
      <c r="X35">
        <v>5.57</v>
      </c>
      <c r="Y35">
        <v>3.9849999999999999</v>
      </c>
      <c r="Z35">
        <v>27.5</v>
      </c>
      <c r="AA35">
        <v>5.875</v>
      </c>
      <c r="AB35">
        <v>4.74</v>
      </c>
      <c r="AC35">
        <v>1.46</v>
      </c>
      <c r="AD35">
        <v>1.276</v>
      </c>
      <c r="AE35">
        <v>5.14</v>
      </c>
      <c r="AF35">
        <v>1.508</v>
      </c>
      <c r="AG35">
        <v>0.19</v>
      </c>
      <c r="AH35">
        <v>1.234</v>
      </c>
      <c r="AI35">
        <v>6</v>
      </c>
      <c r="AJ35">
        <v>2.04</v>
      </c>
      <c r="AK35">
        <v>1.855</v>
      </c>
      <c r="AL35">
        <v>8.3000000000000004E-2</v>
      </c>
      <c r="AM35">
        <v>4.08</v>
      </c>
      <c r="AN35">
        <v>0.31900000000000001</v>
      </c>
      <c r="AO35">
        <v>1.47</v>
      </c>
      <c r="AP35">
        <v>2.8759999999999999</v>
      </c>
      <c r="AQ35">
        <v>0.73</v>
      </c>
      <c r="AR35">
        <v>1.5860000000000001</v>
      </c>
      <c r="AS35">
        <v>1.1399999999999999</v>
      </c>
      <c r="AT35">
        <v>0.35499999999999998</v>
      </c>
      <c r="AU35">
        <v>717.21</v>
      </c>
    </row>
    <row r="36" spans="1:47">
      <c r="A36" s="39">
        <v>43606</v>
      </c>
      <c r="B36">
        <v>31.51</v>
      </c>
      <c r="C36">
        <v>11.45</v>
      </c>
      <c r="D36">
        <v>8.3930000000000007</v>
      </c>
      <c r="E36">
        <v>15.07</v>
      </c>
      <c r="F36">
        <v>7.65</v>
      </c>
      <c r="G36">
        <v>0.754</v>
      </c>
      <c r="H36">
        <v>20.04</v>
      </c>
      <c r="I36">
        <v>1.2290000000000001</v>
      </c>
      <c r="J36">
        <v>2.032</v>
      </c>
      <c r="K36">
        <v>6.2320000000000002</v>
      </c>
      <c r="L36">
        <v>8.9600000000000009</v>
      </c>
      <c r="M36" s="40">
        <v>17.260000000000002</v>
      </c>
      <c r="N36">
        <v>6.6130000000000004</v>
      </c>
      <c r="O36">
        <v>5.89</v>
      </c>
      <c r="P36">
        <v>4.74</v>
      </c>
      <c r="Q36">
        <v>1.5649999999999999</v>
      </c>
      <c r="R36">
        <v>1.371</v>
      </c>
      <c r="S36">
        <v>7.35</v>
      </c>
      <c r="T36">
        <v>2.91</v>
      </c>
      <c r="U36">
        <v>1.714</v>
      </c>
      <c r="V36">
        <v>21.25</v>
      </c>
      <c r="W36">
        <v>8</v>
      </c>
      <c r="X36">
        <v>5.5529999999999999</v>
      </c>
      <c r="Y36">
        <v>4</v>
      </c>
      <c r="Z36">
        <v>27.5</v>
      </c>
      <c r="AA36">
        <v>5.9</v>
      </c>
      <c r="AB36">
        <v>4.75</v>
      </c>
      <c r="AC36">
        <v>1.458</v>
      </c>
      <c r="AD36">
        <v>1.266</v>
      </c>
      <c r="AE36">
        <v>5.14</v>
      </c>
      <c r="AF36">
        <v>1.52</v>
      </c>
      <c r="AG36">
        <v>0.19500000000000001</v>
      </c>
      <c r="AH36">
        <v>1.236</v>
      </c>
      <c r="AI36">
        <v>6</v>
      </c>
      <c r="AJ36">
        <v>2.0699999999999998</v>
      </c>
      <c r="AK36">
        <v>1.895</v>
      </c>
      <c r="AL36">
        <v>8.4000000000000005E-2</v>
      </c>
      <c r="AM36">
        <v>4.09</v>
      </c>
      <c r="AN36">
        <v>0.32600000000000001</v>
      </c>
      <c r="AO36">
        <v>1.5</v>
      </c>
      <c r="AP36">
        <v>2.7879999999999998</v>
      </c>
      <c r="AQ36">
        <v>0.73699999999999999</v>
      </c>
      <c r="AR36">
        <v>1.65</v>
      </c>
      <c r="AS36">
        <v>1.1399999999999999</v>
      </c>
      <c r="AT36">
        <v>0.35899999999999999</v>
      </c>
      <c r="AU36">
        <v>733.18</v>
      </c>
    </row>
    <row r="37" spans="1:47">
      <c r="A37" s="39">
        <v>43607</v>
      </c>
      <c r="B37">
        <v>32.299999999999997</v>
      </c>
      <c r="C37">
        <v>11.17</v>
      </c>
      <c r="D37">
        <v>8.3930000000000007</v>
      </c>
      <c r="E37">
        <v>14.87</v>
      </c>
      <c r="F37">
        <v>7.72</v>
      </c>
      <c r="G37">
        <v>0.745</v>
      </c>
      <c r="H37">
        <v>19.329999999999998</v>
      </c>
      <c r="I37">
        <v>1.2230000000000001</v>
      </c>
      <c r="J37">
        <v>2.06</v>
      </c>
      <c r="K37">
        <v>6.2130000000000001</v>
      </c>
      <c r="L37">
        <v>9</v>
      </c>
      <c r="M37" s="40">
        <v>16.78</v>
      </c>
      <c r="N37">
        <v>6.6130000000000004</v>
      </c>
      <c r="O37">
        <v>5.85</v>
      </c>
      <c r="P37">
        <v>4.78</v>
      </c>
      <c r="Q37">
        <v>1.6020000000000001</v>
      </c>
      <c r="R37">
        <v>1.3160000000000001</v>
      </c>
      <c r="S37">
        <v>7.35</v>
      </c>
      <c r="T37">
        <v>2.9750000000000001</v>
      </c>
      <c r="U37">
        <v>1.69</v>
      </c>
      <c r="V37">
        <v>20.5</v>
      </c>
      <c r="W37">
        <v>7.98</v>
      </c>
      <c r="X37">
        <v>5.5529999999999999</v>
      </c>
      <c r="Y37">
        <v>4.05</v>
      </c>
      <c r="Z37">
        <v>27.1</v>
      </c>
      <c r="AA37">
        <v>5.7750000000000004</v>
      </c>
      <c r="AB37">
        <v>4.7699999999999996</v>
      </c>
      <c r="AC37">
        <v>1.456</v>
      </c>
      <c r="AD37">
        <v>1.262</v>
      </c>
      <c r="AE37">
        <v>5.14</v>
      </c>
      <c r="AF37">
        <v>1.56</v>
      </c>
      <c r="AG37">
        <v>0.19500000000000001</v>
      </c>
      <c r="AH37">
        <v>1.236</v>
      </c>
      <c r="AI37">
        <v>6</v>
      </c>
      <c r="AJ37">
        <v>2.06</v>
      </c>
      <c r="AK37">
        <v>1.89</v>
      </c>
      <c r="AL37">
        <v>8.5000000000000006E-2</v>
      </c>
      <c r="AM37">
        <v>4</v>
      </c>
      <c r="AN37">
        <v>0.32700000000000001</v>
      </c>
      <c r="AO37">
        <v>1.49</v>
      </c>
      <c r="AP37">
        <v>2.8170000000000002</v>
      </c>
      <c r="AQ37">
        <v>0.73799999999999999</v>
      </c>
      <c r="AR37">
        <v>1.63</v>
      </c>
      <c r="AS37">
        <v>1.1399999999999999</v>
      </c>
      <c r="AT37">
        <v>0.35399999999999998</v>
      </c>
      <c r="AU37">
        <v>731.49</v>
      </c>
    </row>
    <row r="38" spans="1:47">
      <c r="A38" s="39">
        <v>43608</v>
      </c>
      <c r="B38">
        <v>31.9</v>
      </c>
      <c r="C38">
        <v>11.29</v>
      </c>
      <c r="D38">
        <v>8.5329999999999995</v>
      </c>
      <c r="E38">
        <v>14.7</v>
      </c>
      <c r="F38">
        <v>7.81</v>
      </c>
      <c r="G38">
        <v>0.7</v>
      </c>
      <c r="H38">
        <v>19.5</v>
      </c>
      <c r="I38">
        <v>1.24</v>
      </c>
      <c r="J38">
        <v>1.9810000000000001</v>
      </c>
      <c r="K38">
        <v>6.1280000000000001</v>
      </c>
      <c r="L38">
        <v>8.84</v>
      </c>
      <c r="M38" s="40">
        <v>17.34</v>
      </c>
      <c r="N38">
        <v>6.6040000000000001</v>
      </c>
      <c r="O38">
        <v>5.86</v>
      </c>
      <c r="P38">
        <v>4.835</v>
      </c>
      <c r="Q38">
        <v>1.649</v>
      </c>
      <c r="R38">
        <v>1.32</v>
      </c>
      <c r="S38">
        <v>7.18</v>
      </c>
      <c r="T38">
        <v>2.9350000000000001</v>
      </c>
      <c r="U38">
        <v>1.72</v>
      </c>
      <c r="V38">
        <v>20.399999999999999</v>
      </c>
      <c r="W38">
        <v>7.9</v>
      </c>
      <c r="X38">
        <v>5.4880000000000004</v>
      </c>
      <c r="Y38">
        <v>4.0599999999999996</v>
      </c>
      <c r="Z38">
        <v>27.5</v>
      </c>
      <c r="AA38">
        <v>5.875</v>
      </c>
      <c r="AB38">
        <v>4.8</v>
      </c>
      <c r="AC38">
        <v>1.454</v>
      </c>
      <c r="AD38">
        <v>1.246</v>
      </c>
      <c r="AE38">
        <v>5.16</v>
      </c>
      <c r="AF38">
        <v>1.542</v>
      </c>
      <c r="AG38">
        <v>0.19600000000000001</v>
      </c>
      <c r="AH38">
        <v>1.2350000000000001</v>
      </c>
      <c r="AI38">
        <v>6</v>
      </c>
      <c r="AJ38">
        <v>2.0299999999999998</v>
      </c>
      <c r="AK38">
        <v>1.85</v>
      </c>
      <c r="AL38">
        <v>8.2000000000000003E-2</v>
      </c>
      <c r="AM38">
        <v>4.03</v>
      </c>
      <c r="AN38">
        <v>0.314</v>
      </c>
      <c r="AO38">
        <v>1.46</v>
      </c>
      <c r="AP38">
        <v>2.8069999999999999</v>
      </c>
      <c r="AQ38">
        <v>0.72499999999999998</v>
      </c>
      <c r="AR38">
        <v>1.62</v>
      </c>
      <c r="AS38">
        <v>1.1499999999999999</v>
      </c>
      <c r="AT38">
        <v>0.32300000000000001</v>
      </c>
      <c r="AU38">
        <v>725.56</v>
      </c>
    </row>
    <row r="39" spans="1:47">
      <c r="A39" s="39">
        <v>43609</v>
      </c>
      <c r="B39">
        <v>32.4</v>
      </c>
      <c r="C39">
        <v>11.45</v>
      </c>
      <c r="D39">
        <v>8.593</v>
      </c>
      <c r="E39">
        <v>15</v>
      </c>
      <c r="F39">
        <v>7.8</v>
      </c>
      <c r="G39">
        <v>0.69499999999999995</v>
      </c>
      <c r="H39">
        <v>19.579999999999998</v>
      </c>
      <c r="I39">
        <v>1.238</v>
      </c>
      <c r="J39">
        <v>1.98</v>
      </c>
      <c r="K39">
        <v>6.1849999999999996</v>
      </c>
      <c r="L39">
        <v>8.9949999999999992</v>
      </c>
      <c r="M39" s="40">
        <v>17.260000000000002</v>
      </c>
      <c r="N39">
        <v>6.633</v>
      </c>
      <c r="O39">
        <v>5.89</v>
      </c>
      <c r="P39">
        <v>4.84</v>
      </c>
      <c r="Q39">
        <v>1.7330000000000001</v>
      </c>
      <c r="R39">
        <v>1.4590000000000001</v>
      </c>
      <c r="S39">
        <v>7.26</v>
      </c>
      <c r="T39">
        <v>2.9750000000000001</v>
      </c>
      <c r="U39">
        <v>1.74</v>
      </c>
      <c r="V39">
        <v>20.350000000000001</v>
      </c>
      <c r="W39">
        <v>7.98</v>
      </c>
      <c r="X39">
        <v>5.7329999999999997</v>
      </c>
      <c r="Y39">
        <v>4.03</v>
      </c>
      <c r="Z39">
        <v>27.3</v>
      </c>
      <c r="AA39">
        <v>5.85</v>
      </c>
      <c r="AB39">
        <v>4.9349999999999996</v>
      </c>
      <c r="AC39">
        <v>1.458</v>
      </c>
      <c r="AD39">
        <v>1.26</v>
      </c>
      <c r="AE39">
        <v>5.4</v>
      </c>
      <c r="AF39">
        <v>1.56</v>
      </c>
      <c r="AG39">
        <v>0.19400000000000001</v>
      </c>
      <c r="AH39">
        <v>1.236</v>
      </c>
      <c r="AI39">
        <v>6.2</v>
      </c>
      <c r="AJ39">
        <v>1.98</v>
      </c>
      <c r="AK39">
        <v>1.845</v>
      </c>
      <c r="AL39">
        <v>8.5000000000000006E-2</v>
      </c>
      <c r="AM39">
        <v>3.98</v>
      </c>
      <c r="AN39">
        <v>0.315</v>
      </c>
      <c r="AO39">
        <v>1.47</v>
      </c>
      <c r="AP39">
        <v>2.8069999999999999</v>
      </c>
      <c r="AQ39">
        <v>0.72699999999999998</v>
      </c>
      <c r="AR39">
        <v>1.6180000000000001</v>
      </c>
      <c r="AS39">
        <v>1.1499999999999999</v>
      </c>
      <c r="AT39">
        <v>0.32600000000000001</v>
      </c>
      <c r="AU39">
        <v>732.02</v>
      </c>
    </row>
    <row r="40" spans="1:47">
      <c r="A40" s="39">
        <v>43612</v>
      </c>
      <c r="B40">
        <v>32.64</v>
      </c>
      <c r="C40">
        <v>11.9</v>
      </c>
      <c r="D40">
        <v>9.0920000000000005</v>
      </c>
      <c r="E40">
        <v>15.75</v>
      </c>
      <c r="F40">
        <v>8.33</v>
      </c>
      <c r="G40">
        <v>0.747</v>
      </c>
      <c r="H40">
        <v>19.7</v>
      </c>
      <c r="I40">
        <v>1.44</v>
      </c>
      <c r="J40">
        <v>2.1</v>
      </c>
      <c r="K40">
        <v>6.891</v>
      </c>
      <c r="L40">
        <v>9.625</v>
      </c>
      <c r="M40" s="40">
        <v>17.760000000000002</v>
      </c>
      <c r="N40">
        <v>6.8680000000000003</v>
      </c>
      <c r="O40">
        <v>6.16</v>
      </c>
      <c r="P40">
        <v>4.9400000000000004</v>
      </c>
      <c r="Q40">
        <v>2.2080000000000002</v>
      </c>
      <c r="R40">
        <v>1.621</v>
      </c>
      <c r="S40">
        <v>7.32</v>
      </c>
      <c r="T40">
        <v>3.3849999999999998</v>
      </c>
      <c r="U40">
        <v>1.77</v>
      </c>
      <c r="V40">
        <v>22.75</v>
      </c>
      <c r="W40">
        <v>8.31</v>
      </c>
      <c r="X40">
        <v>5.7990000000000004</v>
      </c>
      <c r="Y40">
        <v>4.5</v>
      </c>
      <c r="Z40">
        <v>28.4</v>
      </c>
      <c r="AA40">
        <v>5.75</v>
      </c>
      <c r="AB40">
        <v>5.0999999999999996</v>
      </c>
      <c r="AC40">
        <v>1.458</v>
      </c>
      <c r="AD40">
        <v>1.34</v>
      </c>
      <c r="AE40">
        <v>5.48</v>
      </c>
      <c r="AF40">
        <v>1.796</v>
      </c>
      <c r="AG40">
        <v>0.21299999999999999</v>
      </c>
      <c r="AH40">
        <v>1.2549999999999999</v>
      </c>
      <c r="AI40">
        <v>6</v>
      </c>
      <c r="AJ40">
        <v>2</v>
      </c>
      <c r="AK40">
        <v>1.89</v>
      </c>
      <c r="AL40">
        <v>9.0999999999999998E-2</v>
      </c>
      <c r="AM40">
        <v>4.1900000000000004</v>
      </c>
      <c r="AN40">
        <v>0.33800000000000002</v>
      </c>
      <c r="AO40">
        <v>1.5049999999999999</v>
      </c>
      <c r="AP40">
        <v>2.9550000000000001</v>
      </c>
      <c r="AQ40">
        <v>0.75</v>
      </c>
      <c r="AR40">
        <v>1.6020000000000001</v>
      </c>
      <c r="AS40">
        <v>1.21</v>
      </c>
      <c r="AT40">
        <v>0.34</v>
      </c>
      <c r="AU40">
        <v>776.6</v>
      </c>
    </row>
    <row r="41" spans="1:47">
      <c r="A41" s="39">
        <v>43613</v>
      </c>
      <c r="B41">
        <v>32.1</v>
      </c>
      <c r="C41">
        <v>11.65</v>
      </c>
      <c r="D41">
        <v>9.1720000000000006</v>
      </c>
      <c r="E41">
        <v>16.03</v>
      </c>
      <c r="F41">
        <v>8.4</v>
      </c>
      <c r="G41">
        <v>0.82</v>
      </c>
      <c r="H41">
        <v>20.14</v>
      </c>
      <c r="I41">
        <v>1.4950000000000001</v>
      </c>
      <c r="J41">
        <v>2.12</v>
      </c>
      <c r="K41">
        <v>6.9660000000000002</v>
      </c>
      <c r="L41">
        <v>9.77</v>
      </c>
      <c r="M41" s="40">
        <v>17.46</v>
      </c>
      <c r="N41">
        <v>6.8579999999999997</v>
      </c>
      <c r="O41">
        <v>6.48</v>
      </c>
      <c r="P41">
        <v>5.23</v>
      </c>
      <c r="Q41">
        <v>2.54</v>
      </c>
      <c r="R41">
        <v>1.6339999999999999</v>
      </c>
      <c r="S41">
        <v>7.83</v>
      </c>
      <c r="T41">
        <v>3.3650000000000002</v>
      </c>
      <c r="U41">
        <v>1.79</v>
      </c>
      <c r="V41">
        <v>23.1</v>
      </c>
      <c r="W41">
        <v>8.49</v>
      </c>
      <c r="X41">
        <v>5.9130000000000003</v>
      </c>
      <c r="Y41">
        <v>4.4000000000000004</v>
      </c>
      <c r="Z41">
        <v>28.5</v>
      </c>
      <c r="AA41">
        <v>5.75</v>
      </c>
      <c r="AB41">
        <v>5.0999999999999996</v>
      </c>
      <c r="AC41">
        <v>1.458</v>
      </c>
      <c r="AD41">
        <v>1.32</v>
      </c>
      <c r="AE41">
        <v>5.58</v>
      </c>
      <c r="AF41">
        <v>1.79</v>
      </c>
      <c r="AG41">
        <v>0.215</v>
      </c>
      <c r="AH41">
        <v>1.2629999999999999</v>
      </c>
      <c r="AI41">
        <v>6</v>
      </c>
      <c r="AJ41">
        <v>2.14</v>
      </c>
      <c r="AK41">
        <v>1.92</v>
      </c>
      <c r="AL41">
        <v>9.2999999999999999E-2</v>
      </c>
      <c r="AM41">
        <v>4.16</v>
      </c>
      <c r="AN41">
        <v>0.33500000000000002</v>
      </c>
      <c r="AO41">
        <v>1.55</v>
      </c>
      <c r="AP41">
        <v>3.024</v>
      </c>
      <c r="AQ41">
        <v>0.82199999999999995</v>
      </c>
      <c r="AR41">
        <v>1.6739999999999999</v>
      </c>
      <c r="AS41">
        <v>1.22</v>
      </c>
      <c r="AT41">
        <v>0.36499999999999999</v>
      </c>
      <c r="AU41">
        <v>794.63</v>
      </c>
    </row>
    <row r="42" spans="1:47">
      <c r="A42" s="39">
        <v>43614</v>
      </c>
      <c r="B42">
        <v>32.14</v>
      </c>
      <c r="C42">
        <v>12.1</v>
      </c>
      <c r="D42">
        <v>9.1419999999999995</v>
      </c>
      <c r="E42">
        <v>15.8</v>
      </c>
      <c r="F42">
        <v>8.33</v>
      </c>
      <c r="G42">
        <v>0.82</v>
      </c>
      <c r="H42">
        <v>21.46</v>
      </c>
      <c r="I42">
        <v>1.52</v>
      </c>
      <c r="J42">
        <v>2.12</v>
      </c>
      <c r="K42">
        <v>6.9569999999999999</v>
      </c>
      <c r="L42">
        <v>9.4499999999999993</v>
      </c>
      <c r="M42" s="40">
        <v>17.600000000000001</v>
      </c>
      <c r="N42">
        <v>6.7110000000000003</v>
      </c>
      <c r="O42">
        <v>6.32</v>
      </c>
      <c r="P42">
        <v>5.12</v>
      </c>
      <c r="Q42">
        <v>2.44</v>
      </c>
      <c r="R42">
        <v>1.597</v>
      </c>
      <c r="S42">
        <v>7.68</v>
      </c>
      <c r="T42">
        <v>3.27</v>
      </c>
      <c r="U42">
        <v>1.77</v>
      </c>
      <c r="V42">
        <v>21.85</v>
      </c>
      <c r="W42">
        <v>8.5</v>
      </c>
      <c r="X42">
        <v>5.9779999999999998</v>
      </c>
      <c r="Y42">
        <v>4.4000000000000004</v>
      </c>
      <c r="Z42">
        <v>28</v>
      </c>
      <c r="AA42">
        <v>5.4249999999999998</v>
      </c>
      <c r="AB42">
        <v>5.04</v>
      </c>
      <c r="AC42">
        <v>1.45</v>
      </c>
      <c r="AD42">
        <v>1.3240000000000001</v>
      </c>
      <c r="AE42">
        <v>5.52</v>
      </c>
      <c r="AF42">
        <v>1.73</v>
      </c>
      <c r="AG42">
        <v>0.217</v>
      </c>
      <c r="AH42">
        <v>1.2390000000000001</v>
      </c>
      <c r="AI42">
        <v>6</v>
      </c>
      <c r="AJ42">
        <v>2.11</v>
      </c>
      <c r="AK42">
        <v>1.89</v>
      </c>
      <c r="AL42">
        <v>9.4E-2</v>
      </c>
      <c r="AM42">
        <v>4.1500000000000004</v>
      </c>
      <c r="AN42">
        <v>0.33100000000000002</v>
      </c>
      <c r="AO42">
        <v>1.5149999999999999</v>
      </c>
      <c r="AP42">
        <v>3.0139999999999998</v>
      </c>
      <c r="AQ42">
        <v>0.84</v>
      </c>
      <c r="AR42">
        <v>1.6719999999999999</v>
      </c>
      <c r="AS42">
        <v>1.2350000000000001</v>
      </c>
      <c r="AT42">
        <v>0.379</v>
      </c>
      <c r="AU42">
        <v>793.06</v>
      </c>
    </row>
    <row r="43" spans="1:47">
      <c r="A43" s="39">
        <v>43615</v>
      </c>
      <c r="B43">
        <v>32.36</v>
      </c>
      <c r="C43">
        <v>12.26</v>
      </c>
      <c r="D43">
        <v>9.282</v>
      </c>
      <c r="E43">
        <v>16</v>
      </c>
      <c r="F43">
        <v>8.33</v>
      </c>
      <c r="G43">
        <v>0.871</v>
      </c>
      <c r="H43">
        <v>22.34</v>
      </c>
      <c r="I43">
        <v>1.6</v>
      </c>
      <c r="J43">
        <v>2.2240000000000002</v>
      </c>
      <c r="K43">
        <v>6.9749999999999996</v>
      </c>
      <c r="L43">
        <v>9.58</v>
      </c>
      <c r="M43" s="40">
        <v>17.64</v>
      </c>
      <c r="N43">
        <v>6.76</v>
      </c>
      <c r="O43">
        <v>6.41</v>
      </c>
      <c r="P43">
        <v>5.04</v>
      </c>
      <c r="Q43">
        <v>2.8</v>
      </c>
      <c r="R43">
        <v>1.8320000000000001</v>
      </c>
      <c r="S43">
        <v>7.55</v>
      </c>
      <c r="T43">
        <v>3.4</v>
      </c>
      <c r="U43">
        <v>1.8</v>
      </c>
      <c r="V43">
        <v>22.5</v>
      </c>
      <c r="W43">
        <v>8.6</v>
      </c>
      <c r="X43">
        <v>6.6970000000000001</v>
      </c>
      <c r="Y43">
        <v>4.5949999999999998</v>
      </c>
      <c r="Z43">
        <v>28.9</v>
      </c>
      <c r="AA43">
        <v>5.6</v>
      </c>
      <c r="AB43">
        <v>5.0599999999999996</v>
      </c>
      <c r="AC43">
        <v>1.454</v>
      </c>
      <c r="AD43">
        <v>1.3240000000000001</v>
      </c>
      <c r="AE43">
        <v>5.46</v>
      </c>
      <c r="AF43">
        <v>1.8580000000000001</v>
      </c>
      <c r="AG43">
        <v>0.24299999999999999</v>
      </c>
      <c r="AH43">
        <v>1.244</v>
      </c>
      <c r="AI43">
        <v>5.9</v>
      </c>
      <c r="AJ43">
        <v>2.2000000000000002</v>
      </c>
      <c r="AK43">
        <v>1.92</v>
      </c>
      <c r="AL43">
        <v>0.10299999999999999</v>
      </c>
      <c r="AM43">
        <v>4.24</v>
      </c>
      <c r="AN43">
        <v>0.38500000000000001</v>
      </c>
      <c r="AO43">
        <v>1.575</v>
      </c>
      <c r="AP43">
        <v>2.9649999999999999</v>
      </c>
      <c r="AQ43">
        <v>0.87</v>
      </c>
      <c r="AR43">
        <v>1.68</v>
      </c>
      <c r="AS43">
        <v>1.23</v>
      </c>
      <c r="AT43">
        <v>0.39500000000000002</v>
      </c>
      <c r="AU43">
        <v>818.33</v>
      </c>
    </row>
    <row r="44" spans="1:47">
      <c r="A44" s="39">
        <v>43616</v>
      </c>
      <c r="B44">
        <v>31.99</v>
      </c>
      <c r="C44">
        <v>12.25</v>
      </c>
      <c r="D44">
        <v>9.3670000000000009</v>
      </c>
      <c r="E44">
        <v>15.9</v>
      </c>
      <c r="F44">
        <v>8.43</v>
      </c>
      <c r="G44">
        <v>0.875</v>
      </c>
      <c r="H44">
        <v>22.8</v>
      </c>
      <c r="I44">
        <v>1.69</v>
      </c>
      <c r="J44">
        <v>2.3679999999999999</v>
      </c>
      <c r="K44">
        <v>7.06</v>
      </c>
      <c r="L44">
        <v>9.7650000000000006</v>
      </c>
      <c r="M44" s="40">
        <v>18.2</v>
      </c>
      <c r="N44">
        <v>6.8</v>
      </c>
      <c r="O44">
        <v>6.57</v>
      </c>
      <c r="P44">
        <v>5.03</v>
      </c>
      <c r="Q44">
        <v>2.89</v>
      </c>
      <c r="R44">
        <v>1.9910000000000001</v>
      </c>
      <c r="S44">
        <v>7.5</v>
      </c>
      <c r="T44">
        <v>3.41</v>
      </c>
      <c r="U44">
        <v>1.87</v>
      </c>
      <c r="V44">
        <v>21.95</v>
      </c>
      <c r="W44">
        <v>8.61</v>
      </c>
      <c r="X44">
        <v>6.5339999999999998</v>
      </c>
      <c r="Y44">
        <v>4.75</v>
      </c>
      <c r="Z44">
        <v>28.9</v>
      </c>
      <c r="AA44">
        <v>5.7249999999999996</v>
      </c>
      <c r="AB44">
        <v>4.9800000000000004</v>
      </c>
      <c r="AC44">
        <v>1.464</v>
      </c>
      <c r="AD44">
        <v>1.32</v>
      </c>
      <c r="AE44">
        <v>5.46</v>
      </c>
      <c r="AF44">
        <v>1.8240000000000001</v>
      </c>
      <c r="AG44">
        <v>0.251</v>
      </c>
      <c r="AH44">
        <v>1.2130000000000001</v>
      </c>
      <c r="AI44">
        <v>5.95</v>
      </c>
      <c r="AJ44">
        <v>2.21</v>
      </c>
      <c r="AK44">
        <v>1.99</v>
      </c>
      <c r="AL44">
        <v>0.106</v>
      </c>
      <c r="AM44">
        <v>4.2</v>
      </c>
      <c r="AN44">
        <v>0.39700000000000002</v>
      </c>
      <c r="AO44">
        <v>1.57</v>
      </c>
      <c r="AP44">
        <v>2.9550000000000001</v>
      </c>
      <c r="AQ44">
        <v>0.87</v>
      </c>
      <c r="AR44">
        <v>1.6779999999999999</v>
      </c>
      <c r="AS44">
        <v>1.23</v>
      </c>
      <c r="AT44">
        <v>0.4</v>
      </c>
      <c r="AU44">
        <v>830.24</v>
      </c>
    </row>
    <row r="45" spans="1:47">
      <c r="A45" s="39">
        <v>43619</v>
      </c>
      <c r="B45">
        <v>31.65</v>
      </c>
      <c r="C45">
        <v>12.46</v>
      </c>
      <c r="D45">
        <v>9.5269999999999992</v>
      </c>
      <c r="E45">
        <v>16.399999999999999</v>
      </c>
      <c r="F45">
        <v>8.41</v>
      </c>
      <c r="G45">
        <v>0.85399999999999998</v>
      </c>
      <c r="H45">
        <v>22.96</v>
      </c>
      <c r="I45">
        <v>1.72</v>
      </c>
      <c r="J45">
        <v>2.4</v>
      </c>
      <c r="K45">
        <v>7.1070000000000002</v>
      </c>
      <c r="L45">
        <v>10</v>
      </c>
      <c r="M45" s="40">
        <v>18</v>
      </c>
      <c r="N45">
        <v>6.79</v>
      </c>
      <c r="O45">
        <v>6.67</v>
      </c>
      <c r="P45">
        <v>5.0999999999999996</v>
      </c>
      <c r="Q45">
        <v>2.984</v>
      </c>
      <c r="R45">
        <v>2.226</v>
      </c>
      <c r="S45">
        <v>7.53</v>
      </c>
      <c r="T45">
        <v>3.38</v>
      </c>
      <c r="U45">
        <v>1.9279999999999999</v>
      </c>
      <c r="V45">
        <v>21.8</v>
      </c>
      <c r="W45">
        <v>8.14</v>
      </c>
      <c r="X45">
        <v>6.5010000000000003</v>
      </c>
      <c r="Y45">
        <v>4.9000000000000004</v>
      </c>
      <c r="Z45">
        <v>29.3</v>
      </c>
      <c r="AA45">
        <v>5.7750000000000004</v>
      </c>
      <c r="AB45">
        <v>5.08</v>
      </c>
      <c r="AC45">
        <v>1.472</v>
      </c>
      <c r="AD45">
        <v>1.3939999999999999</v>
      </c>
      <c r="AE45">
        <v>5.52</v>
      </c>
      <c r="AF45">
        <v>1.8859999999999999</v>
      </c>
      <c r="AG45">
        <v>0.3</v>
      </c>
      <c r="AH45">
        <v>1.2250000000000001</v>
      </c>
      <c r="AI45">
        <v>6</v>
      </c>
      <c r="AJ45">
        <v>2.0699999999999998</v>
      </c>
      <c r="AK45">
        <v>2.0499999999999998</v>
      </c>
      <c r="AL45">
        <v>0.112</v>
      </c>
      <c r="AM45">
        <v>4.25</v>
      </c>
      <c r="AN45">
        <v>0.40500000000000003</v>
      </c>
      <c r="AO45">
        <v>1.5349999999999999</v>
      </c>
      <c r="AP45">
        <v>2.8860000000000001</v>
      </c>
      <c r="AQ45">
        <v>0.77</v>
      </c>
      <c r="AR45">
        <v>1.64</v>
      </c>
      <c r="AS45">
        <v>1.1950000000000001</v>
      </c>
      <c r="AT45">
        <v>0.34399999999999997</v>
      </c>
      <c r="AU45">
        <v>836.84</v>
      </c>
    </row>
    <row r="46" spans="1:47">
      <c r="A46" s="39">
        <v>43620</v>
      </c>
      <c r="B46">
        <v>32.299999999999997</v>
      </c>
      <c r="C46">
        <v>12.42</v>
      </c>
      <c r="D46">
        <v>9.2919999999999998</v>
      </c>
      <c r="E46">
        <v>16.18</v>
      </c>
      <c r="F46">
        <v>8.3000000000000007</v>
      </c>
      <c r="G46">
        <v>0.79</v>
      </c>
      <c r="H46">
        <v>22.5</v>
      </c>
      <c r="I46">
        <v>1.581</v>
      </c>
      <c r="J46">
        <v>2.2050000000000001</v>
      </c>
      <c r="K46">
        <v>7.06</v>
      </c>
      <c r="L46">
        <v>9.93</v>
      </c>
      <c r="M46" s="40">
        <v>18.02</v>
      </c>
      <c r="N46">
        <v>6.7510000000000003</v>
      </c>
      <c r="O46">
        <v>6.64</v>
      </c>
      <c r="P46">
        <v>5.05</v>
      </c>
      <c r="Q46">
        <v>2.65</v>
      </c>
      <c r="R46">
        <v>2.1800000000000002</v>
      </c>
      <c r="S46">
        <v>7.58</v>
      </c>
      <c r="T46">
        <v>3.37</v>
      </c>
      <c r="U46">
        <v>1.8759999999999999</v>
      </c>
      <c r="V46">
        <v>21.8</v>
      </c>
      <c r="W46">
        <v>8.1</v>
      </c>
      <c r="X46">
        <v>6.1580000000000004</v>
      </c>
      <c r="Y46">
        <v>4.7699999999999996</v>
      </c>
      <c r="Z46">
        <v>29.2</v>
      </c>
      <c r="AA46">
        <v>5.75</v>
      </c>
      <c r="AB46">
        <v>5.05</v>
      </c>
      <c r="AC46">
        <v>1.476</v>
      </c>
      <c r="AD46">
        <v>1.444</v>
      </c>
      <c r="AE46">
        <v>5.52</v>
      </c>
      <c r="AF46">
        <v>1.83</v>
      </c>
      <c r="AG46">
        <v>0.318</v>
      </c>
      <c r="AH46">
        <v>1.23</v>
      </c>
      <c r="AI46">
        <v>6</v>
      </c>
      <c r="AJ46">
        <v>2.1</v>
      </c>
      <c r="AK46">
        <v>2.08</v>
      </c>
      <c r="AL46">
        <v>0.105</v>
      </c>
      <c r="AM46">
        <v>4.24</v>
      </c>
      <c r="AN46">
        <v>0.38500000000000001</v>
      </c>
      <c r="AO46">
        <v>1.5</v>
      </c>
      <c r="AP46">
        <v>2.9260000000000002</v>
      </c>
      <c r="AQ46">
        <v>0.75</v>
      </c>
      <c r="AR46">
        <v>1.58</v>
      </c>
      <c r="AS46">
        <v>1.19</v>
      </c>
      <c r="AT46">
        <v>0.33500000000000002</v>
      </c>
      <c r="AU46">
        <v>813.33</v>
      </c>
    </row>
    <row r="47" spans="1:47">
      <c r="A47" s="39">
        <v>43621</v>
      </c>
      <c r="B47">
        <v>32.6</v>
      </c>
      <c r="C47">
        <v>12.38</v>
      </c>
      <c r="D47">
        <v>9.2919999999999998</v>
      </c>
      <c r="E47">
        <v>16.489999999999998</v>
      </c>
      <c r="F47">
        <v>8.4600000000000009</v>
      </c>
      <c r="G47">
        <v>0.80100000000000005</v>
      </c>
      <c r="H47">
        <v>22.3</v>
      </c>
      <c r="I47">
        <v>1.625</v>
      </c>
      <c r="J47">
        <v>2.2949999999999999</v>
      </c>
      <c r="K47">
        <v>7.0510000000000002</v>
      </c>
      <c r="L47">
        <v>9.8849999999999998</v>
      </c>
      <c r="M47" s="40">
        <v>18</v>
      </c>
      <c r="N47">
        <v>6.819</v>
      </c>
      <c r="O47">
        <v>6.63</v>
      </c>
      <c r="P47">
        <v>5.07</v>
      </c>
      <c r="Q47">
        <v>2.74</v>
      </c>
      <c r="R47">
        <v>2.1680000000000001</v>
      </c>
      <c r="S47">
        <v>7.52</v>
      </c>
      <c r="T47">
        <v>3.3650000000000002</v>
      </c>
      <c r="U47">
        <v>1.88</v>
      </c>
      <c r="V47">
        <v>21.8</v>
      </c>
      <c r="W47">
        <v>8.0299999999999994</v>
      </c>
      <c r="X47">
        <v>6.3049999999999997</v>
      </c>
      <c r="Y47">
        <v>4.7949999999999999</v>
      </c>
      <c r="Z47">
        <v>29.4</v>
      </c>
      <c r="AA47">
        <v>5.75</v>
      </c>
      <c r="AB47">
        <v>5</v>
      </c>
      <c r="AC47">
        <v>1.468</v>
      </c>
      <c r="AD47">
        <v>1.4339999999999999</v>
      </c>
      <c r="AE47">
        <v>5.46</v>
      </c>
      <c r="AF47">
        <v>1.83</v>
      </c>
      <c r="AG47">
        <v>0.30499999999999999</v>
      </c>
      <c r="AH47">
        <v>1.2250000000000001</v>
      </c>
      <c r="AI47">
        <v>6.15</v>
      </c>
      <c r="AJ47">
        <v>2.09</v>
      </c>
      <c r="AK47">
        <v>2.1</v>
      </c>
      <c r="AL47">
        <v>0.107</v>
      </c>
      <c r="AM47">
        <v>4.2</v>
      </c>
      <c r="AN47">
        <v>0.38500000000000001</v>
      </c>
      <c r="AO47">
        <v>1.55</v>
      </c>
      <c r="AP47">
        <v>3.113</v>
      </c>
      <c r="AQ47">
        <v>0.86</v>
      </c>
      <c r="AR47">
        <v>2.0499999999999998</v>
      </c>
      <c r="AS47">
        <v>1.26</v>
      </c>
      <c r="AT47">
        <v>0.36299999999999999</v>
      </c>
      <c r="AU47">
        <v>821.4</v>
      </c>
    </row>
    <row r="48" spans="1:47">
      <c r="A48" s="39">
        <v>43622</v>
      </c>
      <c r="B48">
        <v>32.56</v>
      </c>
      <c r="C48">
        <v>12.13</v>
      </c>
      <c r="D48">
        <v>9.452</v>
      </c>
      <c r="E48">
        <v>16.45</v>
      </c>
      <c r="F48">
        <v>8.4600000000000009</v>
      </c>
      <c r="G48">
        <v>0.81200000000000006</v>
      </c>
      <c r="H48">
        <v>22.54</v>
      </c>
      <c r="I48">
        <v>1.5720000000000001</v>
      </c>
      <c r="J48">
        <v>2.29</v>
      </c>
      <c r="K48">
        <v>7.0510000000000002</v>
      </c>
      <c r="L48">
        <v>9.9499999999999993</v>
      </c>
      <c r="M48" s="40">
        <v>18</v>
      </c>
      <c r="N48">
        <v>6.8090000000000002</v>
      </c>
      <c r="O48">
        <v>6.42</v>
      </c>
      <c r="P48">
        <v>5.05</v>
      </c>
      <c r="Q48">
        <v>2.6880000000000002</v>
      </c>
      <c r="R48">
        <v>1.9910000000000001</v>
      </c>
      <c r="S48">
        <v>7.54</v>
      </c>
      <c r="T48">
        <v>3.3</v>
      </c>
      <c r="U48">
        <v>1.88</v>
      </c>
      <c r="V48">
        <v>22</v>
      </c>
      <c r="W48">
        <v>8.0299999999999994</v>
      </c>
      <c r="X48">
        <v>6.2389999999999999</v>
      </c>
      <c r="Y48">
        <v>4.7300000000000004</v>
      </c>
      <c r="Z48">
        <v>29.3</v>
      </c>
      <c r="AA48">
        <v>5.875</v>
      </c>
      <c r="AB48">
        <v>5.05</v>
      </c>
      <c r="AC48">
        <v>1.47</v>
      </c>
      <c r="AD48">
        <v>1.39</v>
      </c>
      <c r="AE48">
        <v>5.24</v>
      </c>
      <c r="AF48">
        <v>1.8480000000000001</v>
      </c>
      <c r="AG48">
        <v>0.3</v>
      </c>
      <c r="AH48">
        <v>1.2250000000000001</v>
      </c>
      <c r="AI48">
        <v>6.2</v>
      </c>
      <c r="AJ48">
        <v>2.0699999999999998</v>
      </c>
      <c r="AK48">
        <v>2.19</v>
      </c>
      <c r="AL48">
        <v>9.2999999999999999E-2</v>
      </c>
      <c r="AM48">
        <v>4.2</v>
      </c>
      <c r="AN48">
        <v>0.36399999999999999</v>
      </c>
      <c r="AO48">
        <v>1.54</v>
      </c>
      <c r="AP48">
        <v>3.359</v>
      </c>
      <c r="AQ48">
        <v>0.77200000000000002</v>
      </c>
      <c r="AR48">
        <v>1.9119999999999999</v>
      </c>
      <c r="AS48">
        <v>1.165</v>
      </c>
      <c r="AT48">
        <v>0.33500000000000002</v>
      </c>
      <c r="AU48">
        <v>816.95</v>
      </c>
    </row>
    <row r="49" spans="1:47">
      <c r="A49" s="39">
        <v>43623</v>
      </c>
      <c r="B49">
        <v>32.79</v>
      </c>
      <c r="C49">
        <v>12.12</v>
      </c>
      <c r="D49">
        <v>9.5120000000000005</v>
      </c>
      <c r="E49">
        <v>16.18</v>
      </c>
      <c r="F49">
        <v>8.4700000000000006</v>
      </c>
      <c r="G49">
        <v>0.80400000000000005</v>
      </c>
      <c r="H49">
        <v>22.3</v>
      </c>
      <c r="I49">
        <v>1.595</v>
      </c>
      <c r="J49">
        <v>2.2999999999999998</v>
      </c>
      <c r="K49">
        <v>7.0039999999999996</v>
      </c>
      <c r="L49">
        <v>9.9949999999999992</v>
      </c>
      <c r="M49" s="40">
        <v>17.72</v>
      </c>
      <c r="N49">
        <v>6.8490000000000002</v>
      </c>
      <c r="O49">
        <v>6.49</v>
      </c>
      <c r="P49">
        <v>4.9800000000000004</v>
      </c>
      <c r="Q49">
        <v>2.63</v>
      </c>
      <c r="R49">
        <v>1.952</v>
      </c>
      <c r="S49">
        <v>7.48</v>
      </c>
      <c r="T49">
        <v>3.355</v>
      </c>
      <c r="U49">
        <v>1.8939999999999999</v>
      </c>
      <c r="V49">
        <v>22</v>
      </c>
      <c r="W49">
        <v>8.09</v>
      </c>
      <c r="X49">
        <v>6.2560000000000002</v>
      </c>
      <c r="Y49">
        <v>4.7</v>
      </c>
      <c r="Z49">
        <v>29.5</v>
      </c>
      <c r="AA49">
        <v>5.875</v>
      </c>
      <c r="AB49">
        <v>5.07</v>
      </c>
      <c r="AC49">
        <v>1.468</v>
      </c>
      <c r="AD49">
        <v>1.4379999999999999</v>
      </c>
      <c r="AE49">
        <v>5.32</v>
      </c>
      <c r="AF49">
        <v>1.8080000000000001</v>
      </c>
      <c r="AG49">
        <v>0.30499999999999999</v>
      </c>
      <c r="AH49">
        <v>1.2629999999999999</v>
      </c>
      <c r="AI49">
        <v>6.25</v>
      </c>
      <c r="AJ49">
        <v>2.12</v>
      </c>
      <c r="AK49">
        <v>2.19</v>
      </c>
      <c r="AL49">
        <v>9.5000000000000001E-2</v>
      </c>
      <c r="AM49">
        <v>4.2</v>
      </c>
      <c r="AN49">
        <v>0.38400000000000001</v>
      </c>
      <c r="AO49">
        <v>1.53</v>
      </c>
      <c r="AP49">
        <v>3.359</v>
      </c>
      <c r="AQ49">
        <v>0.8</v>
      </c>
      <c r="AR49">
        <v>2.09</v>
      </c>
      <c r="AS49">
        <v>1.1850000000000001</v>
      </c>
      <c r="AT49">
        <v>0.35799999999999998</v>
      </c>
      <c r="AU49">
        <v>815.97</v>
      </c>
    </row>
    <row r="50" spans="1:47">
      <c r="A50" s="39">
        <v>43626</v>
      </c>
      <c r="B50">
        <v>32.700000000000003</v>
      </c>
      <c r="C50">
        <v>12.44</v>
      </c>
      <c r="D50">
        <v>9.8810000000000002</v>
      </c>
      <c r="E50">
        <v>16.5</v>
      </c>
      <c r="F50">
        <v>8.65</v>
      </c>
      <c r="G50">
        <v>0.84</v>
      </c>
      <c r="H50">
        <v>22.58</v>
      </c>
      <c r="I50">
        <v>1.7050000000000001</v>
      </c>
      <c r="J50">
        <v>2.4039999999999999</v>
      </c>
      <c r="K50">
        <v>7.2110000000000003</v>
      </c>
      <c r="L50">
        <v>10.25</v>
      </c>
      <c r="M50" s="40">
        <v>17.96</v>
      </c>
      <c r="N50">
        <v>6.8579999999999997</v>
      </c>
      <c r="O50">
        <v>6.76</v>
      </c>
      <c r="P50">
        <v>5.19</v>
      </c>
      <c r="Q50">
        <v>2.9</v>
      </c>
      <c r="R50">
        <v>2.1579999999999999</v>
      </c>
      <c r="S50">
        <v>7.7</v>
      </c>
      <c r="T50">
        <v>3.53</v>
      </c>
      <c r="U50">
        <v>1.99</v>
      </c>
      <c r="V50">
        <v>22.4</v>
      </c>
      <c r="W50">
        <v>8.25</v>
      </c>
      <c r="X50">
        <v>6.1580000000000004</v>
      </c>
      <c r="Y50">
        <v>4.8499999999999996</v>
      </c>
      <c r="Z50">
        <v>29.5</v>
      </c>
      <c r="AA50">
        <v>5.95</v>
      </c>
      <c r="AB50">
        <v>5.3</v>
      </c>
      <c r="AC50">
        <v>1.468</v>
      </c>
      <c r="AD50">
        <v>1.462</v>
      </c>
      <c r="AE50">
        <v>5.5</v>
      </c>
      <c r="AF50">
        <v>1.8680000000000001</v>
      </c>
      <c r="AG50">
        <v>0.32500000000000001</v>
      </c>
      <c r="AH50">
        <v>1.2949999999999999</v>
      </c>
      <c r="AI50">
        <v>6.2</v>
      </c>
      <c r="AJ50">
        <v>2.13</v>
      </c>
      <c r="AK50">
        <v>2.19</v>
      </c>
      <c r="AL50">
        <v>0.10199999999999999</v>
      </c>
      <c r="AM50">
        <v>4.2</v>
      </c>
      <c r="AN50">
        <v>0.36199999999999999</v>
      </c>
      <c r="AO50">
        <v>1.59</v>
      </c>
      <c r="AP50">
        <v>3.3980000000000001</v>
      </c>
      <c r="AQ50">
        <v>0.81399999999999995</v>
      </c>
      <c r="AR50">
        <v>2.2799999999999998</v>
      </c>
      <c r="AS50">
        <v>1.2</v>
      </c>
      <c r="AT50">
        <v>0.36099999999999999</v>
      </c>
      <c r="AU50">
        <v>842.76</v>
      </c>
    </row>
    <row r="51" spans="1:47">
      <c r="A51" s="39">
        <v>43627</v>
      </c>
      <c r="B51">
        <v>32.909999999999997</v>
      </c>
      <c r="C51">
        <v>12.48</v>
      </c>
      <c r="D51">
        <v>9.9410000000000007</v>
      </c>
      <c r="E51">
        <v>16.34</v>
      </c>
      <c r="F51">
        <v>8.61</v>
      </c>
      <c r="G51">
        <v>0.84199999999999997</v>
      </c>
      <c r="H51">
        <v>22.66</v>
      </c>
      <c r="I51">
        <v>1.71</v>
      </c>
      <c r="J51">
        <v>2.4300000000000002</v>
      </c>
      <c r="K51">
        <v>7.5679999999999996</v>
      </c>
      <c r="L51">
        <v>10.210000000000001</v>
      </c>
      <c r="M51" s="40">
        <v>17.84</v>
      </c>
      <c r="N51">
        <v>6.9169999999999998</v>
      </c>
      <c r="O51">
        <v>6.76</v>
      </c>
      <c r="P51">
        <v>5.13</v>
      </c>
      <c r="Q51">
        <v>2.9660000000000002</v>
      </c>
      <c r="R51">
        <v>2.1139999999999999</v>
      </c>
      <c r="S51">
        <v>7.51</v>
      </c>
      <c r="T51">
        <v>3.5950000000000002</v>
      </c>
      <c r="U51">
        <v>2.0299999999999998</v>
      </c>
      <c r="V51">
        <v>22.4</v>
      </c>
      <c r="W51">
        <v>8.19</v>
      </c>
      <c r="X51">
        <v>6.19</v>
      </c>
      <c r="Y51">
        <v>4.84</v>
      </c>
      <c r="Z51">
        <v>29.5</v>
      </c>
      <c r="AA51">
        <v>5.9749999999999996</v>
      </c>
      <c r="AB51">
        <v>5.39</v>
      </c>
      <c r="AC51">
        <v>1.468</v>
      </c>
      <c r="AD51">
        <v>1.46</v>
      </c>
      <c r="AE51">
        <v>5.42</v>
      </c>
      <c r="AF51">
        <v>1.9279999999999999</v>
      </c>
      <c r="AG51">
        <v>0.33200000000000002</v>
      </c>
      <c r="AH51">
        <v>1.2949999999999999</v>
      </c>
      <c r="AI51">
        <v>6.25</v>
      </c>
      <c r="AJ51">
        <v>2.16</v>
      </c>
      <c r="AK51">
        <v>2.14</v>
      </c>
      <c r="AL51">
        <v>0.104</v>
      </c>
      <c r="AM51">
        <v>4.22</v>
      </c>
      <c r="AN51">
        <v>0.34100000000000003</v>
      </c>
      <c r="AO51">
        <v>1.62</v>
      </c>
      <c r="AP51">
        <v>3.4180000000000001</v>
      </c>
      <c r="AQ51">
        <v>0.86</v>
      </c>
      <c r="AR51">
        <v>2.87</v>
      </c>
      <c r="AS51">
        <v>1.2350000000000001</v>
      </c>
      <c r="AT51">
        <v>0.36599999999999999</v>
      </c>
      <c r="AU51">
        <v>845.95</v>
      </c>
    </row>
    <row r="52" spans="1:47">
      <c r="A52" s="39">
        <v>43628</v>
      </c>
      <c r="B52">
        <v>33.1</v>
      </c>
      <c r="C52">
        <v>12.36</v>
      </c>
      <c r="D52">
        <v>9.7919999999999998</v>
      </c>
      <c r="E52">
        <v>16.07</v>
      </c>
      <c r="F52">
        <v>8.61</v>
      </c>
      <c r="G52">
        <v>0.85899999999999999</v>
      </c>
      <c r="H52">
        <v>22.28</v>
      </c>
      <c r="I52">
        <v>1.6850000000000001</v>
      </c>
      <c r="J52">
        <v>2.42</v>
      </c>
      <c r="K52">
        <v>7.5119999999999996</v>
      </c>
      <c r="L52">
        <v>10.1</v>
      </c>
      <c r="M52" s="40">
        <v>17.600000000000001</v>
      </c>
      <c r="N52">
        <v>6.907</v>
      </c>
      <c r="O52">
        <v>6.8</v>
      </c>
      <c r="P52">
        <v>5.14</v>
      </c>
      <c r="Q52">
        <v>2.96</v>
      </c>
      <c r="R52">
        <v>2.1</v>
      </c>
      <c r="S52">
        <v>7.49</v>
      </c>
      <c r="T52">
        <v>3.77</v>
      </c>
      <c r="U52">
        <v>2</v>
      </c>
      <c r="V52">
        <v>22.2</v>
      </c>
      <c r="W52">
        <v>8.1199999999999992</v>
      </c>
      <c r="X52">
        <v>6.19</v>
      </c>
      <c r="Y52">
        <v>4.76</v>
      </c>
      <c r="Z52">
        <v>29.3</v>
      </c>
      <c r="AA52">
        <v>6</v>
      </c>
      <c r="AB52">
        <v>5.39</v>
      </c>
      <c r="AC52">
        <v>1.468</v>
      </c>
      <c r="AD52">
        <v>1.47</v>
      </c>
      <c r="AE52">
        <v>5.48</v>
      </c>
      <c r="AF52">
        <v>1.9159999999999999</v>
      </c>
      <c r="AG52">
        <v>0.33300000000000002</v>
      </c>
      <c r="AH52">
        <v>1.278</v>
      </c>
      <c r="AI52">
        <v>6.25</v>
      </c>
      <c r="AJ52">
        <v>2.31</v>
      </c>
      <c r="AK52">
        <v>2.16</v>
      </c>
      <c r="AL52">
        <v>0.10299999999999999</v>
      </c>
      <c r="AM52">
        <v>4.25</v>
      </c>
      <c r="AN52">
        <v>0.36699999999999999</v>
      </c>
      <c r="AO52">
        <v>1.63</v>
      </c>
      <c r="AP52">
        <v>3.31</v>
      </c>
      <c r="AQ52">
        <v>0.85099999999999998</v>
      </c>
      <c r="AR52">
        <v>2.7450000000000001</v>
      </c>
      <c r="AS52">
        <v>1.25</v>
      </c>
      <c r="AT52">
        <v>0.37</v>
      </c>
      <c r="AU52">
        <v>843.73</v>
      </c>
    </row>
    <row r="53" spans="1:47">
      <c r="A53" s="39">
        <v>43629</v>
      </c>
      <c r="B53">
        <v>32.880000000000003</v>
      </c>
      <c r="C53">
        <v>12.61</v>
      </c>
      <c r="D53">
        <v>9.9459999999999997</v>
      </c>
      <c r="E53">
        <v>15.71</v>
      </c>
      <c r="F53">
        <v>8.6199999999999992</v>
      </c>
      <c r="G53">
        <v>0.86</v>
      </c>
      <c r="H53">
        <v>22.78</v>
      </c>
      <c r="I53">
        <v>1.6850000000000001</v>
      </c>
      <c r="J53">
        <v>2.4489999999999998</v>
      </c>
      <c r="K53">
        <v>7.5869999999999997</v>
      </c>
      <c r="L53">
        <v>10.07</v>
      </c>
      <c r="M53" s="40">
        <v>17.2</v>
      </c>
      <c r="N53">
        <v>6.8289999999999997</v>
      </c>
      <c r="O53">
        <v>6.93</v>
      </c>
      <c r="P53">
        <v>5.18</v>
      </c>
      <c r="Q53">
        <v>3.18</v>
      </c>
      <c r="R53">
        <v>2.1360000000000001</v>
      </c>
      <c r="S53">
        <v>7.45</v>
      </c>
      <c r="T53">
        <v>3.86</v>
      </c>
      <c r="U53">
        <v>2.04</v>
      </c>
      <c r="V53">
        <v>22.65</v>
      </c>
      <c r="W53">
        <v>8.16</v>
      </c>
      <c r="X53">
        <v>6.2069999999999999</v>
      </c>
      <c r="Y53">
        <v>4.8150000000000004</v>
      </c>
      <c r="Z53">
        <v>29.5</v>
      </c>
      <c r="AA53">
        <v>5.9249999999999998</v>
      </c>
      <c r="AB53">
        <v>5.37</v>
      </c>
      <c r="AC53">
        <v>1.468</v>
      </c>
      <c r="AD53">
        <v>1.492</v>
      </c>
      <c r="AE53">
        <v>5.4</v>
      </c>
      <c r="AF53">
        <v>1.89</v>
      </c>
      <c r="AG53">
        <v>0.38100000000000001</v>
      </c>
      <c r="AH53">
        <v>1.27</v>
      </c>
      <c r="AI53">
        <v>6.25</v>
      </c>
      <c r="AJ53">
        <v>2.29</v>
      </c>
      <c r="AK53">
        <v>2.1800000000000002</v>
      </c>
      <c r="AL53">
        <v>0.108</v>
      </c>
      <c r="AM53">
        <v>4.2</v>
      </c>
      <c r="AN53">
        <v>0.39100000000000001</v>
      </c>
      <c r="AO53">
        <v>1.64</v>
      </c>
      <c r="AP53">
        <v>3.2509999999999999</v>
      </c>
      <c r="AQ53">
        <v>0.85199999999999998</v>
      </c>
      <c r="AR53">
        <v>2.8</v>
      </c>
      <c r="AS53">
        <v>1.21</v>
      </c>
      <c r="AT53">
        <v>0.38800000000000001</v>
      </c>
      <c r="AU53">
        <v>850.37</v>
      </c>
    </row>
    <row r="54" spans="1:47">
      <c r="A54" s="39">
        <v>43630</v>
      </c>
      <c r="B54">
        <v>32.700000000000003</v>
      </c>
      <c r="C54">
        <v>12.55</v>
      </c>
      <c r="D54">
        <v>9.8320000000000007</v>
      </c>
      <c r="E54">
        <v>15.47</v>
      </c>
      <c r="F54">
        <v>8.73</v>
      </c>
      <c r="G54">
        <v>0.84799999999999998</v>
      </c>
      <c r="H54">
        <v>22.5</v>
      </c>
      <c r="I54">
        <v>1.67</v>
      </c>
      <c r="J54">
        <v>2.48</v>
      </c>
      <c r="K54">
        <v>7.625</v>
      </c>
      <c r="L54">
        <v>9.9949999999999992</v>
      </c>
      <c r="M54" s="40">
        <v>17</v>
      </c>
      <c r="N54">
        <v>6.8490000000000002</v>
      </c>
      <c r="O54">
        <v>6.95</v>
      </c>
      <c r="P54">
        <v>5.12</v>
      </c>
      <c r="Q54">
        <v>3.1779999999999999</v>
      </c>
      <c r="R54">
        <v>2.13</v>
      </c>
      <c r="S54">
        <v>7.39</v>
      </c>
      <c r="T54">
        <v>3.95</v>
      </c>
      <c r="U54">
        <v>2.0099999999999998</v>
      </c>
      <c r="V54">
        <v>22.9</v>
      </c>
      <c r="W54">
        <v>8.18</v>
      </c>
      <c r="X54">
        <v>6.2069999999999999</v>
      </c>
      <c r="Y54">
        <v>4.83</v>
      </c>
      <c r="Z54">
        <v>29.5</v>
      </c>
      <c r="AA54">
        <v>5.9749999999999996</v>
      </c>
      <c r="AB54">
        <v>5.2</v>
      </c>
      <c r="AC54">
        <v>1.468</v>
      </c>
      <c r="AD54">
        <v>1.486</v>
      </c>
      <c r="AE54">
        <v>5.36</v>
      </c>
      <c r="AF54">
        <v>1.9</v>
      </c>
      <c r="AG54">
        <v>0.436</v>
      </c>
      <c r="AH54">
        <v>1.278</v>
      </c>
      <c r="AI54">
        <v>6.3</v>
      </c>
      <c r="AJ54">
        <v>2.19</v>
      </c>
      <c r="AK54">
        <v>2.1800000000000002</v>
      </c>
      <c r="AL54">
        <v>0.112</v>
      </c>
      <c r="AM54">
        <v>4.22</v>
      </c>
      <c r="AN54">
        <v>0.38800000000000001</v>
      </c>
      <c r="AO54">
        <v>1.66</v>
      </c>
      <c r="AP54">
        <v>3.3490000000000002</v>
      </c>
      <c r="AQ54">
        <v>0.86</v>
      </c>
      <c r="AR54">
        <v>2.78</v>
      </c>
      <c r="AS54">
        <v>1.21</v>
      </c>
      <c r="AT54">
        <v>0.4</v>
      </c>
      <c r="AU54">
        <v>847.36</v>
      </c>
    </row>
    <row r="55" spans="1:47">
      <c r="A55" s="39">
        <v>43634</v>
      </c>
      <c r="B55">
        <v>33.03</v>
      </c>
      <c r="C55">
        <v>12.69</v>
      </c>
      <c r="D55">
        <v>9.9610000000000003</v>
      </c>
      <c r="E55">
        <v>16.260000000000002</v>
      </c>
      <c r="F55">
        <v>8.8000000000000007</v>
      </c>
      <c r="G55">
        <v>0.84199999999999997</v>
      </c>
      <c r="H55">
        <v>23.34</v>
      </c>
      <c r="I55">
        <v>1.66</v>
      </c>
      <c r="J55">
        <v>2.48</v>
      </c>
      <c r="K55">
        <v>7.7380000000000004</v>
      </c>
      <c r="L55">
        <v>10</v>
      </c>
      <c r="M55" s="40">
        <v>16.96</v>
      </c>
      <c r="N55">
        <v>6.76</v>
      </c>
      <c r="O55">
        <v>7</v>
      </c>
      <c r="P55">
        <v>5.19</v>
      </c>
      <c r="Q55">
        <v>3.17</v>
      </c>
      <c r="R55">
        <v>2.13</v>
      </c>
      <c r="S55">
        <v>7.5</v>
      </c>
      <c r="T55">
        <v>3.93</v>
      </c>
      <c r="U55">
        <v>2.0499999999999998</v>
      </c>
      <c r="V55">
        <v>22.65</v>
      </c>
      <c r="W55">
        <v>8.09</v>
      </c>
      <c r="X55">
        <v>6.1740000000000004</v>
      </c>
      <c r="Y55">
        <v>4.8499999999999996</v>
      </c>
      <c r="Z55">
        <v>29.5</v>
      </c>
      <c r="AA55">
        <v>5.9749999999999996</v>
      </c>
      <c r="AB55">
        <v>5.18</v>
      </c>
      <c r="AC55">
        <v>1.468</v>
      </c>
      <c r="AD55">
        <v>1.486</v>
      </c>
      <c r="AE55">
        <v>5.36</v>
      </c>
      <c r="AF55">
        <v>1.9</v>
      </c>
      <c r="AG55">
        <v>0.503</v>
      </c>
      <c r="AH55">
        <v>1.278</v>
      </c>
      <c r="AI55">
        <v>6.35</v>
      </c>
      <c r="AJ55">
        <v>2.2000000000000002</v>
      </c>
      <c r="AK55">
        <v>2.19</v>
      </c>
      <c r="AL55">
        <v>0.112</v>
      </c>
      <c r="AM55">
        <v>4.21</v>
      </c>
      <c r="AN55">
        <v>0.38800000000000001</v>
      </c>
      <c r="AO55">
        <v>1.65</v>
      </c>
      <c r="AP55">
        <v>3.29</v>
      </c>
      <c r="AQ55">
        <v>0.9</v>
      </c>
      <c r="AR55">
        <v>2.7450000000000001</v>
      </c>
      <c r="AS55">
        <v>1.25</v>
      </c>
      <c r="AT55">
        <v>0.441</v>
      </c>
      <c r="AU55">
        <v>853.32</v>
      </c>
    </row>
    <row r="56" spans="1:47">
      <c r="A56" s="39">
        <v>43635</v>
      </c>
      <c r="B56">
        <v>32.76</v>
      </c>
      <c r="C56">
        <v>12.6</v>
      </c>
      <c r="D56">
        <v>9.7870000000000008</v>
      </c>
      <c r="E56">
        <v>16.23</v>
      </c>
      <c r="F56">
        <v>8.66</v>
      </c>
      <c r="G56">
        <v>0.83199999999999996</v>
      </c>
      <c r="H56">
        <v>23.1</v>
      </c>
      <c r="I56">
        <v>1.63</v>
      </c>
      <c r="J56">
        <v>2.3730000000000002</v>
      </c>
      <c r="K56">
        <v>7.6909999999999998</v>
      </c>
      <c r="L56">
        <v>9.9499999999999993</v>
      </c>
      <c r="M56" s="40">
        <v>17.64</v>
      </c>
      <c r="N56">
        <v>6.6820000000000004</v>
      </c>
      <c r="O56">
        <v>6.86</v>
      </c>
      <c r="P56">
        <v>5.0999999999999996</v>
      </c>
      <c r="Q56">
        <v>3.07</v>
      </c>
      <c r="R56">
        <v>2.09</v>
      </c>
      <c r="S56">
        <v>7.54</v>
      </c>
      <c r="T56">
        <v>3.9950000000000001</v>
      </c>
      <c r="U56">
        <v>2.0499999999999998</v>
      </c>
      <c r="V56">
        <v>22.1</v>
      </c>
      <c r="W56">
        <v>8.1</v>
      </c>
      <c r="X56">
        <v>6.2069999999999999</v>
      </c>
      <c r="Y56">
        <v>4.82</v>
      </c>
      <c r="Z56">
        <v>29.5</v>
      </c>
      <c r="AA56">
        <v>5.9749999999999996</v>
      </c>
      <c r="AB56">
        <v>5.0999999999999996</v>
      </c>
      <c r="AC56">
        <v>1.472</v>
      </c>
      <c r="AD56">
        <v>1.456</v>
      </c>
      <c r="AE56">
        <v>5.48</v>
      </c>
      <c r="AF56">
        <v>1.8620000000000001</v>
      </c>
      <c r="AG56">
        <v>0.55700000000000005</v>
      </c>
      <c r="AH56">
        <v>1.2729999999999999</v>
      </c>
      <c r="AI56">
        <v>6.35</v>
      </c>
      <c r="AJ56">
        <v>2.21</v>
      </c>
      <c r="AK56">
        <v>2.1800000000000002</v>
      </c>
      <c r="AL56">
        <v>0.11600000000000001</v>
      </c>
      <c r="AM56">
        <v>4.2300000000000004</v>
      </c>
      <c r="AN56">
        <v>0.38500000000000001</v>
      </c>
      <c r="AO56">
        <v>1.63</v>
      </c>
      <c r="AP56">
        <v>3.5760000000000001</v>
      </c>
      <c r="AQ56">
        <v>0.88500000000000001</v>
      </c>
      <c r="AR56">
        <v>2.665</v>
      </c>
      <c r="AS56">
        <v>1.25</v>
      </c>
      <c r="AT56">
        <v>0.43099999999999999</v>
      </c>
      <c r="AU56">
        <v>844</v>
      </c>
    </row>
    <row r="57" spans="1:47">
      <c r="A57" s="39">
        <v>43636</v>
      </c>
      <c r="B57">
        <v>33.32</v>
      </c>
      <c r="C57">
        <v>12.5</v>
      </c>
      <c r="D57">
        <v>9.7620000000000005</v>
      </c>
      <c r="E57">
        <v>16.55</v>
      </c>
      <c r="F57">
        <v>8.6999999999999993</v>
      </c>
      <c r="G57">
        <v>0.82699999999999996</v>
      </c>
      <c r="H57">
        <v>23.1</v>
      </c>
      <c r="I57">
        <v>1.61</v>
      </c>
      <c r="J57">
        <v>2.25</v>
      </c>
      <c r="K57">
        <v>7.71</v>
      </c>
      <c r="L57">
        <v>9.9600000000000009</v>
      </c>
      <c r="M57" s="40">
        <v>17.5</v>
      </c>
      <c r="N57">
        <v>6.7210000000000001</v>
      </c>
      <c r="O57">
        <v>6.87</v>
      </c>
      <c r="P57">
        <v>5.08</v>
      </c>
      <c r="Q57">
        <v>2.97</v>
      </c>
      <c r="R57">
        <v>1.728</v>
      </c>
      <c r="S57">
        <v>7.8</v>
      </c>
      <c r="T57">
        <v>3.9950000000000001</v>
      </c>
      <c r="U57">
        <v>1.96</v>
      </c>
      <c r="V57">
        <v>21.85</v>
      </c>
      <c r="W57">
        <v>8.1300000000000008</v>
      </c>
      <c r="X57">
        <v>6.19</v>
      </c>
      <c r="Y57">
        <v>4.8049999999999997</v>
      </c>
      <c r="Z57">
        <v>29</v>
      </c>
      <c r="AA57">
        <v>5.9749999999999996</v>
      </c>
      <c r="AB57">
        <v>5.08</v>
      </c>
      <c r="AC57">
        <v>1.468</v>
      </c>
      <c r="AD57">
        <v>1.458</v>
      </c>
      <c r="AE57">
        <v>5.42</v>
      </c>
      <c r="AF57">
        <v>1.8520000000000001</v>
      </c>
      <c r="AG57">
        <v>0.52500000000000002</v>
      </c>
      <c r="AH57">
        <v>1.25</v>
      </c>
      <c r="AI57">
        <v>6.3</v>
      </c>
      <c r="AJ57">
        <v>2.19</v>
      </c>
      <c r="AK57">
        <v>2.11</v>
      </c>
      <c r="AL57">
        <v>0.11799999999999999</v>
      </c>
      <c r="AM57">
        <v>4.2</v>
      </c>
      <c r="AN57">
        <v>0.377</v>
      </c>
      <c r="AO57">
        <v>1.615</v>
      </c>
      <c r="AP57">
        <v>3.5459999999999998</v>
      </c>
      <c r="AQ57">
        <v>0.85099999999999998</v>
      </c>
      <c r="AR57">
        <v>2.8</v>
      </c>
      <c r="AS57">
        <v>1.24</v>
      </c>
      <c r="AT57">
        <v>0.40300000000000002</v>
      </c>
      <c r="AU57">
        <v>836.78</v>
      </c>
    </row>
    <row r="58" spans="1:47">
      <c r="A58" s="39">
        <v>43637</v>
      </c>
      <c r="B58">
        <v>33.799999999999997</v>
      </c>
      <c r="C58">
        <v>12.17</v>
      </c>
      <c r="D58">
        <v>9.9860000000000007</v>
      </c>
      <c r="E58">
        <v>16.78</v>
      </c>
      <c r="F58">
        <v>8.7899999999999991</v>
      </c>
      <c r="G58">
        <v>0.81699999999999995</v>
      </c>
      <c r="H58">
        <v>22.92</v>
      </c>
      <c r="I58">
        <v>1.61</v>
      </c>
      <c r="J58">
        <v>2.2320000000000002</v>
      </c>
      <c r="K58">
        <v>7.7569999999999997</v>
      </c>
      <c r="L58">
        <v>10.17</v>
      </c>
      <c r="M58" s="40">
        <v>16.7</v>
      </c>
      <c r="N58">
        <v>6.907</v>
      </c>
      <c r="O58">
        <v>7</v>
      </c>
      <c r="P58">
        <v>5.31</v>
      </c>
      <c r="Q58">
        <v>2.92</v>
      </c>
      <c r="R58">
        <v>1.78</v>
      </c>
      <c r="S58">
        <v>8.18</v>
      </c>
      <c r="T58">
        <v>4.0999999999999996</v>
      </c>
      <c r="U58">
        <v>2.0299999999999998</v>
      </c>
      <c r="V58">
        <v>21.6</v>
      </c>
      <c r="W58">
        <v>8.2799999999999994</v>
      </c>
      <c r="X58">
        <v>6.2069999999999999</v>
      </c>
      <c r="Y58">
        <v>4.9000000000000004</v>
      </c>
      <c r="Z58">
        <v>29.3</v>
      </c>
      <c r="AA58">
        <v>5.95</v>
      </c>
      <c r="AB58">
        <v>5.18</v>
      </c>
      <c r="AC58">
        <v>1.472</v>
      </c>
      <c r="AD58">
        <v>1.47</v>
      </c>
      <c r="AE58">
        <v>5.36</v>
      </c>
      <c r="AF58">
        <v>1.85</v>
      </c>
      <c r="AG58">
        <v>0.48</v>
      </c>
      <c r="AH58">
        <v>1.236</v>
      </c>
      <c r="AI58">
        <v>6.3</v>
      </c>
      <c r="AJ58">
        <v>2.2400000000000002</v>
      </c>
      <c r="AK58">
        <v>2.0699999999999998</v>
      </c>
      <c r="AL58">
        <v>0.11600000000000001</v>
      </c>
      <c r="AM58">
        <v>4.18</v>
      </c>
      <c r="AN58">
        <v>0.38600000000000001</v>
      </c>
      <c r="AO58">
        <v>1.625</v>
      </c>
      <c r="AP58">
        <v>3.448</v>
      </c>
      <c r="AQ58">
        <v>0.85099999999999998</v>
      </c>
      <c r="AR58">
        <v>2.7850000000000001</v>
      </c>
      <c r="AS58">
        <v>1.24</v>
      </c>
      <c r="AT58">
        <v>0.40899999999999997</v>
      </c>
      <c r="AU58">
        <v>838.72</v>
      </c>
    </row>
    <row r="59" spans="1:47">
      <c r="A59" s="39">
        <v>43640</v>
      </c>
      <c r="B59">
        <v>33.450000000000003</v>
      </c>
      <c r="C59">
        <v>12.4</v>
      </c>
      <c r="D59">
        <v>10.231</v>
      </c>
      <c r="E59">
        <v>16.649999999999999</v>
      </c>
      <c r="F59">
        <v>8.93</v>
      </c>
      <c r="G59">
        <v>0.82</v>
      </c>
      <c r="H59">
        <v>23.5</v>
      </c>
      <c r="I59">
        <v>1.6739999999999999</v>
      </c>
      <c r="J59">
        <v>2.3450000000000002</v>
      </c>
      <c r="K59">
        <v>7.8040000000000003</v>
      </c>
      <c r="L59">
        <v>10.27</v>
      </c>
      <c r="M59" s="40">
        <v>17.2</v>
      </c>
      <c r="N59">
        <v>6.8579999999999997</v>
      </c>
      <c r="O59">
        <v>7.1</v>
      </c>
      <c r="P59">
        <v>5.38</v>
      </c>
      <c r="Q59">
        <v>2.9180000000000001</v>
      </c>
      <c r="R59">
        <v>1.93</v>
      </c>
      <c r="S59">
        <v>8.23</v>
      </c>
      <c r="T59">
        <v>4.2</v>
      </c>
      <c r="U59">
        <v>2.02</v>
      </c>
      <c r="V59">
        <v>22</v>
      </c>
      <c r="W59">
        <v>8.15</v>
      </c>
      <c r="X59">
        <v>6.19</v>
      </c>
      <c r="Y59">
        <v>4.875</v>
      </c>
      <c r="Z59">
        <v>29.3</v>
      </c>
      <c r="AA59">
        <v>6</v>
      </c>
      <c r="AB59">
        <v>5.15</v>
      </c>
      <c r="AC59">
        <v>1.468</v>
      </c>
      <c r="AD59">
        <v>1.482</v>
      </c>
      <c r="AE59">
        <v>5.48</v>
      </c>
      <c r="AF59">
        <v>1.83</v>
      </c>
      <c r="AG59">
        <v>0.50700000000000001</v>
      </c>
      <c r="AH59">
        <v>1.2729999999999999</v>
      </c>
      <c r="AI59">
        <v>6.3</v>
      </c>
      <c r="AJ59">
        <v>2.19</v>
      </c>
      <c r="AK59">
        <v>2.04</v>
      </c>
      <c r="AL59">
        <v>0.121</v>
      </c>
      <c r="AM59">
        <v>4.1500000000000004</v>
      </c>
      <c r="AN59">
        <v>0.39200000000000002</v>
      </c>
      <c r="AO59">
        <v>1.635</v>
      </c>
      <c r="AP59">
        <v>3.448</v>
      </c>
      <c r="AQ59">
        <v>0.90600000000000003</v>
      </c>
      <c r="AR59">
        <v>2.855</v>
      </c>
      <c r="AS59">
        <v>1.27</v>
      </c>
      <c r="AT59">
        <v>0.41799999999999998</v>
      </c>
      <c r="AU59">
        <v>849.35</v>
      </c>
    </row>
    <row r="60" spans="1:47">
      <c r="A60" s="39">
        <v>43641</v>
      </c>
      <c r="B60">
        <v>33.79</v>
      </c>
      <c r="C60">
        <v>12.5</v>
      </c>
      <c r="D60">
        <v>10.071</v>
      </c>
      <c r="E60">
        <v>16.5</v>
      </c>
      <c r="F60">
        <v>8.9700000000000006</v>
      </c>
      <c r="G60">
        <v>0.80700000000000005</v>
      </c>
      <c r="H60">
        <v>23.46</v>
      </c>
      <c r="I60">
        <v>1.645</v>
      </c>
      <c r="J60">
        <v>2.2999999999999998</v>
      </c>
      <c r="K60">
        <v>7.851</v>
      </c>
      <c r="L60">
        <v>10.1</v>
      </c>
      <c r="M60" s="40">
        <v>17.2</v>
      </c>
      <c r="N60">
        <v>6.8390000000000004</v>
      </c>
      <c r="O60">
        <v>7.09</v>
      </c>
      <c r="P60">
        <v>5.42</v>
      </c>
      <c r="Q60">
        <v>2.88</v>
      </c>
      <c r="R60">
        <v>1.875</v>
      </c>
      <c r="S60">
        <v>8.44</v>
      </c>
      <c r="T60">
        <v>4.0750000000000002</v>
      </c>
      <c r="U60">
        <v>2.0249999999999999</v>
      </c>
      <c r="V60">
        <v>22.55</v>
      </c>
      <c r="W60">
        <v>8.1</v>
      </c>
      <c r="X60">
        <v>6.141</v>
      </c>
      <c r="Y60">
        <v>4.8899999999999997</v>
      </c>
      <c r="Z60">
        <v>29.4</v>
      </c>
      <c r="AA60">
        <v>6.24</v>
      </c>
      <c r="AB60">
        <v>4.97</v>
      </c>
      <c r="AC60">
        <v>1.468</v>
      </c>
      <c r="AD60">
        <v>1.5</v>
      </c>
      <c r="AE60">
        <v>5.4</v>
      </c>
      <c r="AF60">
        <v>1.8939999999999999</v>
      </c>
      <c r="AG60">
        <v>0.505</v>
      </c>
      <c r="AH60">
        <v>1.27</v>
      </c>
      <c r="AI60">
        <v>6.2</v>
      </c>
      <c r="AJ60">
        <v>2.17</v>
      </c>
      <c r="AK60">
        <v>2.04</v>
      </c>
      <c r="AL60">
        <v>0.11899999999999999</v>
      </c>
      <c r="AM60">
        <v>4.24</v>
      </c>
      <c r="AN60">
        <v>0.39700000000000002</v>
      </c>
      <c r="AO60">
        <v>1.61</v>
      </c>
      <c r="AP60">
        <v>3.4380000000000002</v>
      </c>
      <c r="AQ60">
        <v>0.9</v>
      </c>
      <c r="AR60">
        <v>2.83</v>
      </c>
      <c r="AS60">
        <v>1.27</v>
      </c>
      <c r="AT60">
        <v>0.40699999999999997</v>
      </c>
      <c r="AU60">
        <v>846.66</v>
      </c>
    </row>
    <row r="61" spans="1:47">
      <c r="A61" s="39">
        <v>43642</v>
      </c>
      <c r="B61">
        <v>34.49</v>
      </c>
      <c r="C61">
        <v>12.6</v>
      </c>
      <c r="D61">
        <v>9.5020000000000007</v>
      </c>
      <c r="E61">
        <v>16.7</v>
      </c>
      <c r="F61">
        <v>8.94</v>
      </c>
      <c r="G61">
        <v>0.82</v>
      </c>
      <c r="H61">
        <v>23.24</v>
      </c>
      <c r="I61">
        <v>1.6890000000000001</v>
      </c>
      <c r="J61">
        <v>2.34</v>
      </c>
      <c r="K61">
        <v>8.1140000000000008</v>
      </c>
      <c r="L61">
        <v>10.1</v>
      </c>
      <c r="M61" s="40">
        <v>17.18</v>
      </c>
      <c r="N61">
        <v>6.8879999999999999</v>
      </c>
      <c r="O61">
        <v>7.25</v>
      </c>
      <c r="P61">
        <v>5.52</v>
      </c>
      <c r="Q61">
        <v>2.91</v>
      </c>
      <c r="R61">
        <v>1.8879999999999999</v>
      </c>
      <c r="S61">
        <v>8.41</v>
      </c>
      <c r="T61">
        <v>4.2149999999999999</v>
      </c>
      <c r="U61">
        <v>2.04</v>
      </c>
      <c r="V61">
        <v>22.3</v>
      </c>
      <c r="W61">
        <v>8.3000000000000007</v>
      </c>
      <c r="X61">
        <v>6.2069999999999999</v>
      </c>
      <c r="Y61">
        <v>4.9000000000000004</v>
      </c>
      <c r="Z61">
        <v>29.4</v>
      </c>
      <c r="AA61">
        <v>6.28</v>
      </c>
      <c r="AB61">
        <v>5</v>
      </c>
      <c r="AC61">
        <v>1.46</v>
      </c>
      <c r="AD61">
        <v>1.52</v>
      </c>
      <c r="AE61">
        <v>5.4</v>
      </c>
      <c r="AF61">
        <v>1.93</v>
      </c>
      <c r="AG61">
        <v>0.49</v>
      </c>
      <c r="AH61">
        <v>1.2929999999999999</v>
      </c>
      <c r="AI61">
        <v>6.2</v>
      </c>
      <c r="AJ61">
        <v>2.1800000000000002</v>
      </c>
      <c r="AK61">
        <v>2.0099999999999998</v>
      </c>
      <c r="AL61">
        <v>0.12</v>
      </c>
      <c r="AM61">
        <v>4.2300000000000004</v>
      </c>
      <c r="AN61">
        <v>0.38800000000000001</v>
      </c>
      <c r="AO61">
        <v>1.6</v>
      </c>
      <c r="AP61">
        <v>3.4279999999999999</v>
      </c>
      <c r="AQ61">
        <v>0.90300000000000002</v>
      </c>
      <c r="AR61">
        <v>3.01</v>
      </c>
      <c r="AS61">
        <v>1.27</v>
      </c>
      <c r="AT61">
        <v>0.40600000000000003</v>
      </c>
      <c r="AU61">
        <v>852.27</v>
      </c>
    </row>
    <row r="62" spans="1:47">
      <c r="A62" s="39">
        <v>43643</v>
      </c>
      <c r="B62">
        <v>34.44</v>
      </c>
      <c r="C62">
        <v>12.86</v>
      </c>
      <c r="D62">
        <v>9.7919999999999998</v>
      </c>
      <c r="E62">
        <v>16.7</v>
      </c>
      <c r="F62">
        <v>9.15</v>
      </c>
      <c r="G62">
        <v>0.83</v>
      </c>
      <c r="H62">
        <v>22.88</v>
      </c>
      <c r="I62">
        <v>1.67</v>
      </c>
      <c r="J62">
        <v>2.3519999999999999</v>
      </c>
      <c r="K62">
        <v>8.3780000000000001</v>
      </c>
      <c r="L62">
        <v>10.19</v>
      </c>
      <c r="M62" s="40">
        <v>17</v>
      </c>
      <c r="N62">
        <v>6.907</v>
      </c>
      <c r="O62">
        <v>7.42</v>
      </c>
      <c r="P62">
        <v>5.54</v>
      </c>
      <c r="Q62">
        <v>2.95</v>
      </c>
      <c r="R62">
        <v>1.823</v>
      </c>
      <c r="S62">
        <v>8.98</v>
      </c>
      <c r="T62">
        <v>4.3899999999999997</v>
      </c>
      <c r="U62">
        <v>2.0750000000000002</v>
      </c>
      <c r="V62">
        <v>22.4</v>
      </c>
      <c r="W62">
        <v>8.15</v>
      </c>
      <c r="X62">
        <v>6.4189999999999996</v>
      </c>
      <c r="Y62">
        <v>4.9000000000000004</v>
      </c>
      <c r="Z62">
        <v>29.5</v>
      </c>
      <c r="AA62">
        <v>6.16</v>
      </c>
      <c r="AB62">
        <v>5.0999999999999996</v>
      </c>
      <c r="AC62">
        <v>1.466</v>
      </c>
      <c r="AD62">
        <v>1.5680000000000001</v>
      </c>
      <c r="AE62">
        <v>5.7</v>
      </c>
      <c r="AF62">
        <v>1.93</v>
      </c>
      <c r="AG62">
        <v>0.49</v>
      </c>
      <c r="AH62">
        <v>1.31</v>
      </c>
      <c r="AI62">
        <v>6.1</v>
      </c>
      <c r="AJ62">
        <v>2.2000000000000002</v>
      </c>
      <c r="AK62">
        <v>2.0499999999999998</v>
      </c>
      <c r="AL62">
        <v>0.121</v>
      </c>
      <c r="AM62">
        <v>4.28</v>
      </c>
      <c r="AN62">
        <v>0.377</v>
      </c>
      <c r="AO62">
        <v>1.6</v>
      </c>
      <c r="AP62">
        <v>3.5169999999999999</v>
      </c>
      <c r="AQ62">
        <v>0.98</v>
      </c>
      <c r="AR62">
        <v>2.86</v>
      </c>
      <c r="AS62">
        <v>1.365</v>
      </c>
      <c r="AT62">
        <v>0.42099999999999999</v>
      </c>
      <c r="AU62">
        <v>859.12</v>
      </c>
    </row>
    <row r="63" spans="1:47">
      <c r="A63" s="39">
        <v>43644</v>
      </c>
      <c r="B63">
        <v>34.700000000000003</v>
      </c>
      <c r="C63">
        <v>13</v>
      </c>
      <c r="D63">
        <v>9.8420000000000005</v>
      </c>
      <c r="E63">
        <v>17</v>
      </c>
      <c r="F63">
        <v>9.25</v>
      </c>
      <c r="G63">
        <v>0.86499999999999999</v>
      </c>
      <c r="H63">
        <v>22.5</v>
      </c>
      <c r="I63">
        <v>1.76</v>
      </c>
      <c r="J63">
        <v>2.41</v>
      </c>
      <c r="K63">
        <v>8.4809999999999999</v>
      </c>
      <c r="L63">
        <v>10.15</v>
      </c>
      <c r="M63" s="40">
        <v>17.16</v>
      </c>
      <c r="N63">
        <v>6.907</v>
      </c>
      <c r="O63">
        <v>7.33</v>
      </c>
      <c r="P63">
        <v>5.61</v>
      </c>
      <c r="Q63">
        <v>3.0640000000000001</v>
      </c>
      <c r="R63">
        <v>1.89</v>
      </c>
      <c r="S63">
        <v>8.89</v>
      </c>
      <c r="T63">
        <v>4.2949999999999999</v>
      </c>
      <c r="U63">
        <v>2.0699999999999998</v>
      </c>
      <c r="V63">
        <v>22</v>
      </c>
      <c r="W63">
        <v>8.15</v>
      </c>
      <c r="X63">
        <v>6.37</v>
      </c>
      <c r="Y63">
        <v>4.9000000000000004</v>
      </c>
      <c r="Z63">
        <v>29.9</v>
      </c>
      <c r="AA63">
        <v>6.04</v>
      </c>
      <c r="AB63">
        <v>5.16</v>
      </c>
      <c r="AC63">
        <v>1.47</v>
      </c>
      <c r="AD63">
        <v>1.54</v>
      </c>
      <c r="AE63">
        <v>5.66</v>
      </c>
      <c r="AF63">
        <v>1.9019999999999999</v>
      </c>
      <c r="AG63">
        <v>0.496</v>
      </c>
      <c r="AH63">
        <v>1.3280000000000001</v>
      </c>
      <c r="AI63">
        <v>6.05</v>
      </c>
      <c r="AJ63">
        <v>2.2000000000000002</v>
      </c>
      <c r="AK63">
        <v>2.08</v>
      </c>
      <c r="AL63">
        <v>0.128</v>
      </c>
      <c r="AM63">
        <v>4.3</v>
      </c>
      <c r="AN63">
        <v>0.39800000000000002</v>
      </c>
      <c r="AO63">
        <v>1.6</v>
      </c>
      <c r="AP63">
        <v>3.5259999999999998</v>
      </c>
      <c r="AQ63">
        <v>0.98399999999999999</v>
      </c>
      <c r="AR63">
        <v>2.86</v>
      </c>
      <c r="AS63">
        <v>1.4450000000000001</v>
      </c>
      <c r="AT63">
        <v>0.436</v>
      </c>
      <c r="AU63">
        <v>868.48</v>
      </c>
    </row>
    <row r="64" spans="1:47">
      <c r="A64" s="39">
        <v>43647</v>
      </c>
      <c r="B64">
        <v>34.200000000000003</v>
      </c>
      <c r="C64">
        <v>12.89</v>
      </c>
      <c r="D64">
        <v>9.7919999999999998</v>
      </c>
      <c r="E64">
        <v>17.25</v>
      </c>
      <c r="F64">
        <v>9.07</v>
      </c>
      <c r="G64">
        <v>0.86799999999999999</v>
      </c>
      <c r="H64">
        <v>23.2</v>
      </c>
      <c r="I64">
        <v>1.76</v>
      </c>
      <c r="J64">
        <v>2.407</v>
      </c>
      <c r="K64">
        <v>8.8670000000000009</v>
      </c>
      <c r="L64">
        <v>10.34</v>
      </c>
      <c r="M64" s="40">
        <v>17.600000000000001</v>
      </c>
      <c r="N64">
        <v>6.907</v>
      </c>
      <c r="O64">
        <v>7.37</v>
      </c>
      <c r="P64">
        <v>5.68</v>
      </c>
      <c r="Q64">
        <v>3.0960000000000001</v>
      </c>
      <c r="R64">
        <v>1.994</v>
      </c>
      <c r="S64">
        <v>8.81</v>
      </c>
      <c r="T64">
        <v>4.32</v>
      </c>
      <c r="U64">
        <v>2.0950000000000002</v>
      </c>
      <c r="V64">
        <v>22.2</v>
      </c>
      <c r="W64">
        <v>8.17</v>
      </c>
      <c r="X64">
        <v>6.5010000000000003</v>
      </c>
      <c r="Y64">
        <v>5</v>
      </c>
      <c r="Z64">
        <v>30.1</v>
      </c>
      <c r="AA64">
        <v>6.1</v>
      </c>
      <c r="AB64">
        <v>5.28</v>
      </c>
      <c r="AC64">
        <v>1.4219999999999999</v>
      </c>
      <c r="AD64">
        <v>1.56</v>
      </c>
      <c r="AE64">
        <v>5.78</v>
      </c>
      <c r="AF64">
        <v>1.9319999999999999</v>
      </c>
      <c r="AG64">
        <v>0.50800000000000001</v>
      </c>
      <c r="AH64">
        <v>1.3480000000000001</v>
      </c>
      <c r="AI64">
        <v>6.15</v>
      </c>
      <c r="AJ64">
        <v>2.17</v>
      </c>
      <c r="AK64">
        <v>2.09</v>
      </c>
      <c r="AL64">
        <v>0.13800000000000001</v>
      </c>
      <c r="AM64">
        <v>4.3499999999999996</v>
      </c>
      <c r="AN64">
        <v>0.42</v>
      </c>
      <c r="AO64">
        <v>1.62</v>
      </c>
      <c r="AP64">
        <v>3.4580000000000002</v>
      </c>
      <c r="AQ64">
        <v>1.04</v>
      </c>
      <c r="AR64">
        <v>2.88</v>
      </c>
      <c r="AS64">
        <v>1.49</v>
      </c>
      <c r="AT64">
        <v>0.48</v>
      </c>
      <c r="AU64">
        <v>874.38</v>
      </c>
    </row>
    <row r="65" spans="1:47">
      <c r="A65" s="39">
        <v>43648</v>
      </c>
      <c r="B65">
        <v>34.39</v>
      </c>
      <c r="C65">
        <v>12.96</v>
      </c>
      <c r="D65">
        <v>9.8420000000000005</v>
      </c>
      <c r="E65">
        <v>17.25</v>
      </c>
      <c r="F65">
        <v>8.9499999999999993</v>
      </c>
      <c r="G65">
        <v>0.86799999999999999</v>
      </c>
      <c r="H65">
        <v>23.3</v>
      </c>
      <c r="I65">
        <v>1.75</v>
      </c>
      <c r="J65">
        <v>2.3620000000000001</v>
      </c>
      <c r="K65">
        <v>8.8390000000000004</v>
      </c>
      <c r="L65">
        <v>10.31</v>
      </c>
      <c r="M65" s="40">
        <v>17.62</v>
      </c>
      <c r="N65">
        <v>6.9169999999999998</v>
      </c>
      <c r="O65">
        <v>7.35</v>
      </c>
      <c r="P65">
        <v>5.7</v>
      </c>
      <c r="Q65">
        <v>3.06</v>
      </c>
      <c r="R65">
        <v>2.0299999999999998</v>
      </c>
      <c r="S65">
        <v>8.64</v>
      </c>
      <c r="T65">
        <v>4.4000000000000004</v>
      </c>
      <c r="U65">
        <v>2.06</v>
      </c>
      <c r="V65">
        <v>22.5</v>
      </c>
      <c r="W65">
        <v>8.17</v>
      </c>
      <c r="X65">
        <v>6.484</v>
      </c>
      <c r="Y65">
        <v>5</v>
      </c>
      <c r="Z65">
        <v>31</v>
      </c>
      <c r="AA65">
        <v>6.06</v>
      </c>
      <c r="AB65">
        <v>5.4</v>
      </c>
      <c r="AC65">
        <v>1.4259999999999999</v>
      </c>
      <c r="AD65">
        <v>1.546</v>
      </c>
      <c r="AE65">
        <v>5.62</v>
      </c>
      <c r="AF65">
        <v>1.944</v>
      </c>
      <c r="AG65">
        <v>0.49299999999999999</v>
      </c>
      <c r="AH65">
        <v>1.345</v>
      </c>
      <c r="AI65">
        <v>6.05</v>
      </c>
      <c r="AJ65">
        <v>2.19</v>
      </c>
      <c r="AK65">
        <v>2.08</v>
      </c>
      <c r="AL65">
        <v>0.13700000000000001</v>
      </c>
      <c r="AM65">
        <v>4.3</v>
      </c>
      <c r="AN65">
        <v>0.40899999999999997</v>
      </c>
      <c r="AO65">
        <v>1.655</v>
      </c>
      <c r="AP65">
        <v>3.3690000000000002</v>
      </c>
      <c r="AQ65">
        <v>1.04</v>
      </c>
      <c r="AR65">
        <v>2.85</v>
      </c>
      <c r="AS65">
        <v>1.45</v>
      </c>
      <c r="AT65">
        <v>0.49</v>
      </c>
      <c r="AU65">
        <v>874.47</v>
      </c>
    </row>
    <row r="66" spans="1:47">
      <c r="A66" s="39">
        <v>43649</v>
      </c>
      <c r="B66">
        <v>35.090000000000003</v>
      </c>
      <c r="C66">
        <v>12.97</v>
      </c>
      <c r="D66">
        <v>9.9909999999999997</v>
      </c>
      <c r="E66">
        <v>17.600000000000001</v>
      </c>
      <c r="F66">
        <v>9.1</v>
      </c>
      <c r="G66">
        <v>0.874</v>
      </c>
      <c r="H66">
        <v>24</v>
      </c>
      <c r="I66">
        <v>1.8</v>
      </c>
      <c r="J66">
        <v>2.41</v>
      </c>
      <c r="K66">
        <v>8.83</v>
      </c>
      <c r="L66">
        <v>10.59</v>
      </c>
      <c r="M66" s="40">
        <v>18.12</v>
      </c>
      <c r="N66">
        <v>6.976</v>
      </c>
      <c r="O66">
        <v>7.6</v>
      </c>
      <c r="P66">
        <v>5.69</v>
      </c>
      <c r="Q66">
        <v>3.12</v>
      </c>
      <c r="R66">
        <v>2.3359999999999999</v>
      </c>
      <c r="S66">
        <v>8.82</v>
      </c>
      <c r="T66">
        <v>4.4000000000000004</v>
      </c>
      <c r="U66">
        <v>2.12</v>
      </c>
      <c r="V66">
        <v>23</v>
      </c>
      <c r="W66">
        <v>8.34</v>
      </c>
      <c r="X66">
        <v>6.484</v>
      </c>
      <c r="Y66">
        <v>5.0999999999999996</v>
      </c>
      <c r="Z66">
        <v>30.8</v>
      </c>
      <c r="AA66">
        <v>6.06</v>
      </c>
      <c r="AB66">
        <v>5.59</v>
      </c>
      <c r="AC66">
        <v>1.446</v>
      </c>
      <c r="AD66">
        <v>1.5680000000000001</v>
      </c>
      <c r="AE66">
        <v>5.62</v>
      </c>
      <c r="AF66">
        <v>2.0449999999999999</v>
      </c>
      <c r="AG66">
        <v>0.48</v>
      </c>
      <c r="AH66">
        <v>1.345</v>
      </c>
      <c r="AI66">
        <v>6.05</v>
      </c>
      <c r="AJ66">
        <v>2.35</v>
      </c>
      <c r="AK66">
        <v>2.13</v>
      </c>
      <c r="AL66">
        <v>0.13300000000000001</v>
      </c>
      <c r="AM66">
        <v>4.25</v>
      </c>
      <c r="AN66">
        <v>0.435</v>
      </c>
      <c r="AO66">
        <v>1.6950000000000001</v>
      </c>
      <c r="AP66">
        <v>3.28</v>
      </c>
      <c r="AQ66">
        <v>1.06</v>
      </c>
      <c r="AR66">
        <v>3.09</v>
      </c>
      <c r="AS66">
        <v>1.5</v>
      </c>
      <c r="AT66">
        <v>0.48899999999999999</v>
      </c>
      <c r="AU66">
        <v>891.31</v>
      </c>
    </row>
    <row r="67" spans="1:47">
      <c r="A67" s="39">
        <v>43650</v>
      </c>
      <c r="B67">
        <v>33.22</v>
      </c>
      <c r="C67">
        <v>12.84</v>
      </c>
      <c r="D67">
        <v>9.891</v>
      </c>
      <c r="E67">
        <v>18.02</v>
      </c>
      <c r="F67">
        <v>9.01</v>
      </c>
      <c r="G67">
        <v>0.89200000000000002</v>
      </c>
      <c r="H67">
        <v>23.98</v>
      </c>
      <c r="I67">
        <v>1.8069999999999999</v>
      </c>
      <c r="J67">
        <v>2.4750000000000001</v>
      </c>
      <c r="K67">
        <v>9.0839999999999996</v>
      </c>
      <c r="L67">
        <v>10.7</v>
      </c>
      <c r="M67" s="40">
        <v>18.239999999999998</v>
      </c>
      <c r="N67">
        <v>7.0540000000000003</v>
      </c>
      <c r="O67">
        <v>7.6</v>
      </c>
      <c r="P67">
        <v>5.74</v>
      </c>
      <c r="Q67">
        <v>3.19</v>
      </c>
      <c r="R67">
        <v>2.488</v>
      </c>
      <c r="S67">
        <v>8.99</v>
      </c>
      <c r="T67">
        <v>4.3099999999999996</v>
      </c>
      <c r="U67">
        <v>2.15</v>
      </c>
      <c r="V67">
        <v>23</v>
      </c>
      <c r="W67">
        <v>8.36</v>
      </c>
      <c r="X67">
        <v>6.5010000000000003</v>
      </c>
      <c r="Y67">
        <v>5.15</v>
      </c>
      <c r="Z67">
        <v>30</v>
      </c>
      <c r="AA67">
        <v>6</v>
      </c>
      <c r="AB67">
        <v>5.64</v>
      </c>
      <c r="AC67">
        <v>1.45</v>
      </c>
      <c r="AD67">
        <v>1.556</v>
      </c>
      <c r="AE67">
        <v>5.64</v>
      </c>
      <c r="AF67">
        <v>2.0449999999999999</v>
      </c>
      <c r="AG67">
        <v>0.46400000000000002</v>
      </c>
      <c r="AH67">
        <v>1.3580000000000001</v>
      </c>
      <c r="AI67">
        <v>6.1</v>
      </c>
      <c r="AJ67">
        <v>2.23</v>
      </c>
      <c r="AK67">
        <v>2.23</v>
      </c>
      <c r="AL67">
        <v>0.14499999999999999</v>
      </c>
      <c r="AM67">
        <v>4.29</v>
      </c>
      <c r="AN67">
        <v>0.47199999999999998</v>
      </c>
      <c r="AO67">
        <v>1.6850000000000001</v>
      </c>
      <c r="AP67">
        <v>3.3690000000000002</v>
      </c>
      <c r="AQ67">
        <v>1.06</v>
      </c>
      <c r="AR67">
        <v>2.93</v>
      </c>
      <c r="AS67">
        <v>1.4650000000000001</v>
      </c>
      <c r="AT67">
        <v>0.52300000000000002</v>
      </c>
      <c r="AU67">
        <v>892.94</v>
      </c>
    </row>
    <row r="68" spans="1:47">
      <c r="A68" s="39">
        <v>43651</v>
      </c>
      <c r="B68">
        <v>32.46</v>
      </c>
      <c r="C68">
        <v>12.66</v>
      </c>
      <c r="D68">
        <v>10.041</v>
      </c>
      <c r="E68">
        <v>18.8</v>
      </c>
      <c r="F68">
        <v>9.1</v>
      </c>
      <c r="G68">
        <v>0.89</v>
      </c>
      <c r="H68">
        <v>23.98</v>
      </c>
      <c r="I68">
        <v>1.845</v>
      </c>
      <c r="J68">
        <v>2.48</v>
      </c>
      <c r="K68">
        <v>9.3000000000000007</v>
      </c>
      <c r="L68">
        <v>10.7</v>
      </c>
      <c r="M68" s="40">
        <v>18.34</v>
      </c>
      <c r="N68">
        <v>7.1920000000000002</v>
      </c>
      <c r="O68">
        <v>7.52</v>
      </c>
      <c r="P68">
        <v>5.69</v>
      </c>
      <c r="Q68">
        <v>3.24</v>
      </c>
      <c r="R68">
        <v>2.4700000000000002</v>
      </c>
      <c r="S68">
        <v>8.82</v>
      </c>
      <c r="T68">
        <v>4.32</v>
      </c>
      <c r="U68">
        <v>2.15</v>
      </c>
      <c r="V68">
        <v>23</v>
      </c>
      <c r="W68">
        <v>8.39</v>
      </c>
      <c r="X68">
        <v>6.4359999999999999</v>
      </c>
      <c r="Y68">
        <v>5.17</v>
      </c>
      <c r="Z68">
        <v>29.5</v>
      </c>
      <c r="AA68">
        <v>6.06</v>
      </c>
      <c r="AB68">
        <v>5.72</v>
      </c>
      <c r="AC68">
        <v>1.42</v>
      </c>
      <c r="AD68">
        <v>1.542</v>
      </c>
      <c r="AE68">
        <v>5.76</v>
      </c>
      <c r="AF68">
        <v>2.09</v>
      </c>
      <c r="AG68">
        <v>0.47599999999999998</v>
      </c>
      <c r="AH68">
        <v>1.363</v>
      </c>
      <c r="AI68">
        <v>6.1</v>
      </c>
      <c r="AJ68">
        <v>2.23</v>
      </c>
      <c r="AK68">
        <v>2.29</v>
      </c>
      <c r="AL68">
        <v>0.14299999999999999</v>
      </c>
      <c r="AM68">
        <v>4.2699999999999996</v>
      </c>
      <c r="AN68">
        <v>0.47199999999999998</v>
      </c>
      <c r="AO68">
        <v>1.73</v>
      </c>
      <c r="AP68">
        <v>3.4279999999999999</v>
      </c>
      <c r="AQ68">
        <v>0.99099999999999999</v>
      </c>
      <c r="AR68">
        <v>2.83</v>
      </c>
      <c r="AS68">
        <v>1.42</v>
      </c>
      <c r="AT68">
        <v>0.505</v>
      </c>
      <c r="AU68">
        <v>894.66</v>
      </c>
    </row>
    <row r="69" spans="1:47">
      <c r="A69" s="39">
        <v>43654</v>
      </c>
      <c r="B69">
        <v>32.1</v>
      </c>
      <c r="C69">
        <v>12.67</v>
      </c>
      <c r="D69">
        <v>10.041</v>
      </c>
      <c r="E69">
        <v>18.25</v>
      </c>
      <c r="F69">
        <v>9.0500000000000007</v>
      </c>
      <c r="G69">
        <v>0.84499999999999997</v>
      </c>
      <c r="H69">
        <v>23.74</v>
      </c>
      <c r="I69">
        <v>1.72</v>
      </c>
      <c r="J69">
        <v>2.3359999999999999</v>
      </c>
      <c r="K69">
        <v>9.1780000000000008</v>
      </c>
      <c r="L69">
        <v>10.75</v>
      </c>
      <c r="M69" s="40">
        <v>17.98</v>
      </c>
      <c r="N69">
        <v>7.2309999999999999</v>
      </c>
      <c r="O69">
        <v>7.51</v>
      </c>
      <c r="P69">
        <v>5.8</v>
      </c>
      <c r="Q69">
        <v>3.01</v>
      </c>
      <c r="R69">
        <v>2.39</v>
      </c>
      <c r="S69">
        <v>8.9499999999999993</v>
      </c>
      <c r="T69">
        <v>4.24</v>
      </c>
      <c r="U69">
        <v>2.12</v>
      </c>
      <c r="V69">
        <v>22.95</v>
      </c>
      <c r="W69">
        <v>8.27</v>
      </c>
      <c r="X69">
        <v>6.37</v>
      </c>
      <c r="Y69">
        <v>5.07</v>
      </c>
      <c r="Z69">
        <v>29.5</v>
      </c>
      <c r="AA69">
        <v>6.04</v>
      </c>
      <c r="AB69">
        <v>5.8</v>
      </c>
      <c r="AC69">
        <v>1.41</v>
      </c>
      <c r="AD69">
        <v>1.5</v>
      </c>
      <c r="AE69">
        <v>5.64</v>
      </c>
      <c r="AF69">
        <v>2.0550000000000002</v>
      </c>
      <c r="AG69">
        <v>0.44600000000000001</v>
      </c>
      <c r="AH69">
        <v>1.343</v>
      </c>
      <c r="AI69">
        <v>6.1</v>
      </c>
      <c r="AJ69">
        <v>2.16</v>
      </c>
      <c r="AK69">
        <v>2.23</v>
      </c>
      <c r="AL69">
        <v>0.13600000000000001</v>
      </c>
      <c r="AM69">
        <v>4.29</v>
      </c>
      <c r="AN69">
        <v>0.48099999999999998</v>
      </c>
      <c r="AO69">
        <v>1.7250000000000001</v>
      </c>
      <c r="AP69">
        <v>3.4279999999999999</v>
      </c>
      <c r="AQ69">
        <v>0.95199999999999996</v>
      </c>
      <c r="AR69">
        <v>3.04</v>
      </c>
      <c r="AS69">
        <v>1.46</v>
      </c>
      <c r="AT69">
        <v>0.48199999999999998</v>
      </c>
      <c r="AU69">
        <v>878.17</v>
      </c>
    </row>
    <row r="70" spans="1:47">
      <c r="A70" s="39">
        <v>43655</v>
      </c>
      <c r="B70">
        <v>31.4</v>
      </c>
      <c r="C70">
        <v>12.34</v>
      </c>
      <c r="D70">
        <v>9.6370000000000005</v>
      </c>
      <c r="E70">
        <v>17.22</v>
      </c>
      <c r="F70">
        <v>8.86</v>
      </c>
      <c r="G70">
        <v>0.80200000000000005</v>
      </c>
      <c r="H70">
        <v>22.66</v>
      </c>
      <c r="I70">
        <v>1.6</v>
      </c>
      <c r="J70">
        <v>2.2290000000000001</v>
      </c>
      <c r="K70">
        <v>8.5380000000000003</v>
      </c>
      <c r="L70">
        <v>10.35</v>
      </c>
      <c r="M70" s="40">
        <v>17.440000000000001</v>
      </c>
      <c r="N70">
        <v>6.9169999999999998</v>
      </c>
      <c r="O70">
        <v>7.24</v>
      </c>
      <c r="P70">
        <v>5.57</v>
      </c>
      <c r="Q70">
        <v>2.7</v>
      </c>
      <c r="R70">
        <v>2.2240000000000002</v>
      </c>
      <c r="S70">
        <v>8.5</v>
      </c>
      <c r="T70">
        <v>4.0949999999999998</v>
      </c>
      <c r="U70">
        <v>2.0499999999999998</v>
      </c>
      <c r="V70">
        <v>22.25</v>
      </c>
      <c r="W70">
        <v>8.1</v>
      </c>
      <c r="X70">
        <v>6.19</v>
      </c>
      <c r="Y70">
        <v>4.835</v>
      </c>
      <c r="Z70">
        <v>29.4</v>
      </c>
      <c r="AA70">
        <v>5.94</v>
      </c>
      <c r="AB70">
        <v>5.5</v>
      </c>
      <c r="AC70">
        <v>1.3919999999999999</v>
      </c>
      <c r="AD70">
        <v>1.4359999999999999</v>
      </c>
      <c r="AE70">
        <v>5.24</v>
      </c>
      <c r="AF70">
        <v>1.93</v>
      </c>
      <c r="AG70">
        <v>0.36299999999999999</v>
      </c>
      <c r="AH70">
        <v>1.28</v>
      </c>
      <c r="AI70">
        <v>6.05</v>
      </c>
      <c r="AJ70">
        <v>2.13</v>
      </c>
      <c r="AK70">
        <v>2.16</v>
      </c>
      <c r="AL70">
        <v>0.123</v>
      </c>
      <c r="AM70">
        <v>4.2</v>
      </c>
      <c r="AN70">
        <v>0.42799999999999999</v>
      </c>
      <c r="AO70">
        <v>1.66</v>
      </c>
      <c r="AP70">
        <v>3.29</v>
      </c>
      <c r="AQ70">
        <v>0.90500000000000003</v>
      </c>
      <c r="AR70">
        <v>2.915</v>
      </c>
      <c r="AS70">
        <v>1.4650000000000001</v>
      </c>
      <c r="AT70">
        <v>0.45</v>
      </c>
      <c r="AU70">
        <v>840.58</v>
      </c>
    </row>
    <row r="71" spans="1:47">
      <c r="A71" s="39">
        <v>43656</v>
      </c>
      <c r="B71">
        <v>31</v>
      </c>
      <c r="C71">
        <v>12.46</v>
      </c>
      <c r="D71">
        <v>9.7219999999999995</v>
      </c>
      <c r="E71">
        <v>17.440000000000001</v>
      </c>
      <c r="F71">
        <v>9.14</v>
      </c>
      <c r="G71">
        <v>0.83</v>
      </c>
      <c r="H71">
        <v>23.58</v>
      </c>
      <c r="I71">
        <v>1.6679999999999999</v>
      </c>
      <c r="J71">
        <v>2.33</v>
      </c>
      <c r="K71">
        <v>8.8019999999999996</v>
      </c>
      <c r="L71">
        <v>10.62</v>
      </c>
      <c r="M71" s="40">
        <v>17.88</v>
      </c>
      <c r="N71">
        <v>7.2210000000000001</v>
      </c>
      <c r="O71">
        <v>7.4</v>
      </c>
      <c r="P71">
        <v>5.82</v>
      </c>
      <c r="Q71">
        <v>2.9060000000000001</v>
      </c>
      <c r="R71">
        <v>2.3620000000000001</v>
      </c>
      <c r="S71">
        <v>8.52</v>
      </c>
      <c r="T71">
        <v>4.2050000000000001</v>
      </c>
      <c r="U71">
        <v>2.1</v>
      </c>
      <c r="V71">
        <v>22.45</v>
      </c>
      <c r="W71">
        <v>8.1300000000000008</v>
      </c>
      <c r="X71">
        <v>6.4029999999999996</v>
      </c>
      <c r="Y71">
        <v>4.97</v>
      </c>
      <c r="Z71">
        <v>29.4</v>
      </c>
      <c r="AA71">
        <v>6</v>
      </c>
      <c r="AB71">
        <v>5.54</v>
      </c>
      <c r="AC71">
        <v>1.3859999999999999</v>
      </c>
      <c r="AD71">
        <v>1.454</v>
      </c>
      <c r="AE71">
        <v>5.18</v>
      </c>
      <c r="AF71">
        <v>2</v>
      </c>
      <c r="AG71">
        <v>0.43</v>
      </c>
      <c r="AH71">
        <v>1.2749999999999999</v>
      </c>
      <c r="AI71">
        <v>6.15</v>
      </c>
      <c r="AJ71">
        <v>2.14</v>
      </c>
      <c r="AK71">
        <v>2.2200000000000002</v>
      </c>
      <c r="AL71">
        <v>0.13200000000000001</v>
      </c>
      <c r="AM71">
        <v>4.26</v>
      </c>
      <c r="AN71">
        <v>0.443</v>
      </c>
      <c r="AO71">
        <v>1.64</v>
      </c>
      <c r="AP71">
        <v>3.3</v>
      </c>
      <c r="AQ71">
        <v>0.96799999999999997</v>
      </c>
      <c r="AR71">
        <v>3.06</v>
      </c>
      <c r="AS71">
        <v>1.51</v>
      </c>
      <c r="AT71">
        <v>0.48899999999999999</v>
      </c>
      <c r="AU71">
        <v>861.57</v>
      </c>
    </row>
    <row r="72" spans="1:47">
      <c r="A72" s="39">
        <v>43657</v>
      </c>
      <c r="B72">
        <v>30.98</v>
      </c>
      <c r="C72">
        <v>12.51</v>
      </c>
      <c r="D72">
        <v>9.5519999999999996</v>
      </c>
      <c r="E72">
        <v>17.96</v>
      </c>
      <c r="F72">
        <v>9.24</v>
      </c>
      <c r="G72">
        <v>0.82299999999999995</v>
      </c>
      <c r="H72">
        <v>23.46</v>
      </c>
      <c r="I72">
        <v>1.625</v>
      </c>
      <c r="J72">
        <v>2.242</v>
      </c>
      <c r="K72">
        <v>8.83</v>
      </c>
      <c r="L72">
        <v>10.79</v>
      </c>
      <c r="M72" s="40">
        <v>18.02</v>
      </c>
      <c r="N72">
        <v>7.2210000000000001</v>
      </c>
      <c r="O72">
        <v>7.52</v>
      </c>
      <c r="P72">
        <v>6.2</v>
      </c>
      <c r="Q72">
        <v>2.9020000000000001</v>
      </c>
      <c r="R72">
        <v>2.34</v>
      </c>
      <c r="S72">
        <v>8.4600000000000009</v>
      </c>
      <c r="T72">
        <v>4.165</v>
      </c>
      <c r="U72">
        <v>2.12</v>
      </c>
      <c r="V72">
        <v>22.95</v>
      </c>
      <c r="W72">
        <v>8.24</v>
      </c>
      <c r="X72">
        <v>6.3860000000000001</v>
      </c>
      <c r="Y72">
        <v>4.95</v>
      </c>
      <c r="Z72">
        <v>29.3</v>
      </c>
      <c r="AA72">
        <v>5.96</v>
      </c>
      <c r="AB72">
        <v>5.6</v>
      </c>
      <c r="AC72">
        <v>1.39</v>
      </c>
      <c r="AD72">
        <v>1.448</v>
      </c>
      <c r="AE72">
        <v>5.34</v>
      </c>
      <c r="AF72">
        <v>2.06</v>
      </c>
      <c r="AG72">
        <v>0.42899999999999999</v>
      </c>
      <c r="AH72">
        <v>1.2649999999999999</v>
      </c>
      <c r="AI72">
        <v>6.15</v>
      </c>
      <c r="AJ72">
        <v>2.13</v>
      </c>
      <c r="AK72">
        <v>2.23</v>
      </c>
      <c r="AL72">
        <v>0.127</v>
      </c>
      <c r="AM72">
        <v>4.2</v>
      </c>
      <c r="AN72">
        <v>0.44500000000000001</v>
      </c>
      <c r="AO72">
        <v>1.675</v>
      </c>
      <c r="AP72">
        <v>3.3</v>
      </c>
      <c r="AQ72">
        <v>0.98399999999999999</v>
      </c>
      <c r="AR72">
        <v>3.3450000000000002</v>
      </c>
      <c r="AS72">
        <v>1.65</v>
      </c>
      <c r="AT72">
        <v>0.48</v>
      </c>
      <c r="AU72">
        <v>863.33</v>
      </c>
    </row>
    <row r="73" spans="1:47">
      <c r="A73" s="39">
        <v>43658</v>
      </c>
      <c r="B73">
        <v>30.69</v>
      </c>
      <c r="C73">
        <v>12.5</v>
      </c>
      <c r="D73">
        <v>9.6869999999999994</v>
      </c>
      <c r="E73">
        <v>17.71</v>
      </c>
      <c r="F73">
        <v>9.1999999999999993</v>
      </c>
      <c r="G73">
        <v>0.81100000000000005</v>
      </c>
      <c r="H73">
        <v>23.5</v>
      </c>
      <c r="I73">
        <v>1.595</v>
      </c>
      <c r="J73">
        <v>2.17</v>
      </c>
      <c r="K73">
        <v>8.83</v>
      </c>
      <c r="L73">
        <v>10.68</v>
      </c>
      <c r="M73" s="40">
        <v>18.18</v>
      </c>
      <c r="N73">
        <v>7.1820000000000004</v>
      </c>
      <c r="O73">
        <v>7.6</v>
      </c>
      <c r="P73">
        <v>6.25</v>
      </c>
      <c r="Q73">
        <v>2.7559999999999998</v>
      </c>
      <c r="R73">
        <v>2.254</v>
      </c>
      <c r="S73">
        <v>8.89</v>
      </c>
      <c r="T73">
        <v>4.1449999999999996</v>
      </c>
      <c r="U73">
        <v>2.04</v>
      </c>
      <c r="V73">
        <v>22.95</v>
      </c>
      <c r="W73">
        <v>8.25</v>
      </c>
      <c r="X73">
        <v>6.452</v>
      </c>
      <c r="Y73">
        <v>4.95</v>
      </c>
      <c r="Z73">
        <v>29.9</v>
      </c>
      <c r="AA73">
        <v>5.9</v>
      </c>
      <c r="AB73">
        <v>5.62</v>
      </c>
      <c r="AC73">
        <v>1.38</v>
      </c>
      <c r="AD73">
        <v>1.44</v>
      </c>
      <c r="AE73">
        <v>5.42</v>
      </c>
      <c r="AF73">
        <v>2.09</v>
      </c>
      <c r="AG73">
        <v>0.40899999999999997</v>
      </c>
      <c r="AH73">
        <v>1.2529999999999999</v>
      </c>
      <c r="AI73">
        <v>6.15</v>
      </c>
      <c r="AJ73">
        <v>2.15</v>
      </c>
      <c r="AK73">
        <v>2.23</v>
      </c>
      <c r="AL73">
        <v>0.126</v>
      </c>
      <c r="AM73">
        <v>4.22</v>
      </c>
      <c r="AN73">
        <v>0.45400000000000001</v>
      </c>
      <c r="AO73">
        <v>1.69</v>
      </c>
      <c r="AP73">
        <v>3.44</v>
      </c>
      <c r="AQ73">
        <v>0.97599999999999998</v>
      </c>
      <c r="AR73">
        <v>3.37</v>
      </c>
      <c r="AS73">
        <v>1.665</v>
      </c>
      <c r="AT73">
        <v>0.47499999999999998</v>
      </c>
      <c r="AU73">
        <v>858.35</v>
      </c>
    </row>
    <row r="74" spans="1:47">
      <c r="A74" s="39">
        <v>43661</v>
      </c>
      <c r="B74">
        <v>30.22</v>
      </c>
      <c r="C74">
        <v>12.5</v>
      </c>
      <c r="D74">
        <v>9.7119999999999997</v>
      </c>
      <c r="E74">
        <v>17.920000000000002</v>
      </c>
      <c r="F74">
        <v>9.1199999999999992</v>
      </c>
      <c r="G74">
        <v>0.80800000000000005</v>
      </c>
      <c r="H74">
        <v>23.2</v>
      </c>
      <c r="I74">
        <v>1.6</v>
      </c>
      <c r="J74">
        <v>2.1680000000000001</v>
      </c>
      <c r="K74">
        <v>8.9429999999999996</v>
      </c>
      <c r="L74">
        <v>10.63</v>
      </c>
      <c r="M74" s="40">
        <v>17.38</v>
      </c>
      <c r="N74">
        <v>7.133</v>
      </c>
      <c r="O74">
        <v>7.58</v>
      </c>
      <c r="P74">
        <v>6.04</v>
      </c>
      <c r="Q74">
        <v>2.65</v>
      </c>
      <c r="R74">
        <v>2.2000000000000002</v>
      </c>
      <c r="S74">
        <v>9.01</v>
      </c>
      <c r="T74">
        <v>4.09</v>
      </c>
      <c r="U74">
        <v>2.0649999999999999</v>
      </c>
      <c r="V74">
        <v>22</v>
      </c>
      <c r="W74">
        <v>8.15</v>
      </c>
      <c r="X74">
        <v>6.5170000000000003</v>
      </c>
      <c r="Y74">
        <v>4.88</v>
      </c>
      <c r="Z74">
        <v>29.7</v>
      </c>
      <c r="AA74">
        <v>5.88</v>
      </c>
      <c r="AB74">
        <v>5.55</v>
      </c>
      <c r="AC74">
        <v>1.35</v>
      </c>
      <c r="AD74">
        <v>1.41</v>
      </c>
      <c r="AE74">
        <v>5.46</v>
      </c>
      <c r="AF74">
        <v>2.0699999999999998</v>
      </c>
      <c r="AG74">
        <v>0.4</v>
      </c>
      <c r="AH74">
        <v>1.2549999999999999</v>
      </c>
      <c r="AI74">
        <v>6.1</v>
      </c>
      <c r="AJ74">
        <v>2.2400000000000002</v>
      </c>
      <c r="AK74">
        <v>2.2400000000000002</v>
      </c>
      <c r="AL74">
        <v>0.125</v>
      </c>
      <c r="AM74">
        <v>4.22</v>
      </c>
      <c r="AN74">
        <v>0.47099999999999997</v>
      </c>
      <c r="AO74">
        <v>1.68</v>
      </c>
      <c r="AP74">
        <v>3.57</v>
      </c>
      <c r="AQ74">
        <v>1</v>
      </c>
      <c r="AR74">
        <v>3.45</v>
      </c>
      <c r="AS74">
        <v>1.7250000000000001</v>
      </c>
      <c r="AT74">
        <v>0.46899999999999997</v>
      </c>
      <c r="AU74">
        <v>851.28</v>
      </c>
    </row>
    <row r="75" spans="1:47">
      <c r="A75" s="39">
        <v>43662</v>
      </c>
      <c r="B75">
        <v>30</v>
      </c>
      <c r="C75">
        <v>12.5</v>
      </c>
      <c r="D75">
        <v>9.6820000000000004</v>
      </c>
      <c r="E75">
        <v>17.95</v>
      </c>
      <c r="F75">
        <v>9.08</v>
      </c>
      <c r="G75">
        <v>0.81200000000000006</v>
      </c>
      <c r="H75">
        <v>22.8</v>
      </c>
      <c r="I75">
        <v>1.6080000000000001</v>
      </c>
      <c r="J75">
        <v>2.2440000000000002</v>
      </c>
      <c r="K75">
        <v>8.8960000000000008</v>
      </c>
      <c r="L75">
        <v>10.86</v>
      </c>
      <c r="M75" s="40">
        <v>18.32</v>
      </c>
      <c r="N75">
        <v>7.1130000000000004</v>
      </c>
      <c r="O75">
        <v>7.63</v>
      </c>
      <c r="P75">
        <v>5.98</v>
      </c>
      <c r="Q75">
        <v>2.6739999999999999</v>
      </c>
      <c r="R75">
        <v>2.08</v>
      </c>
      <c r="S75">
        <v>8.86</v>
      </c>
      <c r="T75">
        <v>4.165</v>
      </c>
      <c r="U75">
        <v>2.0699999999999998</v>
      </c>
      <c r="V75">
        <v>22.4</v>
      </c>
      <c r="W75">
        <v>8.17</v>
      </c>
      <c r="X75">
        <v>6.6970000000000001</v>
      </c>
      <c r="Y75">
        <v>4.9000000000000004</v>
      </c>
      <c r="Z75">
        <v>29.8</v>
      </c>
      <c r="AA75">
        <v>5.96</v>
      </c>
      <c r="AB75">
        <v>5.68</v>
      </c>
      <c r="AC75">
        <v>1.3879999999999999</v>
      </c>
      <c r="AD75">
        <v>1.5</v>
      </c>
      <c r="AE75">
        <v>5.44</v>
      </c>
      <c r="AF75">
        <v>2.11</v>
      </c>
      <c r="AG75">
        <v>0.41899999999999998</v>
      </c>
      <c r="AH75">
        <v>1.2490000000000001</v>
      </c>
      <c r="AI75">
        <v>6.1</v>
      </c>
      <c r="AJ75">
        <v>2.38</v>
      </c>
      <c r="AK75">
        <v>2.2599999999999998</v>
      </c>
      <c r="AL75">
        <v>0.13</v>
      </c>
      <c r="AM75">
        <v>4.26</v>
      </c>
      <c r="AN75">
        <v>0.46700000000000003</v>
      </c>
      <c r="AO75">
        <v>1.71</v>
      </c>
      <c r="AP75">
        <v>3.51</v>
      </c>
      <c r="AQ75">
        <v>1.08</v>
      </c>
      <c r="AR75">
        <v>3.62</v>
      </c>
      <c r="AS75">
        <v>1.7150000000000001</v>
      </c>
      <c r="AT75">
        <v>0.48</v>
      </c>
      <c r="AU75">
        <v>855.91</v>
      </c>
    </row>
    <row r="76" spans="1:47">
      <c r="A76" s="39">
        <v>43663</v>
      </c>
      <c r="B76">
        <v>30.72</v>
      </c>
      <c r="C76">
        <v>12.46</v>
      </c>
      <c r="D76">
        <v>9.9109999999999996</v>
      </c>
      <c r="E76">
        <v>18</v>
      </c>
      <c r="F76">
        <v>9.07</v>
      </c>
      <c r="G76">
        <v>0.82499999999999996</v>
      </c>
      <c r="H76">
        <v>23.28</v>
      </c>
      <c r="I76">
        <v>1.61</v>
      </c>
      <c r="J76">
        <v>2.331</v>
      </c>
      <c r="K76">
        <v>9.0749999999999993</v>
      </c>
      <c r="L76">
        <v>11.18</v>
      </c>
      <c r="M76" s="40">
        <v>18.28</v>
      </c>
      <c r="N76">
        <v>7.1230000000000002</v>
      </c>
      <c r="O76">
        <v>7.6</v>
      </c>
      <c r="P76">
        <v>6.15</v>
      </c>
      <c r="Q76">
        <v>2.766</v>
      </c>
      <c r="R76">
        <v>2.1760000000000002</v>
      </c>
      <c r="S76">
        <v>8.9600000000000009</v>
      </c>
      <c r="T76">
        <v>4.29</v>
      </c>
      <c r="U76">
        <v>2.105</v>
      </c>
      <c r="V76">
        <v>22.75</v>
      </c>
      <c r="W76">
        <v>8.16</v>
      </c>
      <c r="X76">
        <v>6.7949999999999999</v>
      </c>
      <c r="Y76">
        <v>4.9800000000000004</v>
      </c>
      <c r="Z76">
        <v>29.8</v>
      </c>
      <c r="AA76">
        <v>6</v>
      </c>
      <c r="AB76">
        <v>5.6</v>
      </c>
      <c r="AC76">
        <v>1.38</v>
      </c>
      <c r="AD76">
        <v>1.488</v>
      </c>
      <c r="AE76">
        <v>5.48</v>
      </c>
      <c r="AF76">
        <v>2.1</v>
      </c>
      <c r="AG76">
        <v>0.41899999999999998</v>
      </c>
      <c r="AH76">
        <v>1.2549999999999999</v>
      </c>
      <c r="AI76">
        <v>6.15</v>
      </c>
      <c r="AJ76">
        <v>2.38</v>
      </c>
      <c r="AK76">
        <v>2.37</v>
      </c>
      <c r="AL76">
        <v>0.13800000000000001</v>
      </c>
      <c r="AM76">
        <v>4.22</v>
      </c>
      <c r="AN76">
        <v>0.48299999999999998</v>
      </c>
      <c r="AO76">
        <v>1.7250000000000001</v>
      </c>
      <c r="AP76">
        <v>3.79</v>
      </c>
      <c r="AQ76">
        <v>1.0880000000000001</v>
      </c>
      <c r="AR76">
        <v>3.64</v>
      </c>
      <c r="AS76">
        <v>1.74</v>
      </c>
      <c r="AT76">
        <v>0.504</v>
      </c>
      <c r="AU76">
        <v>868.01</v>
      </c>
    </row>
    <row r="77" spans="1:47">
      <c r="A77" s="39">
        <v>43664</v>
      </c>
      <c r="B77">
        <v>30.64</v>
      </c>
      <c r="C77">
        <v>12.49</v>
      </c>
      <c r="D77">
        <v>9.8369999999999997</v>
      </c>
      <c r="E77">
        <v>17.95</v>
      </c>
      <c r="F77">
        <v>8.9499999999999993</v>
      </c>
      <c r="G77">
        <v>0.84199999999999997</v>
      </c>
      <c r="H77">
        <v>22.82</v>
      </c>
      <c r="I77">
        <v>1.619</v>
      </c>
      <c r="J77">
        <v>2.36</v>
      </c>
      <c r="K77">
        <v>8.99</v>
      </c>
      <c r="L77">
        <v>11.27</v>
      </c>
      <c r="M77" s="40">
        <v>19.38</v>
      </c>
      <c r="N77">
        <v>7.133</v>
      </c>
      <c r="O77">
        <v>7.59</v>
      </c>
      <c r="P77">
        <v>6.1</v>
      </c>
      <c r="Q77">
        <v>2.8</v>
      </c>
      <c r="R77">
        <v>2.25</v>
      </c>
      <c r="S77">
        <v>8.64</v>
      </c>
      <c r="T77">
        <v>4.2649999999999997</v>
      </c>
      <c r="U77">
        <v>2.13</v>
      </c>
      <c r="V77">
        <v>23</v>
      </c>
      <c r="W77">
        <v>8.16</v>
      </c>
      <c r="X77">
        <v>6.7949999999999999</v>
      </c>
      <c r="Y77">
        <v>4.97</v>
      </c>
      <c r="Z77">
        <v>29.7</v>
      </c>
      <c r="AA77">
        <v>6</v>
      </c>
      <c r="AB77">
        <v>5.53</v>
      </c>
      <c r="AC77">
        <v>1.38</v>
      </c>
      <c r="AD77">
        <v>1.48</v>
      </c>
      <c r="AE77">
        <v>5.52</v>
      </c>
      <c r="AF77">
        <v>2.09</v>
      </c>
      <c r="AG77">
        <v>0.432</v>
      </c>
      <c r="AH77">
        <v>1.2549999999999999</v>
      </c>
      <c r="AI77">
        <v>6.2</v>
      </c>
      <c r="AJ77">
        <v>2.37</v>
      </c>
      <c r="AK77">
        <v>2.33</v>
      </c>
      <c r="AL77">
        <v>0.13500000000000001</v>
      </c>
      <c r="AM77">
        <v>4.13</v>
      </c>
      <c r="AN77">
        <v>0.50700000000000001</v>
      </c>
      <c r="AO77">
        <v>1.8</v>
      </c>
      <c r="AP77">
        <v>3.75</v>
      </c>
      <c r="AQ77">
        <v>1.06</v>
      </c>
      <c r="AR77">
        <v>3.73</v>
      </c>
      <c r="AS77">
        <v>1.72</v>
      </c>
      <c r="AT77">
        <v>0.495</v>
      </c>
      <c r="AU77">
        <v>870.58</v>
      </c>
    </row>
    <row r="78" spans="1:47">
      <c r="A78" s="39">
        <v>43665</v>
      </c>
      <c r="B78">
        <v>30.44</v>
      </c>
      <c r="C78">
        <v>12.4</v>
      </c>
      <c r="D78">
        <v>9.9209999999999994</v>
      </c>
      <c r="E78">
        <v>17.8</v>
      </c>
      <c r="F78">
        <v>8.93</v>
      </c>
      <c r="G78">
        <v>0.85</v>
      </c>
      <c r="H78">
        <v>22.3</v>
      </c>
      <c r="I78">
        <v>1.64</v>
      </c>
      <c r="J78">
        <v>2.36</v>
      </c>
      <c r="K78">
        <v>8.8770000000000007</v>
      </c>
      <c r="L78">
        <v>11.26</v>
      </c>
      <c r="M78" s="40">
        <v>19.64</v>
      </c>
      <c r="N78">
        <v>7.0739999999999998</v>
      </c>
      <c r="O78">
        <v>7.6</v>
      </c>
      <c r="P78">
        <v>6</v>
      </c>
      <c r="Q78">
        <v>2.8</v>
      </c>
      <c r="R78">
        <v>2.2200000000000002</v>
      </c>
      <c r="S78">
        <v>8.4</v>
      </c>
      <c r="T78">
        <v>4.165</v>
      </c>
      <c r="U78">
        <v>2.09</v>
      </c>
      <c r="V78">
        <v>23.7</v>
      </c>
      <c r="W78">
        <v>8.11</v>
      </c>
      <c r="X78">
        <v>6.7949999999999999</v>
      </c>
      <c r="Y78">
        <v>4.9749999999999996</v>
      </c>
      <c r="Z78">
        <v>29.9</v>
      </c>
      <c r="AA78">
        <v>5.96</v>
      </c>
      <c r="AB78">
        <v>5.5</v>
      </c>
      <c r="AC78">
        <v>1.3819999999999999</v>
      </c>
      <c r="AD78">
        <v>1.49</v>
      </c>
      <c r="AE78">
        <v>5.58</v>
      </c>
      <c r="AF78">
        <v>2.0350000000000001</v>
      </c>
      <c r="AG78">
        <v>0.436</v>
      </c>
      <c r="AH78">
        <v>1.2490000000000001</v>
      </c>
      <c r="AI78">
        <v>6.1</v>
      </c>
      <c r="AJ78">
        <v>2.35</v>
      </c>
      <c r="AK78">
        <v>2.3199999999999998</v>
      </c>
      <c r="AL78">
        <v>0.13900000000000001</v>
      </c>
      <c r="AM78">
        <v>4.22</v>
      </c>
      <c r="AN78">
        <v>0.52</v>
      </c>
      <c r="AO78">
        <v>1.82</v>
      </c>
      <c r="AP78">
        <v>3.75</v>
      </c>
      <c r="AQ78">
        <v>1.07</v>
      </c>
      <c r="AR78">
        <v>3.8</v>
      </c>
      <c r="AS78">
        <v>1.73</v>
      </c>
      <c r="AT78">
        <v>0.495</v>
      </c>
      <c r="AU78">
        <v>867.81</v>
      </c>
    </row>
    <row r="79" spans="1:47">
      <c r="A79" s="39">
        <v>43668</v>
      </c>
      <c r="B79">
        <v>30.5</v>
      </c>
      <c r="C79">
        <v>12.38</v>
      </c>
      <c r="D79">
        <v>9.9410000000000007</v>
      </c>
      <c r="E79">
        <v>17.73</v>
      </c>
      <c r="F79">
        <v>9.16</v>
      </c>
      <c r="G79">
        <v>0.84</v>
      </c>
      <c r="H79">
        <v>22.22</v>
      </c>
      <c r="I79">
        <v>1.593</v>
      </c>
      <c r="J79">
        <v>2.3340000000000001</v>
      </c>
      <c r="K79">
        <v>8.8490000000000002</v>
      </c>
      <c r="L79">
        <v>11.11</v>
      </c>
      <c r="M79" s="40">
        <v>19.64</v>
      </c>
      <c r="N79">
        <v>7.0540000000000003</v>
      </c>
      <c r="O79">
        <v>7.73</v>
      </c>
      <c r="P79">
        <v>6.11</v>
      </c>
      <c r="Q79">
        <v>2.65</v>
      </c>
      <c r="R79">
        <v>2.37</v>
      </c>
      <c r="S79">
        <v>8.4</v>
      </c>
      <c r="T79">
        <v>4.1399999999999997</v>
      </c>
      <c r="U79">
        <v>2.12</v>
      </c>
      <c r="V79">
        <v>23.8</v>
      </c>
      <c r="W79">
        <v>8.1</v>
      </c>
      <c r="X79">
        <v>6.8929999999999998</v>
      </c>
      <c r="Y79">
        <v>4.95</v>
      </c>
      <c r="Z79">
        <v>29.8</v>
      </c>
      <c r="AA79">
        <v>5.88</v>
      </c>
      <c r="AB79">
        <v>5.4</v>
      </c>
      <c r="AC79">
        <v>1.4</v>
      </c>
      <c r="AD79">
        <v>1.53</v>
      </c>
      <c r="AE79">
        <v>5.56</v>
      </c>
      <c r="AF79">
        <v>1.98</v>
      </c>
      <c r="AG79">
        <v>0.4</v>
      </c>
      <c r="AH79">
        <v>1.244</v>
      </c>
      <c r="AI79">
        <v>6.2</v>
      </c>
      <c r="AJ79">
        <v>2.52</v>
      </c>
      <c r="AK79">
        <v>2.4</v>
      </c>
      <c r="AL79">
        <v>0.13600000000000001</v>
      </c>
      <c r="AM79">
        <v>4.22</v>
      </c>
      <c r="AN79">
        <v>0.53</v>
      </c>
      <c r="AO79">
        <v>1.84</v>
      </c>
      <c r="AP79">
        <v>3.8</v>
      </c>
      <c r="AQ79">
        <v>1.0720000000000001</v>
      </c>
      <c r="AR79">
        <v>3.66</v>
      </c>
      <c r="AS79">
        <v>1.7949999999999999</v>
      </c>
      <c r="AT79">
        <v>0.496</v>
      </c>
      <c r="AU79">
        <v>864.99</v>
      </c>
    </row>
    <row r="80" spans="1:47">
      <c r="A80" s="39">
        <v>43669</v>
      </c>
      <c r="B80">
        <v>31.09</v>
      </c>
      <c r="C80">
        <v>12.3</v>
      </c>
      <c r="D80">
        <v>9.9860000000000007</v>
      </c>
      <c r="E80">
        <v>17.66</v>
      </c>
      <c r="F80">
        <v>9.14</v>
      </c>
      <c r="G80">
        <v>0.83</v>
      </c>
      <c r="H80">
        <v>22.26</v>
      </c>
      <c r="I80">
        <v>1.59</v>
      </c>
      <c r="J80">
        <v>2.33</v>
      </c>
      <c r="K80">
        <v>8.641</v>
      </c>
      <c r="L80">
        <v>10.93</v>
      </c>
      <c r="M80" s="40">
        <v>19.329999999999998</v>
      </c>
      <c r="N80">
        <v>7.0449999999999999</v>
      </c>
      <c r="O80">
        <v>7.73</v>
      </c>
      <c r="P80">
        <v>6.22</v>
      </c>
      <c r="Q80">
        <v>2.7</v>
      </c>
      <c r="R80">
        <v>2.74</v>
      </c>
      <c r="S80">
        <v>8.66</v>
      </c>
      <c r="T80">
        <v>4.1749999999999998</v>
      </c>
      <c r="U80">
        <v>2.1549999999999998</v>
      </c>
      <c r="V80">
        <v>23.75</v>
      </c>
      <c r="W80">
        <v>8.26</v>
      </c>
      <c r="X80">
        <v>6.86</v>
      </c>
      <c r="Y80">
        <v>4.9249999999999998</v>
      </c>
      <c r="Z80">
        <v>29.3</v>
      </c>
      <c r="AA80">
        <v>5.9</v>
      </c>
      <c r="AB80">
        <v>5.4</v>
      </c>
      <c r="AC80">
        <v>1.42</v>
      </c>
      <c r="AD80">
        <v>1.542</v>
      </c>
      <c r="AE80">
        <v>5.58</v>
      </c>
      <c r="AF80">
        <v>2.0550000000000002</v>
      </c>
      <c r="AG80">
        <v>0.40899999999999997</v>
      </c>
      <c r="AH80">
        <v>1.238</v>
      </c>
      <c r="AI80">
        <v>6.1</v>
      </c>
      <c r="AJ80">
        <v>2.5</v>
      </c>
      <c r="AK80">
        <v>2.38</v>
      </c>
      <c r="AL80">
        <v>0.14399999999999999</v>
      </c>
      <c r="AM80">
        <v>4.22</v>
      </c>
      <c r="AN80">
        <v>0.52100000000000002</v>
      </c>
      <c r="AO80">
        <v>1.85</v>
      </c>
      <c r="AP80">
        <v>3.78</v>
      </c>
      <c r="AQ80">
        <v>1.1299999999999999</v>
      </c>
      <c r="AR80">
        <v>3.67</v>
      </c>
      <c r="AS80">
        <v>1.93</v>
      </c>
      <c r="AT80">
        <v>0.52600000000000002</v>
      </c>
      <c r="AU80">
        <v>869.64</v>
      </c>
    </row>
    <row r="81" spans="1:47">
      <c r="A81" s="39">
        <v>43670</v>
      </c>
      <c r="B81">
        <v>30.85</v>
      </c>
      <c r="C81">
        <v>12.44</v>
      </c>
      <c r="D81">
        <v>9.9410000000000007</v>
      </c>
      <c r="E81">
        <v>17.37</v>
      </c>
      <c r="F81">
        <v>9.3000000000000007</v>
      </c>
      <c r="G81">
        <v>0.84499999999999997</v>
      </c>
      <c r="H81">
        <v>22.26</v>
      </c>
      <c r="I81">
        <v>1.603</v>
      </c>
      <c r="J81">
        <v>2.3199999999999998</v>
      </c>
      <c r="K81">
        <v>8.7260000000000009</v>
      </c>
      <c r="L81">
        <v>10.92</v>
      </c>
      <c r="M81" s="40">
        <v>19.3</v>
      </c>
      <c r="N81">
        <v>7.1029999999999998</v>
      </c>
      <c r="O81">
        <v>7.76</v>
      </c>
      <c r="P81">
        <v>6.54</v>
      </c>
      <c r="Q81">
        <v>2.74</v>
      </c>
      <c r="R81">
        <v>2.82</v>
      </c>
      <c r="S81">
        <v>8.5500000000000007</v>
      </c>
      <c r="T81">
        <v>4.2249999999999996</v>
      </c>
      <c r="U81">
        <v>2.1949999999999998</v>
      </c>
      <c r="V81">
        <v>23.15</v>
      </c>
      <c r="W81">
        <v>8.2799999999999994</v>
      </c>
      <c r="X81">
        <v>6.86</v>
      </c>
      <c r="Y81">
        <v>4.9800000000000004</v>
      </c>
      <c r="Z81">
        <v>29.7</v>
      </c>
      <c r="AA81">
        <v>5.98</v>
      </c>
      <c r="AB81">
        <v>5.4</v>
      </c>
      <c r="AC81">
        <v>1.4159999999999999</v>
      </c>
      <c r="AD81">
        <v>1.5980000000000001</v>
      </c>
      <c r="AE81">
        <v>5.54</v>
      </c>
      <c r="AF81">
        <v>2.125</v>
      </c>
      <c r="AG81">
        <v>0.41099999999999998</v>
      </c>
      <c r="AH81">
        <v>1.2310000000000001</v>
      </c>
      <c r="AI81">
        <v>6.15</v>
      </c>
      <c r="AJ81">
        <v>2.4900000000000002</v>
      </c>
      <c r="AK81">
        <v>2.4</v>
      </c>
      <c r="AL81">
        <v>0.14199999999999999</v>
      </c>
      <c r="AM81">
        <v>4.26</v>
      </c>
      <c r="AN81">
        <v>0.53200000000000003</v>
      </c>
      <c r="AO81">
        <v>1.86</v>
      </c>
      <c r="AP81">
        <v>3.78</v>
      </c>
      <c r="AQ81">
        <v>1.1599999999999999</v>
      </c>
      <c r="AR81">
        <v>3.57</v>
      </c>
      <c r="AS81">
        <v>1.91</v>
      </c>
      <c r="AT81">
        <v>0.54600000000000004</v>
      </c>
      <c r="AU81">
        <v>874.34</v>
      </c>
    </row>
    <row r="82" spans="1:47">
      <c r="A82" s="39">
        <v>43671</v>
      </c>
      <c r="B82">
        <v>31.38</v>
      </c>
      <c r="C82">
        <v>12.41</v>
      </c>
      <c r="D82">
        <v>10.071</v>
      </c>
      <c r="E82">
        <v>17.989999999999998</v>
      </c>
      <c r="F82">
        <v>9.39</v>
      </c>
      <c r="G82">
        <v>0.86699999999999999</v>
      </c>
      <c r="H82">
        <v>22.66</v>
      </c>
      <c r="I82">
        <v>1.629</v>
      </c>
      <c r="J82">
        <v>2.4</v>
      </c>
      <c r="K82">
        <v>9.0459999999999994</v>
      </c>
      <c r="L82">
        <v>10.95</v>
      </c>
      <c r="M82" s="40">
        <v>19.899999999999999</v>
      </c>
      <c r="N82">
        <v>7.1429999999999998</v>
      </c>
      <c r="O82">
        <v>7.89</v>
      </c>
      <c r="P82">
        <v>6.58</v>
      </c>
      <c r="Q82">
        <v>2.8</v>
      </c>
      <c r="R82">
        <v>2.76</v>
      </c>
      <c r="S82">
        <v>8.49</v>
      </c>
      <c r="T82">
        <v>4.25</v>
      </c>
      <c r="U82">
        <v>2.2050000000000001</v>
      </c>
      <c r="V82">
        <v>23.5</v>
      </c>
      <c r="W82">
        <v>8.25</v>
      </c>
      <c r="X82">
        <v>6.827</v>
      </c>
      <c r="Y82">
        <v>5</v>
      </c>
      <c r="Z82">
        <v>29.9</v>
      </c>
      <c r="AA82">
        <v>5.96</v>
      </c>
      <c r="AB82">
        <v>5.74</v>
      </c>
      <c r="AC82">
        <v>1.43</v>
      </c>
      <c r="AD82">
        <v>1.56</v>
      </c>
      <c r="AE82">
        <v>5.52</v>
      </c>
      <c r="AF82">
        <v>2.15</v>
      </c>
      <c r="AG82">
        <v>0.42199999999999999</v>
      </c>
      <c r="AH82">
        <v>1.2190000000000001</v>
      </c>
      <c r="AI82">
        <v>6.15</v>
      </c>
      <c r="AJ82">
        <v>2.48</v>
      </c>
      <c r="AK82">
        <v>2.4</v>
      </c>
      <c r="AL82">
        <v>0.14099999999999999</v>
      </c>
      <c r="AM82">
        <v>4.12</v>
      </c>
      <c r="AN82">
        <v>0.55200000000000005</v>
      </c>
      <c r="AO82">
        <v>1.89</v>
      </c>
      <c r="AP82">
        <v>3.79</v>
      </c>
      <c r="AQ82">
        <v>1.1519999999999999</v>
      </c>
      <c r="AR82">
        <v>3.49</v>
      </c>
      <c r="AS82">
        <v>1.87</v>
      </c>
      <c r="AT82">
        <v>0.52100000000000002</v>
      </c>
      <c r="AU82">
        <v>885.99</v>
      </c>
    </row>
    <row r="83" spans="1:47">
      <c r="A83" s="39">
        <v>43672</v>
      </c>
      <c r="B83">
        <v>31.54</v>
      </c>
      <c r="C83">
        <v>12.44</v>
      </c>
      <c r="D83">
        <v>10.301</v>
      </c>
      <c r="E83">
        <v>17.97</v>
      </c>
      <c r="F83">
        <v>9.51</v>
      </c>
      <c r="G83">
        <v>0.86499999999999999</v>
      </c>
      <c r="H83">
        <v>22.36</v>
      </c>
      <c r="I83">
        <v>1.65</v>
      </c>
      <c r="J83">
        <v>2.468</v>
      </c>
      <c r="K83">
        <v>9.14</v>
      </c>
      <c r="L83">
        <v>11.18</v>
      </c>
      <c r="M83" s="40">
        <v>19.86</v>
      </c>
      <c r="N83">
        <v>7.1230000000000002</v>
      </c>
      <c r="O83">
        <v>7.99</v>
      </c>
      <c r="P83">
        <v>6.62</v>
      </c>
      <c r="Q83">
        <v>2.8079999999999998</v>
      </c>
      <c r="R83">
        <v>2.762</v>
      </c>
      <c r="S83">
        <v>8.5</v>
      </c>
      <c r="T83">
        <v>4.2699999999999996</v>
      </c>
      <c r="U83">
        <v>2.21</v>
      </c>
      <c r="V83">
        <v>24.1</v>
      </c>
      <c r="W83">
        <v>8.16</v>
      </c>
      <c r="X83">
        <v>7.0229999999999997</v>
      </c>
      <c r="Y83">
        <v>4.9800000000000004</v>
      </c>
      <c r="Z83">
        <v>29.9</v>
      </c>
      <c r="AA83">
        <v>5.94</v>
      </c>
      <c r="AB83">
        <v>5.66</v>
      </c>
      <c r="AC83">
        <v>1.42</v>
      </c>
      <c r="AD83">
        <v>1.532</v>
      </c>
      <c r="AE83">
        <v>5.46</v>
      </c>
      <c r="AF83">
        <v>2.145</v>
      </c>
      <c r="AG83">
        <v>0.41699999999999998</v>
      </c>
      <c r="AH83">
        <v>1.23</v>
      </c>
      <c r="AI83">
        <v>6.2</v>
      </c>
      <c r="AJ83">
        <v>2.4500000000000002</v>
      </c>
      <c r="AK83">
        <v>2.38</v>
      </c>
      <c r="AL83">
        <v>0.14199999999999999</v>
      </c>
      <c r="AM83">
        <v>4.2</v>
      </c>
      <c r="AN83">
        <v>0.57299999999999995</v>
      </c>
      <c r="AO83">
        <v>1.9</v>
      </c>
      <c r="AP83">
        <v>3.76</v>
      </c>
      <c r="AQ83">
        <v>1.1719999999999999</v>
      </c>
      <c r="AR83">
        <v>3.47</v>
      </c>
      <c r="AS83">
        <v>1.83</v>
      </c>
      <c r="AT83">
        <v>0.52700000000000002</v>
      </c>
      <c r="AU83">
        <v>890.7</v>
      </c>
    </row>
    <row r="84" spans="1:47">
      <c r="A84" s="39">
        <v>43675</v>
      </c>
      <c r="B84">
        <v>31.62</v>
      </c>
      <c r="C84">
        <v>12.44</v>
      </c>
      <c r="D84">
        <v>10.161</v>
      </c>
      <c r="E84">
        <v>17.93</v>
      </c>
      <c r="F84">
        <v>9.5500000000000007</v>
      </c>
      <c r="G84">
        <v>0.879</v>
      </c>
      <c r="H84">
        <v>22.72</v>
      </c>
      <c r="I84">
        <v>1.71</v>
      </c>
      <c r="J84">
        <v>2.57</v>
      </c>
      <c r="K84">
        <v>8.9329999999999998</v>
      </c>
      <c r="L84">
        <v>11.23</v>
      </c>
      <c r="M84" s="40">
        <v>19.86</v>
      </c>
      <c r="N84">
        <v>7.1029999999999998</v>
      </c>
      <c r="O84">
        <v>8.07</v>
      </c>
      <c r="P84">
        <v>6.58</v>
      </c>
      <c r="Q84">
        <v>2.89</v>
      </c>
      <c r="R84">
        <v>2.72</v>
      </c>
      <c r="S84">
        <v>8.5</v>
      </c>
      <c r="T84">
        <v>4.25</v>
      </c>
      <c r="U84">
        <v>2.2000000000000002</v>
      </c>
      <c r="V84">
        <v>23.95</v>
      </c>
      <c r="W84">
        <v>8.16</v>
      </c>
      <c r="X84">
        <v>7.0229999999999997</v>
      </c>
      <c r="Y84">
        <v>4.96</v>
      </c>
      <c r="Z84">
        <v>29.8</v>
      </c>
      <c r="AA84">
        <v>5.92</v>
      </c>
      <c r="AB84">
        <v>5.66</v>
      </c>
      <c r="AC84">
        <v>1.42</v>
      </c>
      <c r="AD84">
        <v>1.546</v>
      </c>
      <c r="AE84">
        <v>5.32</v>
      </c>
      <c r="AF84">
        <v>2.085</v>
      </c>
      <c r="AG84">
        <v>0.46600000000000003</v>
      </c>
      <c r="AH84">
        <v>1.2250000000000001</v>
      </c>
      <c r="AI84">
        <v>6.2</v>
      </c>
      <c r="AJ84">
        <v>2.4500000000000002</v>
      </c>
      <c r="AK84">
        <v>2.35</v>
      </c>
      <c r="AL84">
        <v>0.14199999999999999</v>
      </c>
      <c r="AM84">
        <v>4.17</v>
      </c>
      <c r="AN84">
        <v>0.61</v>
      </c>
      <c r="AO84">
        <v>1.9</v>
      </c>
      <c r="AP84">
        <v>3.78</v>
      </c>
      <c r="AQ84">
        <v>1.18</v>
      </c>
      <c r="AR84">
        <v>3.3450000000000002</v>
      </c>
      <c r="AS84">
        <v>1.83</v>
      </c>
      <c r="AT84">
        <v>0.52100000000000002</v>
      </c>
      <c r="AU84">
        <v>895.04</v>
      </c>
    </row>
    <row r="85" spans="1:47">
      <c r="A85" s="39">
        <v>43676</v>
      </c>
      <c r="B85">
        <v>31.63</v>
      </c>
      <c r="C85">
        <v>12.3</v>
      </c>
      <c r="D85">
        <v>10.111000000000001</v>
      </c>
      <c r="E85">
        <v>17.88</v>
      </c>
      <c r="F85">
        <v>9.43</v>
      </c>
      <c r="G85">
        <v>0.875</v>
      </c>
      <c r="H85">
        <v>22.2</v>
      </c>
      <c r="I85">
        <v>1.7150000000000001</v>
      </c>
      <c r="J85">
        <v>2.577</v>
      </c>
      <c r="K85">
        <v>8.82</v>
      </c>
      <c r="L85">
        <v>11.03</v>
      </c>
      <c r="M85" s="40">
        <v>19.72</v>
      </c>
      <c r="N85">
        <v>7.1230000000000002</v>
      </c>
      <c r="O85">
        <v>8.0500000000000007</v>
      </c>
      <c r="P85">
        <v>6.48</v>
      </c>
      <c r="Q85">
        <v>2.9020000000000001</v>
      </c>
      <c r="R85">
        <v>2.65</v>
      </c>
      <c r="S85">
        <v>8.6</v>
      </c>
      <c r="T85">
        <v>4.21</v>
      </c>
      <c r="U85">
        <v>2.2450000000000001</v>
      </c>
      <c r="V85">
        <v>23.6</v>
      </c>
      <c r="W85">
        <v>8.1199999999999992</v>
      </c>
      <c r="X85">
        <v>7.141</v>
      </c>
      <c r="Y85">
        <v>4.92</v>
      </c>
      <c r="Z85">
        <v>30</v>
      </c>
      <c r="AA85">
        <v>5.9</v>
      </c>
      <c r="AB85">
        <v>5.72</v>
      </c>
      <c r="AC85">
        <v>1.4259999999999999</v>
      </c>
      <c r="AD85">
        <v>1.504</v>
      </c>
      <c r="AE85">
        <v>5.2</v>
      </c>
      <c r="AF85">
        <v>2.1</v>
      </c>
      <c r="AG85">
        <v>0.48</v>
      </c>
      <c r="AH85">
        <v>1.2250000000000001</v>
      </c>
      <c r="AI85">
        <v>6.3</v>
      </c>
      <c r="AJ85">
        <v>2.37</v>
      </c>
      <c r="AK85">
        <v>2.25</v>
      </c>
      <c r="AL85">
        <v>0.13900000000000001</v>
      </c>
      <c r="AM85">
        <v>4.17</v>
      </c>
      <c r="AN85">
        <v>0.58099999999999996</v>
      </c>
      <c r="AO85">
        <v>1.9</v>
      </c>
      <c r="AP85">
        <v>3.73</v>
      </c>
      <c r="AQ85">
        <v>1.1499999999999999</v>
      </c>
      <c r="AR85">
        <v>3.4</v>
      </c>
      <c r="AS85">
        <v>1.81</v>
      </c>
      <c r="AT85">
        <v>0.52300000000000002</v>
      </c>
      <c r="AU85">
        <v>889.81</v>
      </c>
    </row>
    <row r="86" spans="1:47">
      <c r="A86" s="39">
        <v>43677</v>
      </c>
      <c r="B86">
        <v>31.3</v>
      </c>
      <c r="C86">
        <v>12.44</v>
      </c>
      <c r="D86">
        <v>10.170999999999999</v>
      </c>
      <c r="E86">
        <v>17.649999999999999</v>
      </c>
      <c r="F86">
        <v>9.4600000000000009</v>
      </c>
      <c r="G86">
        <v>0.88100000000000001</v>
      </c>
      <c r="H86">
        <v>22.4</v>
      </c>
      <c r="I86">
        <v>1.7629999999999999</v>
      </c>
      <c r="J86">
        <v>2.65</v>
      </c>
      <c r="K86">
        <v>8.8490000000000002</v>
      </c>
      <c r="L86">
        <v>11.02</v>
      </c>
      <c r="M86" s="40">
        <v>19.62</v>
      </c>
      <c r="N86">
        <v>7.1029999999999998</v>
      </c>
      <c r="O86">
        <v>8.27</v>
      </c>
      <c r="P86">
        <v>6.42</v>
      </c>
      <c r="Q86">
        <v>3.1</v>
      </c>
      <c r="R86">
        <v>2.82</v>
      </c>
      <c r="S86">
        <v>8.67</v>
      </c>
      <c r="T86">
        <v>4.2</v>
      </c>
      <c r="U86">
        <v>2.2650000000000001</v>
      </c>
      <c r="V86">
        <v>24.8</v>
      </c>
      <c r="W86">
        <v>8.17</v>
      </c>
      <c r="X86">
        <v>7.141</v>
      </c>
      <c r="Y86">
        <v>4.9550000000000001</v>
      </c>
      <c r="Z86">
        <v>30</v>
      </c>
      <c r="AA86">
        <v>5.9</v>
      </c>
      <c r="AB86">
        <v>5.76</v>
      </c>
      <c r="AC86">
        <v>1.43</v>
      </c>
      <c r="AD86">
        <v>1.512</v>
      </c>
      <c r="AE86">
        <v>5.5</v>
      </c>
      <c r="AF86">
        <v>2.1749999999999998</v>
      </c>
      <c r="AG86">
        <v>0.49</v>
      </c>
      <c r="AH86">
        <v>1.2230000000000001</v>
      </c>
      <c r="AI86">
        <v>6.3</v>
      </c>
      <c r="AJ86">
        <v>2.3199999999999998</v>
      </c>
      <c r="AK86">
        <v>2.2599999999999998</v>
      </c>
      <c r="AL86">
        <v>0.157</v>
      </c>
      <c r="AM86">
        <v>4.0999999999999996</v>
      </c>
      <c r="AN86">
        <v>0.59799999999999998</v>
      </c>
      <c r="AO86">
        <v>1.91</v>
      </c>
      <c r="AP86">
        <v>3.72</v>
      </c>
      <c r="AQ86">
        <v>1.1819999999999999</v>
      </c>
      <c r="AR86">
        <v>3.4249999999999998</v>
      </c>
      <c r="AS86">
        <v>1.865</v>
      </c>
      <c r="AT86">
        <v>0.57699999999999996</v>
      </c>
      <c r="AU86">
        <v>899.93</v>
      </c>
    </row>
    <row r="87" spans="1:47">
      <c r="A87" s="39">
        <v>43678</v>
      </c>
      <c r="B87">
        <v>31.6</v>
      </c>
      <c r="C87">
        <v>12.31</v>
      </c>
      <c r="D87">
        <v>10.041</v>
      </c>
      <c r="E87">
        <v>17.559999999999999</v>
      </c>
      <c r="F87">
        <v>9.44</v>
      </c>
      <c r="G87">
        <v>0.85299999999999998</v>
      </c>
      <c r="H87">
        <v>22.24</v>
      </c>
      <c r="I87">
        <v>1.74</v>
      </c>
      <c r="J87">
        <v>2.6</v>
      </c>
      <c r="K87">
        <v>8.9429999999999996</v>
      </c>
      <c r="L87">
        <v>11.11</v>
      </c>
      <c r="M87" s="40">
        <v>19.46</v>
      </c>
      <c r="N87">
        <v>7.1029999999999998</v>
      </c>
      <c r="O87">
        <v>8.32</v>
      </c>
      <c r="P87">
        <v>6.45</v>
      </c>
      <c r="Q87">
        <v>3.0659999999999998</v>
      </c>
      <c r="R87">
        <v>2.81</v>
      </c>
      <c r="S87">
        <v>8.6999999999999993</v>
      </c>
      <c r="T87">
        <v>4.1950000000000003</v>
      </c>
      <c r="U87">
        <v>2.2599999999999998</v>
      </c>
      <c r="V87">
        <v>24.8</v>
      </c>
      <c r="W87">
        <v>8.19</v>
      </c>
      <c r="X87">
        <v>6.984</v>
      </c>
      <c r="Y87">
        <v>4.97</v>
      </c>
      <c r="Z87">
        <v>29.7</v>
      </c>
      <c r="AA87">
        <v>5.86</v>
      </c>
      <c r="AB87">
        <v>5.69</v>
      </c>
      <c r="AC87">
        <v>1.43</v>
      </c>
      <c r="AD87">
        <v>1.512</v>
      </c>
      <c r="AE87">
        <v>5.42</v>
      </c>
      <c r="AF87">
        <v>2.1800000000000002</v>
      </c>
      <c r="AG87">
        <v>0.47</v>
      </c>
      <c r="AH87">
        <v>1.25</v>
      </c>
      <c r="AI87">
        <v>6.25</v>
      </c>
      <c r="AJ87">
        <v>2.4300000000000002</v>
      </c>
      <c r="AK87">
        <v>2.25</v>
      </c>
      <c r="AL87">
        <v>0.152</v>
      </c>
      <c r="AM87">
        <v>4.29</v>
      </c>
      <c r="AN87">
        <v>0.58699999999999997</v>
      </c>
      <c r="AO87">
        <v>1.9</v>
      </c>
      <c r="AP87">
        <v>3.71</v>
      </c>
      <c r="AQ87">
        <v>1.1619999999999999</v>
      </c>
      <c r="AR87">
        <v>3.33</v>
      </c>
      <c r="AS87">
        <v>1.86</v>
      </c>
      <c r="AT87">
        <v>0.56000000000000005</v>
      </c>
      <c r="AU87">
        <v>895.04</v>
      </c>
    </row>
    <row r="88" spans="1:47">
      <c r="A88" s="39">
        <v>43679</v>
      </c>
      <c r="B88">
        <v>31.14</v>
      </c>
      <c r="C88">
        <v>12.25</v>
      </c>
      <c r="D88">
        <v>9.9909999999999997</v>
      </c>
      <c r="E88">
        <v>17.3</v>
      </c>
      <c r="F88">
        <v>9.43</v>
      </c>
      <c r="G88">
        <v>0.82599999999999996</v>
      </c>
      <c r="H88">
        <v>23</v>
      </c>
      <c r="I88">
        <v>1.675</v>
      </c>
      <c r="J88">
        <v>2.58</v>
      </c>
      <c r="K88">
        <v>8.83</v>
      </c>
      <c r="L88">
        <v>10.91</v>
      </c>
      <c r="M88" s="40">
        <v>19.420000000000002</v>
      </c>
      <c r="N88">
        <v>7.0540000000000003</v>
      </c>
      <c r="O88">
        <v>8.33</v>
      </c>
      <c r="P88">
        <v>6.4</v>
      </c>
      <c r="Q88">
        <v>2.95</v>
      </c>
      <c r="R88">
        <v>2.7</v>
      </c>
      <c r="S88">
        <v>8.6</v>
      </c>
      <c r="T88">
        <v>4.0650000000000004</v>
      </c>
      <c r="U88">
        <v>2.2000000000000002</v>
      </c>
      <c r="V88">
        <v>24.75</v>
      </c>
      <c r="W88">
        <v>8.18</v>
      </c>
      <c r="X88">
        <v>6.867</v>
      </c>
      <c r="Y88">
        <v>4.8899999999999997</v>
      </c>
      <c r="Z88">
        <v>29.7</v>
      </c>
      <c r="AA88">
        <v>5.84</v>
      </c>
      <c r="AB88">
        <v>5.51</v>
      </c>
      <c r="AC88">
        <v>1.43</v>
      </c>
      <c r="AD88">
        <v>1.47</v>
      </c>
      <c r="AE88">
        <v>5.38</v>
      </c>
      <c r="AF88">
        <v>2.2200000000000002</v>
      </c>
      <c r="AG88">
        <v>0.45500000000000002</v>
      </c>
      <c r="AH88">
        <v>1.24</v>
      </c>
      <c r="AI88">
        <v>6.25</v>
      </c>
      <c r="AJ88">
        <v>2.44</v>
      </c>
      <c r="AK88">
        <v>2.2999999999999998</v>
      </c>
      <c r="AL88">
        <v>0.14699999999999999</v>
      </c>
      <c r="AM88">
        <v>4.26</v>
      </c>
      <c r="AN88">
        <v>0.60199999999999998</v>
      </c>
      <c r="AO88">
        <v>1.895</v>
      </c>
      <c r="AP88">
        <v>3.71</v>
      </c>
      <c r="AQ88">
        <v>1.1299999999999999</v>
      </c>
      <c r="AR88">
        <v>3.3</v>
      </c>
      <c r="AS88">
        <v>1.85</v>
      </c>
      <c r="AT88">
        <v>0.54600000000000004</v>
      </c>
      <c r="AU88">
        <v>885.11</v>
      </c>
    </row>
    <row r="89" spans="1:47">
      <c r="A89" s="39">
        <v>43682</v>
      </c>
      <c r="B89">
        <v>30.11</v>
      </c>
      <c r="C89">
        <v>12.28</v>
      </c>
      <c r="D89">
        <v>9.9009999999999998</v>
      </c>
      <c r="E89">
        <v>16.62</v>
      </c>
      <c r="F89">
        <v>9.2200000000000006</v>
      </c>
      <c r="G89">
        <v>0.76500000000000001</v>
      </c>
      <c r="H89">
        <v>22.1</v>
      </c>
      <c r="I89">
        <v>1.54</v>
      </c>
      <c r="J89">
        <v>2.3679999999999999</v>
      </c>
      <c r="K89">
        <v>8.4529999999999994</v>
      </c>
      <c r="L89">
        <v>10.4</v>
      </c>
      <c r="M89" s="40">
        <v>18.98</v>
      </c>
      <c r="N89">
        <v>6.9470000000000001</v>
      </c>
      <c r="O89">
        <v>7.9</v>
      </c>
      <c r="P89">
        <v>6.3</v>
      </c>
      <c r="Q89">
        <v>2.6480000000000001</v>
      </c>
      <c r="R89">
        <v>2.6019999999999999</v>
      </c>
      <c r="S89">
        <v>8.17</v>
      </c>
      <c r="T89">
        <v>3.88</v>
      </c>
      <c r="U89">
        <v>2.085</v>
      </c>
      <c r="V89">
        <v>23.7</v>
      </c>
      <c r="W89">
        <v>8.07</v>
      </c>
      <c r="X89">
        <v>6.69</v>
      </c>
      <c r="Y89">
        <v>4.67</v>
      </c>
      <c r="Z89">
        <v>29.6</v>
      </c>
      <c r="AA89">
        <v>5.8</v>
      </c>
      <c r="AB89">
        <v>5.47</v>
      </c>
      <c r="AC89">
        <v>1.4179999999999999</v>
      </c>
      <c r="AD89">
        <v>1.4119999999999999</v>
      </c>
      <c r="AE89">
        <v>5.28</v>
      </c>
      <c r="AF89">
        <v>2.145</v>
      </c>
      <c r="AG89">
        <v>0.41099999999999998</v>
      </c>
      <c r="AH89">
        <v>1.26</v>
      </c>
      <c r="AI89">
        <v>6.2</v>
      </c>
      <c r="AJ89">
        <v>2.42</v>
      </c>
      <c r="AK89">
        <v>2.2000000000000002</v>
      </c>
      <c r="AL89">
        <v>0.14000000000000001</v>
      </c>
      <c r="AM89">
        <v>4.25</v>
      </c>
      <c r="AN89">
        <v>0.61</v>
      </c>
      <c r="AO89">
        <v>1.85</v>
      </c>
      <c r="AP89">
        <v>3.6</v>
      </c>
      <c r="AQ89">
        <v>1.056</v>
      </c>
      <c r="AR89">
        <v>2.85</v>
      </c>
      <c r="AS89">
        <v>1.74</v>
      </c>
      <c r="AT89">
        <v>0.51100000000000001</v>
      </c>
      <c r="AU89">
        <v>851.2</v>
      </c>
    </row>
    <row r="90" spans="1:47">
      <c r="A90" s="39">
        <v>43683</v>
      </c>
      <c r="B90">
        <v>30.29</v>
      </c>
      <c r="C90">
        <v>12.3</v>
      </c>
      <c r="D90">
        <v>9.7520000000000007</v>
      </c>
      <c r="E90">
        <v>16.61</v>
      </c>
      <c r="F90">
        <v>9.0500000000000007</v>
      </c>
      <c r="G90">
        <v>0.746</v>
      </c>
      <c r="H90">
        <v>21.82</v>
      </c>
      <c r="I90">
        <v>1.5</v>
      </c>
      <c r="J90">
        <v>2.2919999999999998</v>
      </c>
      <c r="K90">
        <v>8.2370000000000001</v>
      </c>
      <c r="L90">
        <v>10.16</v>
      </c>
      <c r="M90" s="40">
        <v>18.899999999999999</v>
      </c>
      <c r="N90">
        <v>6.9560000000000004</v>
      </c>
      <c r="O90">
        <v>7.95</v>
      </c>
      <c r="P90">
        <v>6.23</v>
      </c>
      <c r="Q90">
        <v>2.694</v>
      </c>
      <c r="R90">
        <v>2.63</v>
      </c>
      <c r="S90">
        <v>7.8</v>
      </c>
      <c r="T90">
        <v>3.82</v>
      </c>
      <c r="U90">
        <v>2.0449999999999999</v>
      </c>
      <c r="V90">
        <v>23.6</v>
      </c>
      <c r="W90">
        <v>8.1199999999999992</v>
      </c>
      <c r="X90">
        <v>6.7489999999999997</v>
      </c>
      <c r="Y90">
        <v>4.67</v>
      </c>
      <c r="Z90">
        <v>29.6</v>
      </c>
      <c r="AA90">
        <v>5.78</v>
      </c>
      <c r="AB90">
        <v>5.48</v>
      </c>
      <c r="AC90">
        <v>1.4139999999999999</v>
      </c>
      <c r="AD90">
        <v>1.4119999999999999</v>
      </c>
      <c r="AE90">
        <v>5.28</v>
      </c>
      <c r="AF90">
        <v>2.125</v>
      </c>
      <c r="AG90">
        <v>0.41699999999999998</v>
      </c>
      <c r="AH90">
        <v>1.23</v>
      </c>
      <c r="AI90">
        <v>6.2</v>
      </c>
      <c r="AJ90">
        <v>2.5</v>
      </c>
      <c r="AK90">
        <v>2.19</v>
      </c>
      <c r="AL90">
        <v>0.14299999999999999</v>
      </c>
      <c r="AM90">
        <v>4.16</v>
      </c>
      <c r="AN90">
        <v>0.59499999999999997</v>
      </c>
      <c r="AO90">
        <v>1.83</v>
      </c>
      <c r="AP90">
        <v>3.56</v>
      </c>
      <c r="AQ90">
        <v>1.046</v>
      </c>
      <c r="AR90">
        <v>3</v>
      </c>
      <c r="AS90">
        <v>1.7150000000000001</v>
      </c>
      <c r="AT90">
        <v>0.51500000000000001</v>
      </c>
      <c r="AU90">
        <v>844.47</v>
      </c>
    </row>
    <row r="91" spans="1:47">
      <c r="A91" s="39">
        <v>43684</v>
      </c>
      <c r="B91">
        <v>30.31</v>
      </c>
      <c r="C91">
        <v>12.23</v>
      </c>
      <c r="D91">
        <v>9.6969999999999992</v>
      </c>
      <c r="E91">
        <v>16.7</v>
      </c>
      <c r="F91">
        <v>9</v>
      </c>
      <c r="G91">
        <v>0.745</v>
      </c>
      <c r="H91">
        <v>21.8</v>
      </c>
      <c r="I91">
        <v>1.48</v>
      </c>
      <c r="J91">
        <v>2.2799999999999998</v>
      </c>
      <c r="K91">
        <v>8.0960000000000001</v>
      </c>
      <c r="L91">
        <v>10.23</v>
      </c>
      <c r="M91" s="40">
        <v>18.7</v>
      </c>
      <c r="N91">
        <v>6.8579999999999997</v>
      </c>
      <c r="O91">
        <v>7.87</v>
      </c>
      <c r="P91">
        <v>6.19</v>
      </c>
      <c r="Q91">
        <v>2.6339999999999999</v>
      </c>
      <c r="R91">
        <v>2.5299999999999998</v>
      </c>
      <c r="S91">
        <v>7.72</v>
      </c>
      <c r="T91">
        <v>3.72</v>
      </c>
      <c r="U91">
        <v>1.996</v>
      </c>
      <c r="V91">
        <v>23.2</v>
      </c>
      <c r="W91">
        <v>8.07</v>
      </c>
      <c r="X91">
        <v>6.69</v>
      </c>
      <c r="Y91">
        <v>4.62</v>
      </c>
      <c r="Z91">
        <v>29.6</v>
      </c>
      <c r="AA91">
        <v>5.74</v>
      </c>
      <c r="AB91">
        <v>5.4</v>
      </c>
      <c r="AC91">
        <v>1.4119999999999999</v>
      </c>
      <c r="AD91">
        <v>1.3720000000000001</v>
      </c>
      <c r="AE91">
        <v>5.12</v>
      </c>
      <c r="AF91">
        <v>2.09</v>
      </c>
      <c r="AG91">
        <v>0.38</v>
      </c>
      <c r="AH91">
        <v>1.22</v>
      </c>
      <c r="AI91">
        <v>6.15</v>
      </c>
      <c r="AJ91">
        <v>2.44</v>
      </c>
      <c r="AK91">
        <v>2.15</v>
      </c>
      <c r="AL91">
        <v>0.13600000000000001</v>
      </c>
      <c r="AM91">
        <v>4.17</v>
      </c>
      <c r="AN91">
        <v>0.58199999999999996</v>
      </c>
      <c r="AO91">
        <v>1.8</v>
      </c>
      <c r="AP91">
        <v>3.55</v>
      </c>
      <c r="AQ91">
        <v>0.98</v>
      </c>
      <c r="AR91">
        <v>2.9249999999999998</v>
      </c>
      <c r="AS91">
        <v>1.71</v>
      </c>
      <c r="AT91">
        <v>0.47599999999999998</v>
      </c>
      <c r="AU91">
        <v>837.56</v>
      </c>
    </row>
    <row r="92" spans="1:47">
      <c r="A92" s="39">
        <v>43685</v>
      </c>
      <c r="B92">
        <v>30.2</v>
      </c>
      <c r="C92">
        <v>12.35</v>
      </c>
      <c r="D92">
        <v>9.6920000000000002</v>
      </c>
      <c r="E92">
        <v>16.7</v>
      </c>
      <c r="F92">
        <v>9.18</v>
      </c>
      <c r="G92">
        <v>0.75900000000000001</v>
      </c>
      <c r="H92">
        <v>21.8</v>
      </c>
      <c r="I92">
        <v>1.4890000000000001</v>
      </c>
      <c r="J92">
        <v>2.2789999999999999</v>
      </c>
      <c r="K92">
        <v>8.2739999999999991</v>
      </c>
      <c r="L92">
        <v>10.38</v>
      </c>
      <c r="M92" s="40">
        <v>19.420000000000002</v>
      </c>
      <c r="N92">
        <v>6.907</v>
      </c>
      <c r="O92">
        <v>8</v>
      </c>
      <c r="P92">
        <v>6.24</v>
      </c>
      <c r="Q92">
        <v>2.7639999999999998</v>
      </c>
      <c r="R92">
        <v>2.528</v>
      </c>
      <c r="S92">
        <v>8.0399999999999991</v>
      </c>
      <c r="T92">
        <v>3.84</v>
      </c>
      <c r="U92">
        <v>2.0150000000000001</v>
      </c>
      <c r="V92">
        <v>23.55</v>
      </c>
      <c r="W92">
        <v>8.06</v>
      </c>
      <c r="X92">
        <v>6.5919999999999996</v>
      </c>
      <c r="Y92">
        <v>4.63</v>
      </c>
      <c r="Z92">
        <v>29.6</v>
      </c>
      <c r="AA92">
        <v>5.8</v>
      </c>
      <c r="AB92">
        <v>5.49</v>
      </c>
      <c r="AC92">
        <v>1.41</v>
      </c>
      <c r="AD92">
        <v>1.3979999999999999</v>
      </c>
      <c r="AE92">
        <v>5.16</v>
      </c>
      <c r="AF92">
        <v>2.14</v>
      </c>
      <c r="AG92">
        <v>0.4</v>
      </c>
      <c r="AH92">
        <v>1.198</v>
      </c>
      <c r="AI92">
        <v>6.15</v>
      </c>
      <c r="AJ92">
        <v>2.46</v>
      </c>
      <c r="AK92">
        <v>2.1800000000000002</v>
      </c>
      <c r="AL92">
        <v>0.13600000000000001</v>
      </c>
      <c r="AM92">
        <v>4.1500000000000004</v>
      </c>
      <c r="AN92">
        <v>0.58099999999999996</v>
      </c>
      <c r="AO92">
        <v>1.78</v>
      </c>
      <c r="AP92">
        <v>3.55</v>
      </c>
      <c r="AQ92">
        <v>1.01</v>
      </c>
      <c r="AR92">
        <v>3.1</v>
      </c>
      <c r="AS92">
        <v>1.6950000000000001</v>
      </c>
      <c r="AT92">
        <v>0.49</v>
      </c>
      <c r="AU92">
        <v>846.8</v>
      </c>
    </row>
    <row r="93" spans="1:47">
      <c r="A93" s="39">
        <v>43686</v>
      </c>
      <c r="B93">
        <v>29.9</v>
      </c>
      <c r="C93">
        <v>12.19</v>
      </c>
      <c r="D93">
        <v>9.8119999999999994</v>
      </c>
      <c r="E93">
        <v>16.559999999999999</v>
      </c>
      <c r="F93">
        <v>9.11</v>
      </c>
      <c r="G93">
        <v>0.745</v>
      </c>
      <c r="H93">
        <v>21.8</v>
      </c>
      <c r="I93">
        <v>1.46</v>
      </c>
      <c r="J93">
        <v>2.2749999999999999</v>
      </c>
      <c r="K93">
        <v>8.3780000000000001</v>
      </c>
      <c r="L93">
        <v>10.16</v>
      </c>
      <c r="M93" s="40">
        <v>19.54</v>
      </c>
      <c r="N93">
        <v>6.8490000000000002</v>
      </c>
      <c r="O93">
        <v>7.87</v>
      </c>
      <c r="P93">
        <v>6.22</v>
      </c>
      <c r="Q93">
        <v>2.73</v>
      </c>
      <c r="R93">
        <v>2.516</v>
      </c>
      <c r="S93">
        <v>7.95</v>
      </c>
      <c r="T93">
        <v>3.7850000000000001</v>
      </c>
      <c r="U93">
        <v>2.0249999999999999</v>
      </c>
      <c r="V93">
        <v>23.1</v>
      </c>
      <c r="W93">
        <v>8.02</v>
      </c>
      <c r="X93">
        <v>6.5529999999999999</v>
      </c>
      <c r="Y93">
        <v>4.58</v>
      </c>
      <c r="Z93">
        <v>29.9</v>
      </c>
      <c r="AA93">
        <v>5.8</v>
      </c>
      <c r="AB93">
        <v>5.4</v>
      </c>
      <c r="AC93">
        <v>1.41</v>
      </c>
      <c r="AD93">
        <v>1.3979999999999999</v>
      </c>
      <c r="AE93">
        <v>5.2</v>
      </c>
      <c r="AF93">
        <v>2.15</v>
      </c>
      <c r="AG93">
        <v>0.4</v>
      </c>
      <c r="AH93">
        <v>1.18</v>
      </c>
      <c r="AI93">
        <v>6.15</v>
      </c>
      <c r="AJ93">
        <v>2.4</v>
      </c>
      <c r="AK93">
        <v>2.1800000000000002</v>
      </c>
      <c r="AL93">
        <v>0.13200000000000001</v>
      </c>
      <c r="AM93">
        <v>4.18</v>
      </c>
      <c r="AN93">
        <v>0.56599999999999995</v>
      </c>
      <c r="AO93">
        <v>1.7749999999999999</v>
      </c>
      <c r="AP93">
        <v>3.64</v>
      </c>
      <c r="AQ93">
        <v>0.96799999999999997</v>
      </c>
      <c r="AR93">
        <v>3.01</v>
      </c>
      <c r="AS93">
        <v>1.73</v>
      </c>
      <c r="AT93">
        <v>0.47499999999999998</v>
      </c>
      <c r="AU93">
        <v>840.27</v>
      </c>
    </row>
    <row r="94" spans="1:47">
      <c r="A94" s="39">
        <v>43689</v>
      </c>
      <c r="B94">
        <v>30.19</v>
      </c>
      <c r="C94">
        <v>12.2</v>
      </c>
      <c r="D94">
        <v>9.7569999999999997</v>
      </c>
      <c r="E94">
        <v>16.440000000000001</v>
      </c>
      <c r="F94">
        <v>9.27</v>
      </c>
      <c r="G94">
        <v>0.72</v>
      </c>
      <c r="H94">
        <v>21.48</v>
      </c>
      <c r="I94">
        <v>1.385</v>
      </c>
      <c r="J94">
        <v>2.145</v>
      </c>
      <c r="K94">
        <v>8.4629999999999992</v>
      </c>
      <c r="L94">
        <v>10.199999999999999</v>
      </c>
      <c r="M94" s="40">
        <v>19.739999999999998</v>
      </c>
      <c r="N94">
        <v>6.77</v>
      </c>
      <c r="O94">
        <v>8</v>
      </c>
      <c r="P94">
        <v>6.16</v>
      </c>
      <c r="Q94">
        <v>2.5619999999999998</v>
      </c>
      <c r="R94">
        <v>2.5640000000000001</v>
      </c>
      <c r="S94">
        <v>8.19</v>
      </c>
      <c r="T94">
        <v>3.6850000000000001</v>
      </c>
      <c r="U94">
        <v>1.99</v>
      </c>
      <c r="V94">
        <v>23</v>
      </c>
      <c r="W94">
        <v>8.02</v>
      </c>
      <c r="X94">
        <v>6.4349999999999996</v>
      </c>
      <c r="Y94">
        <v>4.4749999999999996</v>
      </c>
      <c r="Z94">
        <v>29.6</v>
      </c>
      <c r="AA94">
        <v>5.74</v>
      </c>
      <c r="AB94">
        <v>5.34</v>
      </c>
      <c r="AC94">
        <v>1.4</v>
      </c>
      <c r="AD94">
        <v>1.3540000000000001</v>
      </c>
      <c r="AE94">
        <v>5.08</v>
      </c>
      <c r="AF94">
        <v>2.125</v>
      </c>
      <c r="AG94">
        <v>0.36799999999999999</v>
      </c>
      <c r="AH94">
        <v>1.06</v>
      </c>
      <c r="AI94">
        <v>6.1</v>
      </c>
      <c r="AJ94">
        <v>2.21</v>
      </c>
      <c r="AK94">
        <v>2.17</v>
      </c>
      <c r="AL94">
        <v>0.126</v>
      </c>
      <c r="AM94">
        <v>4.16</v>
      </c>
      <c r="AN94">
        <v>0.50800000000000001</v>
      </c>
      <c r="AO94">
        <v>1.7450000000000001</v>
      </c>
      <c r="AP94">
        <v>3.38</v>
      </c>
      <c r="AQ94">
        <v>0.94</v>
      </c>
      <c r="AR94">
        <v>2.87</v>
      </c>
      <c r="AS94">
        <v>1.7</v>
      </c>
      <c r="AT94">
        <v>0.46</v>
      </c>
      <c r="AU94">
        <v>831.16</v>
      </c>
    </row>
    <row r="95" spans="1:47">
      <c r="A95" s="39">
        <v>43690</v>
      </c>
      <c r="B95">
        <v>30.14</v>
      </c>
      <c r="C95">
        <v>12.02</v>
      </c>
      <c r="D95">
        <v>9.6920000000000002</v>
      </c>
      <c r="E95">
        <v>16</v>
      </c>
      <c r="F95">
        <v>9.0500000000000007</v>
      </c>
      <c r="G95">
        <v>0.7</v>
      </c>
      <c r="H95">
        <v>21.22</v>
      </c>
      <c r="I95">
        <v>1.38</v>
      </c>
      <c r="J95">
        <v>2.0979999999999999</v>
      </c>
      <c r="K95">
        <v>8.2370000000000001</v>
      </c>
      <c r="L95">
        <v>9.9600000000000009</v>
      </c>
      <c r="M95" s="40">
        <v>19.399999999999999</v>
      </c>
      <c r="N95">
        <v>6.6719999999999997</v>
      </c>
      <c r="O95">
        <v>7.86</v>
      </c>
      <c r="P95">
        <v>6.08</v>
      </c>
      <c r="Q95">
        <v>2.52</v>
      </c>
      <c r="R95">
        <v>2.52</v>
      </c>
      <c r="S95">
        <v>7.98</v>
      </c>
      <c r="T95">
        <v>3.67</v>
      </c>
      <c r="U95">
        <v>1.972</v>
      </c>
      <c r="V95">
        <v>22.8</v>
      </c>
      <c r="W95">
        <v>7.75</v>
      </c>
      <c r="X95">
        <v>6.3760000000000003</v>
      </c>
      <c r="Y95">
        <v>4.3099999999999996</v>
      </c>
      <c r="Z95">
        <v>29.6</v>
      </c>
      <c r="AA95">
        <v>5.68</v>
      </c>
      <c r="AB95">
        <v>5.25</v>
      </c>
      <c r="AC95">
        <v>1.39</v>
      </c>
      <c r="AD95">
        <v>1.3480000000000001</v>
      </c>
      <c r="AE95">
        <v>5.08</v>
      </c>
      <c r="AF95">
        <v>2.0449999999999999</v>
      </c>
      <c r="AG95">
        <v>0.36399999999999999</v>
      </c>
      <c r="AH95">
        <v>1.0860000000000001</v>
      </c>
      <c r="AI95">
        <v>6</v>
      </c>
      <c r="AJ95">
        <v>2.13</v>
      </c>
      <c r="AK95">
        <v>2.1</v>
      </c>
      <c r="AL95">
        <v>0.128</v>
      </c>
      <c r="AM95">
        <v>4.0999999999999996</v>
      </c>
      <c r="AN95">
        <v>0.48899999999999999</v>
      </c>
      <c r="AO95">
        <v>1.7</v>
      </c>
      <c r="AP95">
        <v>3.35</v>
      </c>
      <c r="AQ95">
        <v>0.93899999999999995</v>
      </c>
      <c r="AR95">
        <v>2.82</v>
      </c>
      <c r="AS95">
        <v>1.665</v>
      </c>
      <c r="AT95">
        <v>0.48199999999999998</v>
      </c>
      <c r="AU95">
        <v>818.51</v>
      </c>
    </row>
    <row r="96" spans="1:47">
      <c r="A96" s="39">
        <v>43691</v>
      </c>
      <c r="B96">
        <v>29.52</v>
      </c>
      <c r="C96">
        <v>11.9</v>
      </c>
      <c r="D96">
        <v>9.5419999999999998</v>
      </c>
      <c r="E96">
        <v>15.62</v>
      </c>
      <c r="F96">
        <v>9.0299999999999994</v>
      </c>
      <c r="G96">
        <v>0.65200000000000002</v>
      </c>
      <c r="H96">
        <v>20.86</v>
      </c>
      <c r="I96">
        <v>1.33</v>
      </c>
      <c r="J96">
        <v>1.9359999999999999</v>
      </c>
      <c r="K96">
        <v>7.9640000000000004</v>
      </c>
      <c r="L96">
        <v>9.625</v>
      </c>
      <c r="M96" s="40">
        <v>19.059999999999999</v>
      </c>
      <c r="N96">
        <v>6.6040000000000001</v>
      </c>
      <c r="O96">
        <v>7.7</v>
      </c>
      <c r="P96">
        <v>6</v>
      </c>
      <c r="Q96">
        <v>2.3559999999999999</v>
      </c>
      <c r="R96">
        <v>2.4500000000000002</v>
      </c>
      <c r="S96">
        <v>7.65</v>
      </c>
      <c r="T96">
        <v>3.67</v>
      </c>
      <c r="U96">
        <v>1.94</v>
      </c>
      <c r="V96">
        <v>22.45</v>
      </c>
      <c r="W96">
        <v>7.52</v>
      </c>
      <c r="X96">
        <v>6.4550000000000001</v>
      </c>
      <c r="Y96">
        <v>4.33</v>
      </c>
      <c r="Z96">
        <v>28.9</v>
      </c>
      <c r="AA96">
        <v>5.56</v>
      </c>
      <c r="AB96">
        <v>5.27</v>
      </c>
      <c r="AC96">
        <v>1.39</v>
      </c>
      <c r="AD96">
        <v>1.3460000000000001</v>
      </c>
      <c r="AE96">
        <v>5</v>
      </c>
      <c r="AF96">
        <v>2</v>
      </c>
      <c r="AG96">
        <v>0.37</v>
      </c>
      <c r="AH96">
        <v>1.04</v>
      </c>
      <c r="AI96">
        <v>5.95</v>
      </c>
      <c r="AJ96">
        <v>2.08</v>
      </c>
      <c r="AK96">
        <v>2.09</v>
      </c>
      <c r="AL96">
        <v>0.127</v>
      </c>
      <c r="AM96">
        <v>4.08</v>
      </c>
      <c r="AN96">
        <v>0.49399999999999999</v>
      </c>
      <c r="AO96">
        <v>1.7250000000000001</v>
      </c>
      <c r="AP96">
        <v>3.42</v>
      </c>
      <c r="AQ96">
        <v>0.89500000000000002</v>
      </c>
      <c r="AR96">
        <v>2.7</v>
      </c>
      <c r="AS96">
        <v>1.6</v>
      </c>
      <c r="AT96">
        <v>0.47</v>
      </c>
      <c r="AU96">
        <v>798.89</v>
      </c>
    </row>
    <row r="97" spans="1:47">
      <c r="A97" s="39">
        <v>43693</v>
      </c>
      <c r="B97">
        <v>29.57</v>
      </c>
      <c r="C97">
        <v>11.9</v>
      </c>
      <c r="D97">
        <v>9.3019999999999996</v>
      </c>
      <c r="E97">
        <v>14.98</v>
      </c>
      <c r="F97">
        <v>8.8800000000000008</v>
      </c>
      <c r="G97">
        <v>0.63900000000000001</v>
      </c>
      <c r="H97">
        <v>20.399999999999999</v>
      </c>
      <c r="I97">
        <v>1.341</v>
      </c>
      <c r="J97">
        <v>1.966</v>
      </c>
      <c r="K97">
        <v>7.907</v>
      </c>
      <c r="L97">
        <v>9.6349999999999998</v>
      </c>
      <c r="M97" s="40">
        <v>19.02</v>
      </c>
      <c r="N97">
        <v>6.4169999999999998</v>
      </c>
      <c r="O97">
        <v>7.78</v>
      </c>
      <c r="P97">
        <v>5.95</v>
      </c>
      <c r="Q97">
        <v>2.3159999999999998</v>
      </c>
      <c r="R97">
        <v>2.4220000000000002</v>
      </c>
      <c r="S97">
        <v>7.5</v>
      </c>
      <c r="T97">
        <v>3.5750000000000002</v>
      </c>
      <c r="U97">
        <v>1.948</v>
      </c>
      <c r="V97">
        <v>22.1</v>
      </c>
      <c r="W97">
        <v>7.7</v>
      </c>
      <c r="X97">
        <v>6.4349999999999996</v>
      </c>
      <c r="Y97">
        <v>4.29</v>
      </c>
      <c r="Z97">
        <v>28.8</v>
      </c>
      <c r="AA97">
        <v>5.6</v>
      </c>
      <c r="AB97">
        <v>5</v>
      </c>
      <c r="AC97">
        <v>1.4</v>
      </c>
      <c r="AD97">
        <v>1.3320000000000001</v>
      </c>
      <c r="AE97">
        <v>5.08</v>
      </c>
      <c r="AF97">
        <v>2.0099999999999998</v>
      </c>
      <c r="AG97">
        <v>0.378</v>
      </c>
      <c r="AH97">
        <v>1.036</v>
      </c>
      <c r="AI97">
        <v>5.95</v>
      </c>
      <c r="AJ97">
        <v>2.12</v>
      </c>
      <c r="AK97">
        <v>2.08</v>
      </c>
      <c r="AL97">
        <v>0.125</v>
      </c>
      <c r="AM97">
        <v>4.0199999999999996</v>
      </c>
      <c r="AN97">
        <v>0.503</v>
      </c>
      <c r="AO97">
        <v>1.675</v>
      </c>
      <c r="AP97">
        <v>3.43</v>
      </c>
      <c r="AQ97">
        <v>0.872</v>
      </c>
      <c r="AR97">
        <v>2.625</v>
      </c>
      <c r="AS97">
        <v>1.59</v>
      </c>
      <c r="AT97">
        <v>0.47899999999999998</v>
      </c>
      <c r="AU97">
        <v>792.06</v>
      </c>
    </row>
    <row r="98" spans="1:47">
      <c r="A98" s="39">
        <v>43696</v>
      </c>
      <c r="B98">
        <v>29.93</v>
      </c>
      <c r="C98">
        <v>12.02</v>
      </c>
      <c r="D98">
        <v>9.6069999999999993</v>
      </c>
      <c r="E98">
        <v>15.98</v>
      </c>
      <c r="F98">
        <v>9.34</v>
      </c>
      <c r="G98">
        <v>0.69499999999999995</v>
      </c>
      <c r="H98">
        <v>21.2</v>
      </c>
      <c r="I98">
        <v>1.45</v>
      </c>
      <c r="J98">
        <v>2.161</v>
      </c>
      <c r="K98">
        <v>8.3030000000000008</v>
      </c>
      <c r="L98">
        <v>9.9849999999999994</v>
      </c>
      <c r="M98" s="40">
        <v>19.5</v>
      </c>
      <c r="N98">
        <v>6.8579999999999997</v>
      </c>
      <c r="O98">
        <v>8.0399999999999991</v>
      </c>
      <c r="P98">
        <v>6.26</v>
      </c>
      <c r="Q98">
        <v>2.5219999999999998</v>
      </c>
      <c r="R98">
        <v>2.5379999999999998</v>
      </c>
      <c r="S98">
        <v>8.02</v>
      </c>
      <c r="T98">
        <v>3.915</v>
      </c>
      <c r="U98">
        <v>2.0350000000000001</v>
      </c>
      <c r="V98">
        <v>22.7</v>
      </c>
      <c r="W98">
        <v>8.11</v>
      </c>
      <c r="X98">
        <v>6.5720000000000001</v>
      </c>
      <c r="Y98">
        <v>4.5599999999999996</v>
      </c>
      <c r="Z98">
        <v>29</v>
      </c>
      <c r="AA98">
        <v>5.68</v>
      </c>
      <c r="AB98">
        <v>5.3</v>
      </c>
      <c r="AC98">
        <v>1.3979999999999999</v>
      </c>
      <c r="AD98">
        <v>1.3859999999999999</v>
      </c>
      <c r="AE98">
        <v>5.34</v>
      </c>
      <c r="AF98">
        <v>2.15</v>
      </c>
      <c r="AG98">
        <v>0.42</v>
      </c>
      <c r="AH98">
        <v>1.0780000000000001</v>
      </c>
      <c r="AI98">
        <v>6.1</v>
      </c>
      <c r="AJ98">
        <v>2.2000000000000002</v>
      </c>
      <c r="AK98">
        <v>2.15</v>
      </c>
      <c r="AL98">
        <v>0.13500000000000001</v>
      </c>
      <c r="AM98">
        <v>4.0999999999999996</v>
      </c>
      <c r="AN98">
        <v>0.55100000000000005</v>
      </c>
      <c r="AO98">
        <v>1.71</v>
      </c>
      <c r="AP98">
        <v>3.64</v>
      </c>
      <c r="AQ98">
        <v>0.94899999999999995</v>
      </c>
      <c r="AR98">
        <v>2.8</v>
      </c>
      <c r="AS98">
        <v>1.75</v>
      </c>
      <c r="AT98">
        <v>0.5</v>
      </c>
      <c r="AU98">
        <v>828.3</v>
      </c>
    </row>
    <row r="99" spans="1:47">
      <c r="A99" s="39">
        <v>43697</v>
      </c>
      <c r="B99">
        <v>29.77</v>
      </c>
      <c r="C99">
        <v>12.09</v>
      </c>
      <c r="D99">
        <v>9.5570000000000004</v>
      </c>
      <c r="E99">
        <v>16.37</v>
      </c>
      <c r="F99">
        <v>9.25</v>
      </c>
      <c r="G99">
        <v>0.68100000000000005</v>
      </c>
      <c r="H99">
        <v>21.7</v>
      </c>
      <c r="I99">
        <v>1.46</v>
      </c>
      <c r="J99">
        <v>2.1779999999999999</v>
      </c>
      <c r="K99">
        <v>8.2840000000000007</v>
      </c>
      <c r="L99">
        <v>10.07</v>
      </c>
      <c r="M99" s="40">
        <v>19</v>
      </c>
      <c r="N99">
        <v>7.1520000000000001</v>
      </c>
      <c r="O99">
        <v>8.06</v>
      </c>
      <c r="P99">
        <v>6.29</v>
      </c>
      <c r="Q99">
        <v>2.4820000000000002</v>
      </c>
      <c r="R99">
        <v>2.59</v>
      </c>
      <c r="S99">
        <v>8.0500000000000007</v>
      </c>
      <c r="T99">
        <v>3.9249999999999998</v>
      </c>
      <c r="U99">
        <v>2.0299999999999998</v>
      </c>
      <c r="V99">
        <v>23.15</v>
      </c>
      <c r="W99">
        <v>8.1</v>
      </c>
      <c r="X99">
        <v>6.5720000000000001</v>
      </c>
      <c r="Y99">
        <v>4.54</v>
      </c>
      <c r="Z99">
        <v>29.5</v>
      </c>
      <c r="AA99">
        <v>5.62</v>
      </c>
      <c r="AB99">
        <v>5.35</v>
      </c>
      <c r="AC99">
        <v>1.4079999999999999</v>
      </c>
      <c r="AD99">
        <v>1.3759999999999999</v>
      </c>
      <c r="AE99">
        <v>5.38</v>
      </c>
      <c r="AF99">
        <v>2.16</v>
      </c>
      <c r="AG99">
        <v>0.41299999999999998</v>
      </c>
      <c r="AH99">
        <v>1.0620000000000001</v>
      </c>
      <c r="AI99">
        <v>6.15</v>
      </c>
      <c r="AJ99">
        <v>2.16</v>
      </c>
      <c r="AK99">
        <v>2.12</v>
      </c>
      <c r="AL99">
        <v>0.13200000000000001</v>
      </c>
      <c r="AM99">
        <v>4.0999999999999996</v>
      </c>
      <c r="AN99">
        <v>0.55700000000000005</v>
      </c>
      <c r="AO99">
        <v>1.72</v>
      </c>
      <c r="AP99">
        <v>3.7</v>
      </c>
      <c r="AQ99">
        <v>0.94599999999999995</v>
      </c>
      <c r="AR99">
        <v>2.85</v>
      </c>
      <c r="AS99">
        <v>1.75</v>
      </c>
      <c r="AT99">
        <v>0.5</v>
      </c>
      <c r="AU99">
        <v>829.74</v>
      </c>
    </row>
    <row r="100" spans="1:47">
      <c r="A100" s="39">
        <v>43698</v>
      </c>
      <c r="B100">
        <v>29.84</v>
      </c>
      <c r="C100">
        <v>12</v>
      </c>
      <c r="D100">
        <v>9.5020000000000007</v>
      </c>
      <c r="E100">
        <v>16</v>
      </c>
      <c r="F100">
        <v>9.24</v>
      </c>
      <c r="G100">
        <v>0.70199999999999996</v>
      </c>
      <c r="H100">
        <v>21.24</v>
      </c>
      <c r="I100">
        <v>1.502</v>
      </c>
      <c r="J100">
        <v>2.23</v>
      </c>
      <c r="K100">
        <v>8.6509999999999998</v>
      </c>
      <c r="L100">
        <v>10.06</v>
      </c>
      <c r="M100" s="40">
        <v>18.899999999999999</v>
      </c>
      <c r="N100">
        <v>7.0940000000000003</v>
      </c>
      <c r="O100">
        <v>7.83</v>
      </c>
      <c r="P100">
        <v>6.2</v>
      </c>
      <c r="Q100">
        <v>2.6819999999999999</v>
      </c>
      <c r="R100">
        <v>2.64</v>
      </c>
      <c r="S100">
        <v>8</v>
      </c>
      <c r="T100">
        <v>3.95</v>
      </c>
      <c r="U100">
        <v>2.0299999999999998</v>
      </c>
      <c r="V100">
        <v>23.55</v>
      </c>
      <c r="W100">
        <v>8.01</v>
      </c>
      <c r="X100">
        <v>6.69</v>
      </c>
      <c r="Y100">
        <v>4.55</v>
      </c>
      <c r="Z100">
        <v>29.5</v>
      </c>
      <c r="AA100">
        <v>5.68</v>
      </c>
      <c r="AB100">
        <v>5.29</v>
      </c>
      <c r="AC100">
        <v>1.4079999999999999</v>
      </c>
      <c r="AD100">
        <v>1.3839999999999999</v>
      </c>
      <c r="AE100">
        <v>5.26</v>
      </c>
      <c r="AF100">
        <v>2.16</v>
      </c>
      <c r="AG100">
        <v>0.41399999999999998</v>
      </c>
      <c r="AH100">
        <v>1.056</v>
      </c>
      <c r="AI100">
        <v>6.15</v>
      </c>
      <c r="AJ100">
        <v>2.16</v>
      </c>
      <c r="AK100">
        <v>2.08</v>
      </c>
      <c r="AL100">
        <v>0.13600000000000001</v>
      </c>
      <c r="AM100">
        <v>4.0999999999999996</v>
      </c>
      <c r="AN100">
        <v>0.55500000000000005</v>
      </c>
      <c r="AO100">
        <v>1.7150000000000001</v>
      </c>
      <c r="AP100">
        <v>3.78</v>
      </c>
      <c r="AQ100">
        <v>0.96299999999999997</v>
      </c>
      <c r="AR100">
        <v>3.04</v>
      </c>
      <c r="AS100">
        <v>1.8</v>
      </c>
      <c r="AT100">
        <v>0.497</v>
      </c>
      <c r="AU100">
        <v>832.72</v>
      </c>
    </row>
    <row r="101" spans="1:47">
      <c r="A101" s="39">
        <v>43699</v>
      </c>
      <c r="B101">
        <v>29.88</v>
      </c>
      <c r="C101">
        <v>12</v>
      </c>
      <c r="D101">
        <v>9.4420000000000002</v>
      </c>
      <c r="E101">
        <v>16.21</v>
      </c>
      <c r="F101">
        <v>9.32</v>
      </c>
      <c r="G101">
        <v>0.71899999999999997</v>
      </c>
      <c r="H101">
        <v>21.26</v>
      </c>
      <c r="I101">
        <v>1.569</v>
      </c>
      <c r="J101">
        <v>2.3180000000000001</v>
      </c>
      <c r="K101">
        <v>8.7360000000000007</v>
      </c>
      <c r="L101">
        <v>10.18</v>
      </c>
      <c r="M101" s="40">
        <v>19.28</v>
      </c>
      <c r="N101">
        <v>7.2009999999999996</v>
      </c>
      <c r="O101">
        <v>7.87</v>
      </c>
      <c r="P101">
        <v>6.2</v>
      </c>
      <c r="Q101">
        <v>2.79</v>
      </c>
      <c r="R101">
        <v>2.7759999999999998</v>
      </c>
      <c r="S101">
        <v>7.96</v>
      </c>
      <c r="T101">
        <v>3.98</v>
      </c>
      <c r="U101">
        <v>2.21</v>
      </c>
      <c r="V101">
        <v>23.9</v>
      </c>
      <c r="W101">
        <v>8.17</v>
      </c>
      <c r="X101">
        <v>6.7679999999999998</v>
      </c>
      <c r="Y101">
        <v>4.57</v>
      </c>
      <c r="Z101">
        <v>29.4</v>
      </c>
      <c r="AA101">
        <v>5.72</v>
      </c>
      <c r="AB101">
        <v>5.4</v>
      </c>
      <c r="AC101">
        <v>1.41</v>
      </c>
      <c r="AD101">
        <v>1.39</v>
      </c>
      <c r="AE101">
        <v>5.14</v>
      </c>
      <c r="AF101">
        <v>2.25</v>
      </c>
      <c r="AG101">
        <v>0.42</v>
      </c>
      <c r="AH101">
        <v>1.052</v>
      </c>
      <c r="AI101">
        <v>6.2</v>
      </c>
      <c r="AJ101">
        <v>2.39</v>
      </c>
      <c r="AK101">
        <v>2.17</v>
      </c>
      <c r="AL101">
        <v>0.14199999999999999</v>
      </c>
      <c r="AM101">
        <v>4.09</v>
      </c>
      <c r="AN101">
        <v>0.56499999999999995</v>
      </c>
      <c r="AO101">
        <v>1.7250000000000001</v>
      </c>
      <c r="AP101">
        <v>3.82</v>
      </c>
      <c r="AQ101">
        <v>0.98899999999999999</v>
      </c>
      <c r="AR101">
        <v>3.06</v>
      </c>
      <c r="AS101">
        <v>1.88</v>
      </c>
      <c r="AT101">
        <v>0.505</v>
      </c>
      <c r="AU101">
        <v>845.22</v>
      </c>
    </row>
    <row r="102" spans="1:47">
      <c r="A102" s="39">
        <v>43700</v>
      </c>
      <c r="B102">
        <v>29.64</v>
      </c>
      <c r="C102">
        <v>12</v>
      </c>
      <c r="D102">
        <v>9.3620000000000001</v>
      </c>
      <c r="E102">
        <v>15.6</v>
      </c>
      <c r="F102">
        <v>9.18</v>
      </c>
      <c r="G102">
        <v>0.69799999999999995</v>
      </c>
      <c r="H102">
        <v>21.1</v>
      </c>
      <c r="I102">
        <v>1.4770000000000001</v>
      </c>
      <c r="J102">
        <v>2.2839999999999998</v>
      </c>
      <c r="K102">
        <v>8.5850000000000009</v>
      </c>
      <c r="L102">
        <v>9.98</v>
      </c>
      <c r="M102" s="40">
        <v>19</v>
      </c>
      <c r="N102">
        <v>7.319</v>
      </c>
      <c r="O102">
        <v>7.85</v>
      </c>
      <c r="P102">
        <v>6.18</v>
      </c>
      <c r="Q102">
        <v>2.74</v>
      </c>
      <c r="R102">
        <v>2.66</v>
      </c>
      <c r="S102">
        <v>7.7</v>
      </c>
      <c r="T102">
        <v>3.9</v>
      </c>
      <c r="U102">
        <v>2.15</v>
      </c>
      <c r="V102">
        <v>23.6</v>
      </c>
      <c r="W102">
        <v>8</v>
      </c>
      <c r="X102">
        <v>6.7679999999999998</v>
      </c>
      <c r="Y102">
        <v>4.585</v>
      </c>
      <c r="Z102">
        <v>28.9</v>
      </c>
      <c r="AA102">
        <v>5.72</v>
      </c>
      <c r="AB102">
        <v>5.3</v>
      </c>
      <c r="AC102">
        <v>1.39</v>
      </c>
      <c r="AD102">
        <v>1.3660000000000001</v>
      </c>
      <c r="AE102">
        <v>5.12</v>
      </c>
      <c r="AF102">
        <v>2.17</v>
      </c>
      <c r="AG102">
        <v>0.40500000000000003</v>
      </c>
      <c r="AH102">
        <v>1.0820000000000001</v>
      </c>
      <c r="AI102">
        <v>6.15</v>
      </c>
      <c r="AJ102">
        <v>2.4300000000000002</v>
      </c>
      <c r="AK102">
        <v>2.15</v>
      </c>
      <c r="AL102">
        <v>0.13700000000000001</v>
      </c>
      <c r="AM102">
        <v>4.08</v>
      </c>
      <c r="AN102">
        <v>0.54400000000000004</v>
      </c>
      <c r="AO102">
        <v>1.79</v>
      </c>
      <c r="AP102">
        <v>3.86</v>
      </c>
      <c r="AQ102">
        <v>0.95</v>
      </c>
      <c r="AR102">
        <v>2.94</v>
      </c>
      <c r="AS102">
        <v>1.81</v>
      </c>
      <c r="AT102">
        <v>0.49</v>
      </c>
      <c r="AU102">
        <v>831.7</v>
      </c>
    </row>
    <row r="103" spans="1:47">
      <c r="A103" s="39">
        <v>43703</v>
      </c>
      <c r="B103">
        <v>29.54</v>
      </c>
      <c r="C103">
        <v>11.93</v>
      </c>
      <c r="D103">
        <v>9.2420000000000009</v>
      </c>
      <c r="E103">
        <v>15.42</v>
      </c>
      <c r="F103">
        <v>9.11</v>
      </c>
      <c r="G103">
        <v>0.70699999999999996</v>
      </c>
      <c r="H103">
        <v>21.2</v>
      </c>
      <c r="I103">
        <v>1.5</v>
      </c>
      <c r="J103">
        <v>2.3199999999999998</v>
      </c>
      <c r="K103">
        <v>8.5660000000000007</v>
      </c>
      <c r="L103">
        <v>9.8800000000000008</v>
      </c>
      <c r="M103" s="40">
        <v>18.68</v>
      </c>
      <c r="N103">
        <v>7.1520000000000001</v>
      </c>
      <c r="O103">
        <v>7.72</v>
      </c>
      <c r="P103">
        <v>6.1</v>
      </c>
      <c r="Q103">
        <v>2.8</v>
      </c>
      <c r="R103">
        <v>2.6520000000000001</v>
      </c>
      <c r="S103">
        <v>7.74</v>
      </c>
      <c r="T103">
        <v>3.86</v>
      </c>
      <c r="U103">
        <v>2.13</v>
      </c>
      <c r="V103">
        <v>23.15</v>
      </c>
      <c r="W103">
        <v>7.9</v>
      </c>
      <c r="X103">
        <v>6.6509999999999998</v>
      </c>
      <c r="Y103">
        <v>4.49</v>
      </c>
      <c r="Z103">
        <v>29.2</v>
      </c>
      <c r="AA103">
        <v>5.8</v>
      </c>
      <c r="AB103">
        <v>5.22</v>
      </c>
      <c r="AC103">
        <v>1.42</v>
      </c>
      <c r="AD103">
        <v>1.3480000000000001</v>
      </c>
      <c r="AE103">
        <v>5.08</v>
      </c>
      <c r="AF103">
        <v>2.17</v>
      </c>
      <c r="AG103">
        <v>0.40799999999999997</v>
      </c>
      <c r="AH103">
        <v>1.054</v>
      </c>
      <c r="AI103">
        <v>6.15</v>
      </c>
      <c r="AJ103">
        <v>2.42</v>
      </c>
      <c r="AK103">
        <v>2.21</v>
      </c>
      <c r="AL103">
        <v>0.13600000000000001</v>
      </c>
      <c r="AM103">
        <v>4.0999999999999996</v>
      </c>
      <c r="AN103">
        <v>0.54</v>
      </c>
      <c r="AO103">
        <v>1.91</v>
      </c>
      <c r="AP103">
        <v>3.95</v>
      </c>
      <c r="AQ103">
        <v>0.94499999999999995</v>
      </c>
      <c r="AR103">
        <v>3.04</v>
      </c>
      <c r="AS103">
        <v>1.89</v>
      </c>
      <c r="AT103">
        <v>0.48099999999999998</v>
      </c>
      <c r="AU103">
        <v>828.95</v>
      </c>
    </row>
    <row r="104" spans="1:47">
      <c r="A104" s="39">
        <v>43704</v>
      </c>
      <c r="B104">
        <v>29.97</v>
      </c>
      <c r="C104">
        <v>11.95</v>
      </c>
      <c r="D104">
        <v>9.1920000000000002</v>
      </c>
      <c r="E104">
        <v>15.77</v>
      </c>
      <c r="F104">
        <v>9.09</v>
      </c>
      <c r="G104">
        <v>0.71199999999999997</v>
      </c>
      <c r="H104">
        <v>21.74</v>
      </c>
      <c r="I104">
        <v>1.484</v>
      </c>
      <c r="J104">
        <v>2.3180000000000001</v>
      </c>
      <c r="K104">
        <v>8.7539999999999996</v>
      </c>
      <c r="L104">
        <v>9.75</v>
      </c>
      <c r="M104" s="40">
        <v>18.2</v>
      </c>
      <c r="N104">
        <v>7.26</v>
      </c>
      <c r="O104">
        <v>7.66</v>
      </c>
      <c r="P104">
        <v>6.07</v>
      </c>
      <c r="Q104">
        <v>2.81</v>
      </c>
      <c r="R104">
        <v>2.6459999999999999</v>
      </c>
      <c r="S104">
        <v>8.0500000000000007</v>
      </c>
      <c r="T104">
        <v>3.9</v>
      </c>
      <c r="U104">
        <v>2.1800000000000002</v>
      </c>
      <c r="V104">
        <v>23.05</v>
      </c>
      <c r="W104">
        <v>8</v>
      </c>
      <c r="X104">
        <v>6.6509999999999998</v>
      </c>
      <c r="Y104">
        <v>4.58</v>
      </c>
      <c r="Z104">
        <v>29.1</v>
      </c>
      <c r="AA104">
        <v>5.8</v>
      </c>
      <c r="AB104">
        <v>5.22</v>
      </c>
      <c r="AC104">
        <v>1.4039999999999999</v>
      </c>
      <c r="AD104">
        <v>1.36</v>
      </c>
      <c r="AE104">
        <v>5.16</v>
      </c>
      <c r="AF104">
        <v>2.15</v>
      </c>
      <c r="AG104">
        <v>0.40400000000000003</v>
      </c>
      <c r="AH104">
        <v>1.03</v>
      </c>
      <c r="AI104">
        <v>6.05</v>
      </c>
      <c r="AJ104">
        <v>2.38</v>
      </c>
      <c r="AK104">
        <v>2.2400000000000002</v>
      </c>
      <c r="AL104">
        <v>0.13300000000000001</v>
      </c>
      <c r="AM104">
        <v>4.07</v>
      </c>
      <c r="AN104">
        <v>0.53700000000000003</v>
      </c>
      <c r="AO104">
        <v>1.885</v>
      </c>
      <c r="AP104">
        <v>4.13</v>
      </c>
      <c r="AQ104">
        <v>0.97</v>
      </c>
      <c r="AR104">
        <v>3.04</v>
      </c>
      <c r="AS104">
        <v>1.92</v>
      </c>
      <c r="AT104">
        <v>0.47199999999999998</v>
      </c>
      <c r="AU104">
        <v>831.64</v>
      </c>
    </row>
    <row r="105" spans="1:47">
      <c r="A105" s="39">
        <v>43705</v>
      </c>
      <c r="B105">
        <v>29.94</v>
      </c>
      <c r="C105">
        <v>12</v>
      </c>
      <c r="D105">
        <v>9.2919999999999998</v>
      </c>
      <c r="E105">
        <v>16.420000000000002</v>
      </c>
      <c r="F105">
        <v>9.36</v>
      </c>
      <c r="G105">
        <v>0.746</v>
      </c>
      <c r="H105">
        <v>21.58</v>
      </c>
      <c r="I105">
        <v>1.55</v>
      </c>
      <c r="J105">
        <v>2.42</v>
      </c>
      <c r="K105">
        <v>8.66</v>
      </c>
      <c r="L105">
        <v>9.9250000000000007</v>
      </c>
      <c r="M105" s="40">
        <v>18.079999999999998</v>
      </c>
      <c r="N105">
        <v>7.5339999999999998</v>
      </c>
      <c r="O105">
        <v>7.64</v>
      </c>
      <c r="P105">
        <v>6.1</v>
      </c>
      <c r="Q105">
        <v>2.92</v>
      </c>
      <c r="R105">
        <v>2.77</v>
      </c>
      <c r="S105">
        <v>8.2200000000000006</v>
      </c>
      <c r="T105">
        <v>3.93</v>
      </c>
      <c r="U105">
        <v>2.16</v>
      </c>
      <c r="V105">
        <v>22.6</v>
      </c>
      <c r="W105">
        <v>7.87</v>
      </c>
      <c r="X105">
        <v>6.7290000000000001</v>
      </c>
      <c r="Y105">
        <v>4.6150000000000002</v>
      </c>
      <c r="Z105">
        <v>28.9</v>
      </c>
      <c r="AA105">
        <v>5.82</v>
      </c>
      <c r="AB105">
        <v>5.24</v>
      </c>
      <c r="AC105">
        <v>1.41</v>
      </c>
      <c r="AD105">
        <v>1.3839999999999999</v>
      </c>
      <c r="AE105">
        <v>5.16</v>
      </c>
      <c r="AF105">
        <v>2.14</v>
      </c>
      <c r="AG105">
        <v>0.41699999999999998</v>
      </c>
      <c r="AH105">
        <v>1.03</v>
      </c>
      <c r="AI105">
        <v>6.15</v>
      </c>
      <c r="AJ105">
        <v>2.39</v>
      </c>
      <c r="AK105">
        <v>2.17</v>
      </c>
      <c r="AL105">
        <v>0.13800000000000001</v>
      </c>
      <c r="AM105">
        <v>4.07</v>
      </c>
      <c r="AN105">
        <v>0.54</v>
      </c>
      <c r="AO105">
        <v>1.9</v>
      </c>
      <c r="AP105">
        <v>4.0999999999999996</v>
      </c>
      <c r="AQ105">
        <v>0.98</v>
      </c>
      <c r="AR105">
        <v>3.06</v>
      </c>
      <c r="AS105">
        <v>1.9</v>
      </c>
      <c r="AT105">
        <v>0.48199999999999998</v>
      </c>
      <c r="AU105">
        <v>843.42</v>
      </c>
    </row>
    <row r="106" spans="1:47">
      <c r="A106" s="39">
        <v>43706</v>
      </c>
      <c r="B106">
        <v>30.05</v>
      </c>
      <c r="C106">
        <v>12.12</v>
      </c>
      <c r="D106">
        <v>9.5519999999999996</v>
      </c>
      <c r="E106">
        <v>17.04</v>
      </c>
      <c r="F106">
        <v>9.3800000000000008</v>
      </c>
      <c r="G106">
        <v>0.77800000000000002</v>
      </c>
      <c r="H106">
        <v>21.6</v>
      </c>
      <c r="I106">
        <v>1.619</v>
      </c>
      <c r="J106">
        <v>2.585</v>
      </c>
      <c r="K106">
        <v>8.7070000000000007</v>
      </c>
      <c r="L106">
        <v>10.050000000000001</v>
      </c>
      <c r="M106" s="40">
        <v>18.32</v>
      </c>
      <c r="N106">
        <v>7.476</v>
      </c>
      <c r="O106">
        <v>7.71</v>
      </c>
      <c r="P106">
        <v>6.27</v>
      </c>
      <c r="Q106">
        <v>2.99</v>
      </c>
      <c r="R106">
        <v>2.8</v>
      </c>
      <c r="S106">
        <v>8.25</v>
      </c>
      <c r="T106">
        <v>4.04</v>
      </c>
      <c r="U106">
        <v>2.17</v>
      </c>
      <c r="V106">
        <v>23.05</v>
      </c>
      <c r="W106">
        <v>7.83</v>
      </c>
      <c r="X106">
        <v>6.67</v>
      </c>
      <c r="Y106">
        <v>4.6900000000000004</v>
      </c>
      <c r="Z106">
        <v>29.2</v>
      </c>
      <c r="AA106">
        <v>5.8</v>
      </c>
      <c r="AB106">
        <v>5.23</v>
      </c>
      <c r="AC106">
        <v>1.4279999999999999</v>
      </c>
      <c r="AD106">
        <v>1.42</v>
      </c>
      <c r="AE106">
        <v>5.2</v>
      </c>
      <c r="AF106">
        <v>2.1850000000000001</v>
      </c>
      <c r="AG106">
        <v>0.42499999999999999</v>
      </c>
      <c r="AH106">
        <v>1.0620000000000001</v>
      </c>
      <c r="AI106">
        <v>6.2</v>
      </c>
      <c r="AJ106">
        <v>2.35</v>
      </c>
      <c r="AK106">
        <v>2.2200000000000002</v>
      </c>
      <c r="AL106">
        <v>0.14399999999999999</v>
      </c>
      <c r="AM106">
        <v>4.07</v>
      </c>
      <c r="AN106">
        <v>0.53900000000000003</v>
      </c>
      <c r="AO106">
        <v>1.905</v>
      </c>
      <c r="AP106">
        <v>4.1399999999999997</v>
      </c>
      <c r="AQ106">
        <v>1.02</v>
      </c>
      <c r="AR106">
        <v>3.09</v>
      </c>
      <c r="AS106">
        <v>1.895</v>
      </c>
      <c r="AT106">
        <v>0.46800000000000003</v>
      </c>
      <c r="AU106">
        <v>858.46</v>
      </c>
    </row>
    <row r="107" spans="1:47">
      <c r="A107" s="39">
        <v>43707</v>
      </c>
      <c r="B107">
        <v>30.44</v>
      </c>
      <c r="C107">
        <v>12.14</v>
      </c>
      <c r="D107">
        <v>9.5820000000000007</v>
      </c>
      <c r="E107">
        <v>17.48</v>
      </c>
      <c r="F107">
        <v>9.34</v>
      </c>
      <c r="G107">
        <v>0.80500000000000005</v>
      </c>
      <c r="H107">
        <v>22.24</v>
      </c>
      <c r="I107">
        <v>1.629</v>
      </c>
      <c r="J107">
        <v>2.6379999999999999</v>
      </c>
      <c r="K107">
        <v>8.7170000000000005</v>
      </c>
      <c r="L107">
        <v>10.1</v>
      </c>
      <c r="M107" s="40">
        <v>18.600000000000001</v>
      </c>
      <c r="N107">
        <v>7.6319999999999997</v>
      </c>
      <c r="O107">
        <v>7.8</v>
      </c>
      <c r="P107">
        <v>6.35</v>
      </c>
      <c r="Q107">
        <v>3.08</v>
      </c>
      <c r="R107">
        <v>2.77</v>
      </c>
      <c r="S107">
        <v>8.31</v>
      </c>
      <c r="T107">
        <v>4.0199999999999996</v>
      </c>
      <c r="U107">
        <v>2.15</v>
      </c>
      <c r="V107">
        <v>23.55</v>
      </c>
      <c r="W107">
        <v>7.85</v>
      </c>
      <c r="X107">
        <v>6.6109999999999998</v>
      </c>
      <c r="Y107">
        <v>4.6749999999999998</v>
      </c>
      <c r="Z107">
        <v>29</v>
      </c>
      <c r="AA107">
        <v>5.8</v>
      </c>
      <c r="AB107">
        <v>5.41</v>
      </c>
      <c r="AC107">
        <v>1.4279999999999999</v>
      </c>
      <c r="AD107">
        <v>1.4339999999999999</v>
      </c>
      <c r="AE107">
        <v>5.24</v>
      </c>
      <c r="AF107">
        <v>2.17</v>
      </c>
      <c r="AG107">
        <v>0.433</v>
      </c>
      <c r="AH107">
        <v>1.08</v>
      </c>
      <c r="AI107">
        <v>6.2</v>
      </c>
      <c r="AJ107">
        <v>2.39</v>
      </c>
      <c r="AK107">
        <v>2.2000000000000002</v>
      </c>
      <c r="AL107">
        <v>0.14099999999999999</v>
      </c>
      <c r="AM107">
        <v>4.1100000000000003</v>
      </c>
      <c r="AN107">
        <v>0.55000000000000004</v>
      </c>
      <c r="AO107">
        <v>1.91</v>
      </c>
      <c r="AP107">
        <v>4.13</v>
      </c>
      <c r="AQ107">
        <v>1.028</v>
      </c>
      <c r="AR107">
        <v>3.08</v>
      </c>
      <c r="AS107">
        <v>1.865</v>
      </c>
      <c r="AT107">
        <v>0.47</v>
      </c>
      <c r="AU107">
        <v>868.1</v>
      </c>
    </row>
    <row r="108" spans="1:47">
      <c r="A108" s="39">
        <v>43710</v>
      </c>
      <c r="B108">
        <v>30.2</v>
      </c>
      <c r="C108">
        <v>12.04</v>
      </c>
      <c r="D108">
        <v>9.5920000000000005</v>
      </c>
      <c r="E108">
        <v>17.23</v>
      </c>
      <c r="F108">
        <v>9.16</v>
      </c>
      <c r="G108">
        <v>0.79</v>
      </c>
      <c r="H108">
        <v>21.98</v>
      </c>
      <c r="I108">
        <v>1.5980000000000001</v>
      </c>
      <c r="J108">
        <v>2.556</v>
      </c>
      <c r="K108">
        <v>8.6319999999999997</v>
      </c>
      <c r="L108">
        <v>9.9649999999999999</v>
      </c>
      <c r="M108" s="40">
        <v>18.399999999999999</v>
      </c>
      <c r="N108">
        <v>7.6719999999999997</v>
      </c>
      <c r="O108">
        <v>7.65</v>
      </c>
      <c r="P108">
        <v>6.28</v>
      </c>
      <c r="Q108">
        <v>2.948</v>
      </c>
      <c r="R108">
        <v>3.0840000000000001</v>
      </c>
      <c r="S108">
        <v>8.36</v>
      </c>
      <c r="T108">
        <v>4.0250000000000004</v>
      </c>
      <c r="U108">
        <v>2.1749999999999998</v>
      </c>
      <c r="V108">
        <v>23.65</v>
      </c>
      <c r="W108">
        <v>7.8</v>
      </c>
      <c r="X108">
        <v>6.4740000000000002</v>
      </c>
      <c r="Y108">
        <v>4.6749999999999998</v>
      </c>
      <c r="Z108">
        <v>29.1</v>
      </c>
      <c r="AA108">
        <v>5.8</v>
      </c>
      <c r="AB108">
        <v>5.4</v>
      </c>
      <c r="AC108">
        <v>1.45</v>
      </c>
      <c r="AD108">
        <v>1.4039999999999999</v>
      </c>
      <c r="AE108">
        <v>5.18</v>
      </c>
      <c r="AF108">
        <v>2.16</v>
      </c>
      <c r="AG108">
        <v>0.44500000000000001</v>
      </c>
      <c r="AH108">
        <v>1.06</v>
      </c>
      <c r="AI108">
        <v>6.15</v>
      </c>
      <c r="AJ108">
        <v>2.38</v>
      </c>
      <c r="AK108">
        <v>2.21</v>
      </c>
      <c r="AL108">
        <v>0.14299999999999999</v>
      </c>
      <c r="AM108">
        <v>4.09</v>
      </c>
      <c r="AN108">
        <v>0.52500000000000002</v>
      </c>
      <c r="AO108">
        <v>1.91</v>
      </c>
      <c r="AP108">
        <v>4.1399999999999997</v>
      </c>
      <c r="AQ108">
        <v>1.02</v>
      </c>
      <c r="AR108">
        <v>3</v>
      </c>
      <c r="AS108">
        <v>1.94</v>
      </c>
      <c r="AT108">
        <v>0.46800000000000003</v>
      </c>
      <c r="AU108">
        <v>860.51</v>
      </c>
    </row>
    <row r="109" spans="1:47">
      <c r="A109" s="39">
        <v>43711</v>
      </c>
      <c r="B109">
        <v>30.83</v>
      </c>
      <c r="C109">
        <v>11.91</v>
      </c>
      <c r="D109">
        <v>9.3819999999999997</v>
      </c>
      <c r="E109">
        <v>17.170000000000002</v>
      </c>
      <c r="F109">
        <v>9.07</v>
      </c>
      <c r="G109">
        <v>0.76200000000000001</v>
      </c>
      <c r="H109">
        <v>21.86</v>
      </c>
      <c r="I109">
        <v>1.56</v>
      </c>
      <c r="J109">
        <v>2.4700000000000002</v>
      </c>
      <c r="K109">
        <v>8.6039999999999992</v>
      </c>
      <c r="L109">
        <v>9.98</v>
      </c>
      <c r="M109" s="40">
        <v>18.5</v>
      </c>
      <c r="N109">
        <v>7.6719999999999997</v>
      </c>
      <c r="O109">
        <v>7.53</v>
      </c>
      <c r="P109">
        <v>6.25</v>
      </c>
      <c r="Q109">
        <v>2.86</v>
      </c>
      <c r="R109">
        <v>3.0379999999999998</v>
      </c>
      <c r="S109">
        <v>8.3000000000000007</v>
      </c>
      <c r="T109">
        <v>4.18</v>
      </c>
      <c r="U109">
        <v>2.12</v>
      </c>
      <c r="V109">
        <v>23.2</v>
      </c>
      <c r="W109">
        <v>7.67</v>
      </c>
      <c r="X109">
        <v>6.4550000000000001</v>
      </c>
      <c r="Y109">
        <v>4.63</v>
      </c>
      <c r="Z109">
        <v>29.1</v>
      </c>
      <c r="AA109">
        <v>5.8</v>
      </c>
      <c r="AB109">
        <v>5.44</v>
      </c>
      <c r="AC109">
        <v>1.45</v>
      </c>
      <c r="AD109">
        <v>1.39</v>
      </c>
      <c r="AE109">
        <v>5.08</v>
      </c>
      <c r="AF109">
        <v>2.17</v>
      </c>
      <c r="AG109">
        <v>0.47399999999999998</v>
      </c>
      <c r="AH109">
        <v>1.032</v>
      </c>
      <c r="AI109">
        <v>6.15</v>
      </c>
      <c r="AJ109">
        <v>2.42</v>
      </c>
      <c r="AK109">
        <v>2.15</v>
      </c>
      <c r="AL109">
        <v>0.14199999999999999</v>
      </c>
      <c r="AM109">
        <v>4.07</v>
      </c>
      <c r="AN109">
        <v>0.502</v>
      </c>
      <c r="AO109">
        <v>1.89</v>
      </c>
      <c r="AP109">
        <v>4.09</v>
      </c>
      <c r="AQ109">
        <v>1.022</v>
      </c>
      <c r="AR109">
        <v>2.96</v>
      </c>
      <c r="AS109">
        <v>2.06</v>
      </c>
      <c r="AT109">
        <v>0.47499999999999998</v>
      </c>
      <c r="AU109">
        <v>853.89</v>
      </c>
    </row>
    <row r="110" spans="1:47">
      <c r="A110" s="39">
        <v>43712</v>
      </c>
      <c r="B110">
        <v>31.02</v>
      </c>
      <c r="C110">
        <v>12</v>
      </c>
      <c r="D110">
        <v>9.452</v>
      </c>
      <c r="E110">
        <v>16.5</v>
      </c>
      <c r="F110">
        <v>8.9600000000000009</v>
      </c>
      <c r="G110">
        <v>0.78500000000000003</v>
      </c>
      <c r="H110">
        <v>21.1</v>
      </c>
      <c r="I110">
        <v>1.59</v>
      </c>
      <c r="J110">
        <v>2.5489999999999999</v>
      </c>
      <c r="K110">
        <v>8.5</v>
      </c>
      <c r="L110">
        <v>10</v>
      </c>
      <c r="M110" s="40">
        <v>18.38</v>
      </c>
      <c r="N110">
        <v>7.5049999999999999</v>
      </c>
      <c r="O110">
        <v>7.64</v>
      </c>
      <c r="P110">
        <v>6.19</v>
      </c>
      <c r="Q110">
        <v>2.93</v>
      </c>
      <c r="R110">
        <v>3.02</v>
      </c>
      <c r="S110">
        <v>8.2899999999999991</v>
      </c>
      <c r="T110">
        <v>4.13</v>
      </c>
      <c r="U110">
        <v>2.125</v>
      </c>
      <c r="V110">
        <v>23.05</v>
      </c>
      <c r="W110">
        <v>7.88</v>
      </c>
      <c r="X110">
        <v>6.4740000000000002</v>
      </c>
      <c r="Y110">
        <v>4.625</v>
      </c>
      <c r="Z110">
        <v>29.3</v>
      </c>
      <c r="AA110">
        <v>5.78</v>
      </c>
      <c r="AB110">
        <v>5.34</v>
      </c>
      <c r="AC110">
        <v>1.45</v>
      </c>
      <c r="AD110">
        <v>1.39</v>
      </c>
      <c r="AE110">
        <v>5.08</v>
      </c>
      <c r="AF110">
        <v>2.15</v>
      </c>
      <c r="AG110">
        <v>0.45</v>
      </c>
      <c r="AH110">
        <v>1.03</v>
      </c>
      <c r="AI110">
        <v>6.15</v>
      </c>
      <c r="AJ110">
        <v>2.56</v>
      </c>
      <c r="AK110">
        <v>2.12</v>
      </c>
      <c r="AL110">
        <v>0.14099999999999999</v>
      </c>
      <c r="AM110">
        <v>4.0199999999999996</v>
      </c>
      <c r="AN110">
        <v>0.49399999999999999</v>
      </c>
      <c r="AO110">
        <v>1.89</v>
      </c>
      <c r="AP110">
        <v>4.16</v>
      </c>
      <c r="AQ110">
        <v>1.026</v>
      </c>
      <c r="AR110">
        <v>2.895</v>
      </c>
      <c r="AS110">
        <v>2.08</v>
      </c>
      <c r="AT110">
        <v>0.47899999999999998</v>
      </c>
      <c r="AU110">
        <v>854.48</v>
      </c>
    </row>
    <row r="111" spans="1:47">
      <c r="A111" s="39">
        <v>43713</v>
      </c>
      <c r="B111">
        <v>31.5</v>
      </c>
      <c r="C111">
        <v>12.44</v>
      </c>
      <c r="D111">
        <v>9.7919999999999998</v>
      </c>
      <c r="E111">
        <v>16.82</v>
      </c>
      <c r="F111">
        <v>9.1999999999999993</v>
      </c>
      <c r="G111">
        <v>0.81</v>
      </c>
      <c r="H111">
        <v>21.32</v>
      </c>
      <c r="I111">
        <v>1.649</v>
      </c>
      <c r="J111">
        <v>2.68</v>
      </c>
      <c r="K111">
        <v>8.5939999999999994</v>
      </c>
      <c r="L111">
        <v>10.199999999999999</v>
      </c>
      <c r="M111" s="40">
        <v>18.420000000000002</v>
      </c>
      <c r="N111">
        <v>7.593</v>
      </c>
      <c r="O111">
        <v>7.8</v>
      </c>
      <c r="P111">
        <v>6.31</v>
      </c>
      <c r="Q111">
        <v>3.05</v>
      </c>
      <c r="R111">
        <v>3.06</v>
      </c>
      <c r="S111">
        <v>8.44</v>
      </c>
      <c r="T111">
        <v>4.16</v>
      </c>
      <c r="U111">
        <v>2.21</v>
      </c>
      <c r="V111">
        <v>23.55</v>
      </c>
      <c r="W111">
        <v>7.9</v>
      </c>
      <c r="X111">
        <v>6.4740000000000002</v>
      </c>
      <c r="Y111">
        <v>4.82</v>
      </c>
      <c r="Z111">
        <v>29.4</v>
      </c>
      <c r="AA111">
        <v>5.78</v>
      </c>
      <c r="AB111">
        <v>5.33</v>
      </c>
      <c r="AC111">
        <v>1.45</v>
      </c>
      <c r="AD111">
        <v>1.43</v>
      </c>
      <c r="AE111">
        <v>5.2</v>
      </c>
      <c r="AF111">
        <v>2.1949999999999998</v>
      </c>
      <c r="AG111">
        <v>0.46600000000000003</v>
      </c>
      <c r="AH111">
        <v>1.022</v>
      </c>
      <c r="AI111">
        <v>6.2</v>
      </c>
      <c r="AJ111">
        <v>2.59</v>
      </c>
      <c r="AK111">
        <v>2.13</v>
      </c>
      <c r="AL111">
        <v>0.14399999999999999</v>
      </c>
      <c r="AM111">
        <v>4.08</v>
      </c>
      <c r="AN111">
        <v>0.48099999999999998</v>
      </c>
      <c r="AO111">
        <v>1.9</v>
      </c>
      <c r="AP111">
        <v>4.21</v>
      </c>
      <c r="AQ111">
        <v>1.0820000000000001</v>
      </c>
      <c r="AR111">
        <v>3.12</v>
      </c>
      <c r="AS111">
        <v>2.11</v>
      </c>
      <c r="AT111">
        <v>0.48799999999999999</v>
      </c>
      <c r="AU111">
        <v>874.65</v>
      </c>
    </row>
    <row r="112" spans="1:47">
      <c r="A112" s="39">
        <v>43714</v>
      </c>
      <c r="B112">
        <v>31.34</v>
      </c>
      <c r="C112">
        <v>12.33</v>
      </c>
      <c r="D112">
        <v>9.8520000000000003</v>
      </c>
      <c r="E112">
        <v>16.670000000000002</v>
      </c>
      <c r="F112">
        <v>9.15</v>
      </c>
      <c r="G112">
        <v>0.81899999999999995</v>
      </c>
      <c r="H112">
        <v>20.9</v>
      </c>
      <c r="I112">
        <v>1.63</v>
      </c>
      <c r="J112">
        <v>2.63</v>
      </c>
      <c r="K112">
        <v>8.5570000000000004</v>
      </c>
      <c r="L112">
        <v>9.98</v>
      </c>
      <c r="M112" s="40">
        <v>18.48</v>
      </c>
      <c r="N112">
        <v>7.6130000000000004</v>
      </c>
      <c r="O112">
        <v>7.82</v>
      </c>
      <c r="P112">
        <v>6.27</v>
      </c>
      <c r="Q112">
        <v>3</v>
      </c>
      <c r="R112">
        <v>3.06</v>
      </c>
      <c r="S112">
        <v>8.44</v>
      </c>
      <c r="T112">
        <v>4.1500000000000004</v>
      </c>
      <c r="U112">
        <v>2.2200000000000002</v>
      </c>
      <c r="V112">
        <v>23.6</v>
      </c>
      <c r="W112">
        <v>7.85</v>
      </c>
      <c r="X112">
        <v>6.3760000000000003</v>
      </c>
      <c r="Y112">
        <v>4.8</v>
      </c>
      <c r="Z112">
        <v>29.4</v>
      </c>
      <c r="AA112">
        <v>5.8</v>
      </c>
      <c r="AB112">
        <v>5.3</v>
      </c>
      <c r="AC112">
        <v>1.45</v>
      </c>
      <c r="AD112">
        <v>1.3979999999999999</v>
      </c>
      <c r="AE112">
        <v>5.3</v>
      </c>
      <c r="AF112">
        <v>2.1949999999999998</v>
      </c>
      <c r="AG112">
        <v>0.45500000000000002</v>
      </c>
      <c r="AH112">
        <v>1.01</v>
      </c>
      <c r="AI112">
        <v>6.1</v>
      </c>
      <c r="AJ112">
        <v>2.5299999999999998</v>
      </c>
      <c r="AK112">
        <v>2.12</v>
      </c>
      <c r="AL112">
        <v>0.14699999999999999</v>
      </c>
      <c r="AM112">
        <v>4.0999999999999996</v>
      </c>
      <c r="AN112">
        <v>0.47</v>
      </c>
      <c r="AO112">
        <v>1.88</v>
      </c>
      <c r="AP112">
        <v>4.21</v>
      </c>
      <c r="AQ112">
        <v>1.0660000000000001</v>
      </c>
      <c r="AR112">
        <v>3.08</v>
      </c>
      <c r="AS112">
        <v>2.09</v>
      </c>
      <c r="AT112">
        <v>0.48</v>
      </c>
      <c r="AU112">
        <v>869.38</v>
      </c>
    </row>
    <row r="113" spans="1:47">
      <c r="A113" s="39">
        <v>43717</v>
      </c>
      <c r="B113">
        <v>30.55</v>
      </c>
      <c r="C113">
        <v>12.27</v>
      </c>
      <c r="D113">
        <v>9.8659999999999997</v>
      </c>
      <c r="E113">
        <v>16.86</v>
      </c>
      <c r="F113">
        <v>9.11</v>
      </c>
      <c r="G113">
        <v>0.80600000000000005</v>
      </c>
      <c r="H113">
        <v>21.06</v>
      </c>
      <c r="I113">
        <v>1.607</v>
      </c>
      <c r="J113">
        <v>2.54</v>
      </c>
      <c r="K113">
        <v>8.3030000000000008</v>
      </c>
      <c r="L113">
        <v>9.91</v>
      </c>
      <c r="M113" s="40">
        <v>18.440000000000001</v>
      </c>
      <c r="N113">
        <v>7.4660000000000002</v>
      </c>
      <c r="O113">
        <v>7.79</v>
      </c>
      <c r="P113">
        <v>6.24</v>
      </c>
      <c r="Q113">
        <v>2.95</v>
      </c>
      <c r="R113">
        <v>2.9</v>
      </c>
      <c r="S113">
        <v>8.14</v>
      </c>
      <c r="T113">
        <v>4.0650000000000004</v>
      </c>
      <c r="U113">
        <v>2.1800000000000002</v>
      </c>
      <c r="V113">
        <v>23.35</v>
      </c>
      <c r="W113">
        <v>7.76</v>
      </c>
      <c r="X113">
        <v>6.4550000000000001</v>
      </c>
      <c r="Y113">
        <v>4.72</v>
      </c>
      <c r="Z113">
        <v>29.1</v>
      </c>
      <c r="AA113">
        <v>5.8</v>
      </c>
      <c r="AB113">
        <v>5.22</v>
      </c>
      <c r="AC113">
        <v>1.454</v>
      </c>
      <c r="AD113">
        <v>1.37</v>
      </c>
      <c r="AE113">
        <v>5.24</v>
      </c>
      <c r="AF113">
        <v>2.1549999999999998</v>
      </c>
      <c r="AG113">
        <v>0.437</v>
      </c>
      <c r="AH113">
        <v>1.012</v>
      </c>
      <c r="AI113">
        <v>6.2</v>
      </c>
      <c r="AJ113">
        <v>2.4900000000000002</v>
      </c>
      <c r="AK113">
        <v>2.11</v>
      </c>
      <c r="AL113">
        <v>0.14000000000000001</v>
      </c>
      <c r="AM113">
        <v>4.09</v>
      </c>
      <c r="AN113">
        <v>0.44</v>
      </c>
      <c r="AO113">
        <v>1.845</v>
      </c>
      <c r="AP113">
        <v>4.12</v>
      </c>
      <c r="AQ113">
        <v>1.02</v>
      </c>
      <c r="AR113">
        <v>3.07</v>
      </c>
      <c r="AS113">
        <v>2.04</v>
      </c>
      <c r="AT113">
        <v>0.47</v>
      </c>
      <c r="AU113">
        <v>858.8</v>
      </c>
    </row>
    <row r="114" spans="1:47">
      <c r="A114" s="39">
        <v>43718</v>
      </c>
      <c r="B114">
        <v>29.83</v>
      </c>
      <c r="C114">
        <v>12.25</v>
      </c>
      <c r="D114">
        <v>9.7919999999999998</v>
      </c>
      <c r="E114">
        <v>16.649999999999999</v>
      </c>
      <c r="F114">
        <v>8.9600000000000009</v>
      </c>
      <c r="G114">
        <v>0.8</v>
      </c>
      <c r="H114">
        <v>20.92</v>
      </c>
      <c r="I114">
        <v>1.629</v>
      </c>
      <c r="J114">
        <v>2.5299999999999998</v>
      </c>
      <c r="K114">
        <v>7.5679999999999996</v>
      </c>
      <c r="L114">
        <v>9.8849999999999998</v>
      </c>
      <c r="M114" s="40">
        <v>18.2</v>
      </c>
      <c r="N114">
        <v>7.0940000000000003</v>
      </c>
      <c r="O114">
        <v>7.65</v>
      </c>
      <c r="P114">
        <v>6.23</v>
      </c>
      <c r="Q114">
        <v>2.94</v>
      </c>
      <c r="R114">
        <v>2.78</v>
      </c>
      <c r="S114">
        <v>8.24</v>
      </c>
      <c r="T114">
        <v>3.96</v>
      </c>
      <c r="U114">
        <v>2.13</v>
      </c>
      <c r="V114">
        <v>23.25</v>
      </c>
      <c r="W114">
        <v>7.76</v>
      </c>
      <c r="X114">
        <v>6.4740000000000002</v>
      </c>
      <c r="Y114">
        <v>4.71</v>
      </c>
      <c r="Z114">
        <v>29.1</v>
      </c>
      <c r="AA114">
        <v>6.34</v>
      </c>
      <c r="AB114">
        <v>5.18</v>
      </c>
      <c r="AC114">
        <v>1.45</v>
      </c>
      <c r="AD114">
        <v>1.3520000000000001</v>
      </c>
      <c r="AE114">
        <v>5.26</v>
      </c>
      <c r="AF114">
        <v>2.0699999999999998</v>
      </c>
      <c r="AG114">
        <v>0.43099999999999999</v>
      </c>
      <c r="AH114">
        <v>1.002</v>
      </c>
      <c r="AI114">
        <v>6.15</v>
      </c>
      <c r="AJ114">
        <v>2.41</v>
      </c>
      <c r="AK114">
        <v>2.08</v>
      </c>
      <c r="AL114">
        <v>0.13700000000000001</v>
      </c>
      <c r="AM114">
        <v>4.0599999999999996</v>
      </c>
      <c r="AN114">
        <v>0.45300000000000001</v>
      </c>
      <c r="AO114">
        <v>1.865</v>
      </c>
      <c r="AP114">
        <v>4.13</v>
      </c>
      <c r="AQ114">
        <v>0.995</v>
      </c>
      <c r="AR114">
        <v>2.97</v>
      </c>
      <c r="AS114">
        <v>1.9950000000000001</v>
      </c>
      <c r="AT114">
        <v>0.46300000000000002</v>
      </c>
      <c r="AU114">
        <v>849.81</v>
      </c>
    </row>
    <row r="115" spans="1:47">
      <c r="A115" s="39">
        <v>43719</v>
      </c>
      <c r="B115">
        <v>30.13</v>
      </c>
      <c r="C115">
        <v>12.35</v>
      </c>
      <c r="D115">
        <v>9.7319999999999993</v>
      </c>
      <c r="E115">
        <v>17.28</v>
      </c>
      <c r="F115">
        <v>8.6</v>
      </c>
      <c r="G115">
        <v>0.82</v>
      </c>
      <c r="H115">
        <v>20.76</v>
      </c>
      <c r="I115">
        <v>1.6679999999999999</v>
      </c>
      <c r="J115">
        <v>2.6</v>
      </c>
      <c r="K115">
        <v>7.5970000000000004</v>
      </c>
      <c r="L115">
        <v>9.8699999999999992</v>
      </c>
      <c r="M115" s="40">
        <v>18.2</v>
      </c>
      <c r="N115">
        <v>7.1029999999999998</v>
      </c>
      <c r="O115">
        <v>7.6</v>
      </c>
      <c r="P115">
        <v>6.23</v>
      </c>
      <c r="Q115">
        <v>3.05</v>
      </c>
      <c r="R115">
        <v>2.83</v>
      </c>
      <c r="S115">
        <v>8.23</v>
      </c>
      <c r="T115">
        <v>4.0250000000000004</v>
      </c>
      <c r="U115">
        <v>2.14</v>
      </c>
      <c r="V115">
        <v>23.3</v>
      </c>
      <c r="W115">
        <v>7.94</v>
      </c>
      <c r="X115">
        <v>6.6310000000000002</v>
      </c>
      <c r="Y115">
        <v>4.74</v>
      </c>
      <c r="Z115">
        <v>29.2</v>
      </c>
      <c r="AA115">
        <v>6.44</v>
      </c>
      <c r="AB115">
        <v>5.39</v>
      </c>
      <c r="AC115">
        <v>1.45</v>
      </c>
      <c r="AD115">
        <v>1.38</v>
      </c>
      <c r="AE115">
        <v>5.28</v>
      </c>
      <c r="AF115">
        <v>2.02</v>
      </c>
      <c r="AG115">
        <v>0.44600000000000001</v>
      </c>
      <c r="AH115">
        <v>1.002</v>
      </c>
      <c r="AI115">
        <v>6.15</v>
      </c>
      <c r="AJ115">
        <v>2.5499999999999998</v>
      </c>
      <c r="AK115">
        <v>2.08</v>
      </c>
      <c r="AL115">
        <v>0.14000000000000001</v>
      </c>
      <c r="AM115">
        <v>4.0599999999999996</v>
      </c>
      <c r="AN115">
        <v>0.46400000000000002</v>
      </c>
      <c r="AO115">
        <v>1.84</v>
      </c>
      <c r="AP115">
        <v>3.9</v>
      </c>
      <c r="AQ115">
        <v>1.018</v>
      </c>
      <c r="AR115">
        <v>3.03</v>
      </c>
      <c r="AS115">
        <v>2.0099999999999998</v>
      </c>
      <c r="AT115">
        <v>0.46100000000000002</v>
      </c>
      <c r="AU115">
        <v>857.3</v>
      </c>
    </row>
    <row r="116" spans="1:47">
      <c r="A116" s="39">
        <v>43720</v>
      </c>
      <c r="B116">
        <v>30.04</v>
      </c>
      <c r="C116">
        <v>12.3</v>
      </c>
      <c r="D116">
        <v>9.6769999999999996</v>
      </c>
      <c r="E116">
        <v>17.12</v>
      </c>
      <c r="F116">
        <v>8.52</v>
      </c>
      <c r="G116">
        <v>0.81499999999999995</v>
      </c>
      <c r="H116">
        <v>20.16</v>
      </c>
      <c r="I116">
        <v>1.647</v>
      </c>
      <c r="J116">
        <v>2.5819999999999999</v>
      </c>
      <c r="K116">
        <v>7.5679999999999996</v>
      </c>
      <c r="L116">
        <v>9.7449999999999992</v>
      </c>
      <c r="M116" s="40">
        <v>18.18</v>
      </c>
      <c r="N116">
        <v>7.0149999999999997</v>
      </c>
      <c r="O116">
        <v>7.6</v>
      </c>
      <c r="P116">
        <v>6.25</v>
      </c>
      <c r="Q116">
        <v>3.02</v>
      </c>
      <c r="R116">
        <v>2.7879999999999998</v>
      </c>
      <c r="S116">
        <v>8.3000000000000007</v>
      </c>
      <c r="T116">
        <v>3.91</v>
      </c>
      <c r="U116">
        <v>2.11</v>
      </c>
      <c r="V116">
        <v>23.2</v>
      </c>
      <c r="W116">
        <v>7.69</v>
      </c>
      <c r="X116">
        <v>6.67</v>
      </c>
      <c r="Y116">
        <v>4.7350000000000003</v>
      </c>
      <c r="Z116">
        <v>29</v>
      </c>
      <c r="AA116">
        <v>6.16</v>
      </c>
      <c r="AB116">
        <v>5.28</v>
      </c>
      <c r="AC116">
        <v>1.45</v>
      </c>
      <c r="AD116">
        <v>1.3740000000000001</v>
      </c>
      <c r="AE116">
        <v>5.24</v>
      </c>
      <c r="AF116">
        <v>2.0299999999999998</v>
      </c>
      <c r="AG116">
        <v>0.436</v>
      </c>
      <c r="AH116">
        <v>0.97399999999999998</v>
      </c>
      <c r="AI116">
        <v>6.05</v>
      </c>
      <c r="AJ116">
        <v>2.46</v>
      </c>
      <c r="AK116">
        <v>2.0699999999999998</v>
      </c>
      <c r="AL116">
        <v>0.13700000000000001</v>
      </c>
      <c r="AM116">
        <v>4</v>
      </c>
      <c r="AN116">
        <v>0.45400000000000001</v>
      </c>
      <c r="AO116">
        <v>1.83</v>
      </c>
      <c r="AP116">
        <v>3.76</v>
      </c>
      <c r="AQ116">
        <v>1.01</v>
      </c>
      <c r="AR116">
        <v>3</v>
      </c>
      <c r="AS116">
        <v>2.11</v>
      </c>
      <c r="AT116">
        <v>0.46800000000000003</v>
      </c>
      <c r="AU116">
        <v>850.55</v>
      </c>
    </row>
    <row r="117" spans="1:47">
      <c r="A117" s="39">
        <v>43721</v>
      </c>
      <c r="B117">
        <v>29.39</v>
      </c>
      <c r="C117">
        <v>12.36</v>
      </c>
      <c r="D117">
        <v>9.7720000000000002</v>
      </c>
      <c r="E117">
        <v>17.41</v>
      </c>
      <c r="F117">
        <v>8.5500000000000007</v>
      </c>
      <c r="G117">
        <v>0.82499999999999996</v>
      </c>
      <c r="H117">
        <v>20.399999999999999</v>
      </c>
      <c r="I117">
        <v>1.66</v>
      </c>
      <c r="J117">
        <v>2.5979999999999999</v>
      </c>
      <c r="K117">
        <v>7.5590000000000002</v>
      </c>
      <c r="L117">
        <v>9.86</v>
      </c>
      <c r="M117" s="40">
        <v>18.38</v>
      </c>
      <c r="N117">
        <v>7.27</v>
      </c>
      <c r="O117">
        <v>7.8</v>
      </c>
      <c r="P117">
        <v>6.32</v>
      </c>
      <c r="Q117">
        <v>3.0960000000000001</v>
      </c>
      <c r="R117">
        <v>2.778</v>
      </c>
      <c r="S117">
        <v>8.15</v>
      </c>
      <c r="T117">
        <v>3.895</v>
      </c>
      <c r="U117">
        <v>2.12</v>
      </c>
      <c r="V117">
        <v>23.15</v>
      </c>
      <c r="W117">
        <v>7.95</v>
      </c>
      <c r="X117">
        <v>6.867</v>
      </c>
      <c r="Y117">
        <v>4.75</v>
      </c>
      <c r="Z117">
        <v>29</v>
      </c>
      <c r="AA117">
        <v>6.88</v>
      </c>
      <c r="AB117">
        <v>5.31</v>
      </c>
      <c r="AC117">
        <v>1.45</v>
      </c>
      <c r="AD117">
        <v>1.41</v>
      </c>
      <c r="AE117">
        <v>5.12</v>
      </c>
      <c r="AF117">
        <v>2.0299999999999998</v>
      </c>
      <c r="AG117">
        <v>0.44</v>
      </c>
      <c r="AH117">
        <v>0.93799999999999994</v>
      </c>
      <c r="AI117">
        <v>6.15</v>
      </c>
      <c r="AJ117">
        <v>2.44</v>
      </c>
      <c r="AK117">
        <v>2.08</v>
      </c>
      <c r="AL117">
        <v>0.14000000000000001</v>
      </c>
      <c r="AM117">
        <v>4.05</v>
      </c>
      <c r="AN117">
        <v>0.44900000000000001</v>
      </c>
      <c r="AO117">
        <v>1.83</v>
      </c>
      <c r="AP117">
        <v>3.81</v>
      </c>
      <c r="AQ117">
        <v>1.03</v>
      </c>
      <c r="AR117">
        <v>3.02</v>
      </c>
      <c r="AS117">
        <v>2.15</v>
      </c>
      <c r="AT117">
        <v>0.48199999999999998</v>
      </c>
      <c r="AU117">
        <v>856.99</v>
      </c>
    </row>
    <row r="118" spans="1:47">
      <c r="A118" s="39">
        <v>43724</v>
      </c>
      <c r="B118">
        <v>29.62</v>
      </c>
      <c r="C118">
        <v>12.58</v>
      </c>
      <c r="D118">
        <v>9.9410000000000007</v>
      </c>
      <c r="E118">
        <v>17.600000000000001</v>
      </c>
      <c r="F118">
        <v>8.57</v>
      </c>
      <c r="G118">
        <v>0.83499999999999996</v>
      </c>
      <c r="H118">
        <v>21.52</v>
      </c>
      <c r="I118">
        <v>1.7190000000000001</v>
      </c>
      <c r="J118">
        <v>2.613</v>
      </c>
      <c r="K118">
        <v>7.625</v>
      </c>
      <c r="L118">
        <v>9.92</v>
      </c>
      <c r="M118" s="40">
        <v>19</v>
      </c>
      <c r="N118">
        <v>7.25</v>
      </c>
      <c r="O118">
        <v>7.85</v>
      </c>
      <c r="P118">
        <v>6.5</v>
      </c>
      <c r="Q118">
        <v>3.1</v>
      </c>
      <c r="R118">
        <v>2.8</v>
      </c>
      <c r="S118">
        <v>8.0399999999999991</v>
      </c>
      <c r="T118">
        <v>3.91</v>
      </c>
      <c r="U118">
        <v>2.105</v>
      </c>
      <c r="V118">
        <v>23.25</v>
      </c>
      <c r="W118">
        <v>7.98</v>
      </c>
      <c r="X118">
        <v>6.984</v>
      </c>
      <c r="Y118">
        <v>4.75</v>
      </c>
      <c r="Z118">
        <v>29.2</v>
      </c>
      <c r="AA118">
        <v>6.96</v>
      </c>
      <c r="AB118">
        <v>5.47</v>
      </c>
      <c r="AC118">
        <v>1.452</v>
      </c>
      <c r="AD118">
        <v>1.39</v>
      </c>
      <c r="AE118">
        <v>5.16</v>
      </c>
      <c r="AF118">
        <v>1.96</v>
      </c>
      <c r="AG118">
        <v>0.45200000000000001</v>
      </c>
      <c r="AH118">
        <v>0.96699999999999997</v>
      </c>
      <c r="AI118">
        <v>6.15</v>
      </c>
      <c r="AJ118">
        <v>2.5299999999999998</v>
      </c>
      <c r="AK118">
        <v>2.09</v>
      </c>
      <c r="AL118">
        <v>0.14299999999999999</v>
      </c>
      <c r="AM118">
        <v>4.08</v>
      </c>
      <c r="AN118">
        <v>0.438</v>
      </c>
      <c r="AO118">
        <v>1.845</v>
      </c>
      <c r="AP118">
        <v>3.84</v>
      </c>
      <c r="AQ118">
        <v>1.02</v>
      </c>
      <c r="AR118">
        <v>3</v>
      </c>
      <c r="AS118">
        <v>2.15</v>
      </c>
      <c r="AT118">
        <v>0.48399999999999999</v>
      </c>
      <c r="AU118">
        <v>867.94</v>
      </c>
    </row>
    <row r="119" spans="1:47">
      <c r="A119" s="39">
        <v>43725</v>
      </c>
      <c r="B119">
        <v>29.51</v>
      </c>
      <c r="C119">
        <v>12.68</v>
      </c>
      <c r="D119">
        <v>9.891</v>
      </c>
      <c r="E119">
        <v>16.97</v>
      </c>
      <c r="F119">
        <v>8.6</v>
      </c>
      <c r="G119">
        <v>0.83</v>
      </c>
      <c r="H119">
        <v>21.52</v>
      </c>
      <c r="I119">
        <v>1.6759999999999999</v>
      </c>
      <c r="J119">
        <v>2.593</v>
      </c>
      <c r="K119">
        <v>7.399</v>
      </c>
      <c r="L119">
        <v>9.8699999999999992</v>
      </c>
      <c r="M119" s="40">
        <v>19.02</v>
      </c>
      <c r="N119">
        <v>7.2110000000000003</v>
      </c>
      <c r="O119">
        <v>7.86</v>
      </c>
      <c r="P119">
        <v>6.47</v>
      </c>
      <c r="Q119">
        <v>3.0739999999999998</v>
      </c>
      <c r="R119">
        <v>2.7759999999999998</v>
      </c>
      <c r="S119">
        <v>7.99</v>
      </c>
      <c r="T119">
        <v>3.94</v>
      </c>
      <c r="U119">
        <v>2.105</v>
      </c>
      <c r="V119">
        <v>23.35</v>
      </c>
      <c r="W119">
        <v>7.86</v>
      </c>
      <c r="X119">
        <v>6.9450000000000003</v>
      </c>
      <c r="Y119">
        <v>4.66</v>
      </c>
      <c r="Z119">
        <v>29</v>
      </c>
      <c r="AA119">
        <v>6.72</v>
      </c>
      <c r="AB119">
        <v>5.33</v>
      </c>
      <c r="AC119">
        <v>1.45</v>
      </c>
      <c r="AD119">
        <v>1.39</v>
      </c>
      <c r="AE119">
        <v>5.14</v>
      </c>
      <c r="AF119">
        <v>1.94</v>
      </c>
      <c r="AG119">
        <v>0.442</v>
      </c>
      <c r="AH119">
        <v>0.96699999999999997</v>
      </c>
      <c r="AI119">
        <v>6.2</v>
      </c>
      <c r="AJ119">
        <v>2.5099999999999998</v>
      </c>
      <c r="AK119">
        <v>2.1</v>
      </c>
      <c r="AL119">
        <v>0.14000000000000001</v>
      </c>
      <c r="AM119">
        <v>4.07</v>
      </c>
      <c r="AN119">
        <v>0.42899999999999999</v>
      </c>
      <c r="AO119">
        <v>1.855</v>
      </c>
      <c r="AP119">
        <v>3.8</v>
      </c>
      <c r="AQ119">
        <v>1.008</v>
      </c>
      <c r="AR119">
        <v>2.9550000000000001</v>
      </c>
      <c r="AS119">
        <v>2.1</v>
      </c>
      <c r="AT119">
        <v>0.47</v>
      </c>
      <c r="AU119">
        <v>861.91</v>
      </c>
    </row>
    <row r="120" spans="1:47">
      <c r="A120" s="39">
        <v>43726</v>
      </c>
      <c r="B120">
        <v>30.15</v>
      </c>
      <c r="C120">
        <v>12.77</v>
      </c>
      <c r="D120">
        <v>9.891</v>
      </c>
      <c r="E120">
        <v>17.22</v>
      </c>
      <c r="F120">
        <v>8.7200000000000006</v>
      </c>
      <c r="G120">
        <v>0.82399999999999995</v>
      </c>
      <c r="H120">
        <v>21.84</v>
      </c>
      <c r="I120">
        <v>1.7190000000000001</v>
      </c>
      <c r="J120">
        <v>2.6320000000000001</v>
      </c>
      <c r="K120">
        <v>7.54</v>
      </c>
      <c r="L120">
        <v>10.1</v>
      </c>
      <c r="M120" s="40">
        <v>19.14</v>
      </c>
      <c r="N120">
        <v>7.3380000000000001</v>
      </c>
      <c r="O120">
        <v>8.08</v>
      </c>
      <c r="P120">
        <v>6.5</v>
      </c>
      <c r="Q120">
        <v>3.08</v>
      </c>
      <c r="R120">
        <v>2.92</v>
      </c>
      <c r="S120">
        <v>8.1300000000000008</v>
      </c>
      <c r="T120">
        <v>3.98</v>
      </c>
      <c r="U120">
        <v>2.13</v>
      </c>
      <c r="V120">
        <v>23.85</v>
      </c>
      <c r="W120">
        <v>8.1199999999999992</v>
      </c>
      <c r="X120">
        <v>7.0430000000000001</v>
      </c>
      <c r="Y120">
        <v>4.7149999999999999</v>
      </c>
      <c r="Z120">
        <v>29.1</v>
      </c>
      <c r="AA120">
        <v>6.78</v>
      </c>
      <c r="AB120">
        <v>5.36</v>
      </c>
      <c r="AC120">
        <v>1.45</v>
      </c>
      <c r="AD120">
        <v>1.4</v>
      </c>
      <c r="AE120">
        <v>5.14</v>
      </c>
      <c r="AF120">
        <v>1.9019999999999999</v>
      </c>
      <c r="AG120">
        <v>0.44500000000000001</v>
      </c>
      <c r="AH120">
        <v>0.97499999999999998</v>
      </c>
      <c r="AI120">
        <v>6.25</v>
      </c>
      <c r="AJ120">
        <v>2.58</v>
      </c>
      <c r="AK120">
        <v>2.11</v>
      </c>
      <c r="AL120">
        <v>0.14199999999999999</v>
      </c>
      <c r="AM120">
        <v>4</v>
      </c>
      <c r="AN120">
        <v>0.42099999999999999</v>
      </c>
      <c r="AO120">
        <v>1.84</v>
      </c>
      <c r="AP120">
        <v>3.8</v>
      </c>
      <c r="AQ120">
        <v>1.01</v>
      </c>
      <c r="AR120">
        <v>3</v>
      </c>
      <c r="AS120">
        <v>2.08</v>
      </c>
      <c r="AT120">
        <v>0.48499999999999999</v>
      </c>
      <c r="AU120">
        <v>872.58</v>
      </c>
    </row>
    <row r="121" spans="1:47">
      <c r="A121" s="39">
        <v>43727</v>
      </c>
      <c r="B121">
        <v>30.31</v>
      </c>
      <c r="C121">
        <v>12.75</v>
      </c>
      <c r="D121">
        <v>9.7970000000000006</v>
      </c>
      <c r="E121">
        <v>17.41</v>
      </c>
      <c r="F121">
        <v>8.73</v>
      </c>
      <c r="G121">
        <v>0.85</v>
      </c>
      <c r="H121">
        <v>21.74</v>
      </c>
      <c r="I121">
        <v>1.7190000000000001</v>
      </c>
      <c r="J121">
        <v>2.6779999999999999</v>
      </c>
      <c r="K121">
        <v>7.2949999999999999</v>
      </c>
      <c r="L121">
        <v>10.01</v>
      </c>
      <c r="M121" s="40">
        <v>19.100000000000001</v>
      </c>
      <c r="N121">
        <v>7.3380000000000001</v>
      </c>
      <c r="O121">
        <v>8.0299999999999994</v>
      </c>
      <c r="P121">
        <v>6.5</v>
      </c>
      <c r="Q121">
        <v>3.0939999999999999</v>
      </c>
      <c r="R121">
        <v>2.8940000000000001</v>
      </c>
      <c r="S121">
        <v>8.11</v>
      </c>
      <c r="T121">
        <v>3.9249999999999998</v>
      </c>
      <c r="U121">
        <v>2.0699999999999998</v>
      </c>
      <c r="V121">
        <v>23.7</v>
      </c>
      <c r="W121">
        <v>8.1300000000000008</v>
      </c>
      <c r="X121">
        <v>7.0430000000000001</v>
      </c>
      <c r="Y121">
        <v>4.8</v>
      </c>
      <c r="Z121">
        <v>29.4</v>
      </c>
      <c r="AA121">
        <v>6.76</v>
      </c>
      <c r="AB121">
        <v>5.41</v>
      </c>
      <c r="AC121">
        <v>1.45</v>
      </c>
      <c r="AD121">
        <v>1.4039999999999999</v>
      </c>
      <c r="AE121">
        <v>5.14</v>
      </c>
      <c r="AF121">
        <v>1.9339999999999999</v>
      </c>
      <c r="AG121">
        <v>0.45300000000000001</v>
      </c>
      <c r="AH121">
        <v>1.01</v>
      </c>
      <c r="AI121">
        <v>6.25</v>
      </c>
      <c r="AJ121">
        <v>2.56</v>
      </c>
      <c r="AK121">
        <v>2.08</v>
      </c>
      <c r="AL121">
        <v>0.14099999999999999</v>
      </c>
      <c r="AM121">
        <v>4.04</v>
      </c>
      <c r="AN121">
        <v>0.43</v>
      </c>
      <c r="AO121">
        <v>1.83</v>
      </c>
      <c r="AP121">
        <v>3.82</v>
      </c>
      <c r="AQ121">
        <v>1.006</v>
      </c>
      <c r="AR121">
        <v>2.96</v>
      </c>
      <c r="AS121">
        <v>2.04</v>
      </c>
      <c r="AT121">
        <v>0.48399999999999999</v>
      </c>
      <c r="AU121">
        <v>873.93</v>
      </c>
    </row>
    <row r="122" spans="1:47">
      <c r="A122" s="39">
        <v>43728</v>
      </c>
      <c r="B122">
        <v>29.94</v>
      </c>
      <c r="C122">
        <v>12.85</v>
      </c>
      <c r="D122">
        <v>9.7420000000000009</v>
      </c>
      <c r="E122">
        <v>17.350000000000001</v>
      </c>
      <c r="F122">
        <v>8.68</v>
      </c>
      <c r="G122">
        <v>0.872</v>
      </c>
      <c r="H122">
        <v>21.86</v>
      </c>
      <c r="I122">
        <v>1.718</v>
      </c>
      <c r="J122">
        <v>2.7650000000000001</v>
      </c>
      <c r="K122">
        <v>7.0979999999999999</v>
      </c>
      <c r="L122">
        <v>10.17</v>
      </c>
      <c r="M122" s="40">
        <v>19.16</v>
      </c>
      <c r="N122">
        <v>7.3479999999999999</v>
      </c>
      <c r="O122">
        <v>8.18</v>
      </c>
      <c r="P122">
        <v>6.51</v>
      </c>
      <c r="Q122">
        <v>3.0139999999999998</v>
      </c>
      <c r="R122">
        <v>2.9060000000000001</v>
      </c>
      <c r="S122">
        <v>8.09</v>
      </c>
      <c r="T122">
        <v>3.93</v>
      </c>
      <c r="U122">
        <v>2.1</v>
      </c>
      <c r="V122">
        <v>23.75</v>
      </c>
      <c r="W122">
        <v>8.1999999999999993</v>
      </c>
      <c r="X122">
        <v>7.0229999999999997</v>
      </c>
      <c r="Y122">
        <v>4.8</v>
      </c>
      <c r="Z122">
        <v>29.2</v>
      </c>
      <c r="AA122">
        <v>6.72</v>
      </c>
      <c r="AB122">
        <v>5.33</v>
      </c>
      <c r="AC122">
        <v>1.45</v>
      </c>
      <c r="AD122">
        <v>1.3839999999999999</v>
      </c>
      <c r="AE122">
        <v>5.14</v>
      </c>
      <c r="AF122">
        <v>1.988</v>
      </c>
      <c r="AG122">
        <v>0.45400000000000001</v>
      </c>
      <c r="AH122">
        <v>1.038</v>
      </c>
      <c r="AI122">
        <v>6.35</v>
      </c>
      <c r="AJ122">
        <v>2.52</v>
      </c>
      <c r="AK122">
        <v>2.0499999999999998</v>
      </c>
      <c r="AL122">
        <v>0.14099999999999999</v>
      </c>
      <c r="AM122">
        <v>4.03</v>
      </c>
      <c r="AN122">
        <v>0.45400000000000001</v>
      </c>
      <c r="AO122">
        <v>1.8149999999999999</v>
      </c>
      <c r="AP122">
        <v>3.83</v>
      </c>
      <c r="AQ122">
        <v>0.99</v>
      </c>
      <c r="AR122">
        <v>2.94</v>
      </c>
      <c r="AS122">
        <v>2.02</v>
      </c>
      <c r="AT122">
        <v>0.48199999999999998</v>
      </c>
      <c r="AU122">
        <v>876.17</v>
      </c>
    </row>
    <row r="123" spans="1:47">
      <c r="A123" s="39">
        <v>43731</v>
      </c>
      <c r="B123">
        <v>29.6</v>
      </c>
      <c r="C123">
        <v>12.73</v>
      </c>
      <c r="D123">
        <v>9.5920000000000005</v>
      </c>
      <c r="E123">
        <v>16.73</v>
      </c>
      <c r="F123">
        <v>8.5399999999999991</v>
      </c>
      <c r="G123">
        <v>0.85</v>
      </c>
      <c r="H123">
        <v>20.98</v>
      </c>
      <c r="I123">
        <v>1.677</v>
      </c>
      <c r="J123">
        <v>2.7120000000000002</v>
      </c>
      <c r="K123">
        <v>7.0510000000000002</v>
      </c>
      <c r="L123">
        <v>10</v>
      </c>
      <c r="M123" s="40">
        <v>18.760000000000002</v>
      </c>
      <c r="N123">
        <v>7.2889999999999997</v>
      </c>
      <c r="O123">
        <v>8.09</v>
      </c>
      <c r="P123">
        <v>6.48</v>
      </c>
      <c r="Q123">
        <v>2.99</v>
      </c>
      <c r="R123">
        <v>2.91</v>
      </c>
      <c r="S123">
        <v>8.17</v>
      </c>
      <c r="T123">
        <v>3.85</v>
      </c>
      <c r="U123">
        <v>2.0750000000000002</v>
      </c>
      <c r="V123">
        <v>23.75</v>
      </c>
      <c r="W123">
        <v>8.1999999999999993</v>
      </c>
      <c r="X123">
        <v>6.867</v>
      </c>
      <c r="Y123">
        <v>4.7350000000000003</v>
      </c>
      <c r="Z123">
        <v>29</v>
      </c>
      <c r="AA123">
        <v>6.66</v>
      </c>
      <c r="AB123">
        <v>5.23</v>
      </c>
      <c r="AC123">
        <v>1.45</v>
      </c>
      <c r="AD123">
        <v>1.37</v>
      </c>
      <c r="AE123">
        <v>5.04</v>
      </c>
      <c r="AF123">
        <v>1.9139999999999999</v>
      </c>
      <c r="AG123">
        <v>0.45</v>
      </c>
      <c r="AH123">
        <v>1.06</v>
      </c>
      <c r="AI123">
        <v>6.35</v>
      </c>
      <c r="AJ123">
        <v>2.5</v>
      </c>
      <c r="AK123">
        <v>2.11</v>
      </c>
      <c r="AL123">
        <v>0.13700000000000001</v>
      </c>
      <c r="AM123">
        <v>4.0599999999999996</v>
      </c>
      <c r="AN123">
        <v>0.46300000000000002</v>
      </c>
      <c r="AO123">
        <v>1.84</v>
      </c>
      <c r="AP123">
        <v>3.76</v>
      </c>
      <c r="AQ123">
        <v>0.98699999999999999</v>
      </c>
      <c r="AR123">
        <v>2.94</v>
      </c>
      <c r="AS123">
        <v>1.9850000000000001</v>
      </c>
      <c r="AT123">
        <v>0.48</v>
      </c>
      <c r="AU123">
        <v>862.59</v>
      </c>
    </row>
    <row r="124" spans="1:47">
      <c r="A124" s="39">
        <v>43732</v>
      </c>
      <c r="B124">
        <v>29.7</v>
      </c>
      <c r="C124">
        <v>12.81</v>
      </c>
      <c r="D124">
        <v>9.5719999999999992</v>
      </c>
      <c r="E124">
        <v>16.73</v>
      </c>
      <c r="F124">
        <v>8.43</v>
      </c>
      <c r="G124">
        <v>0.875</v>
      </c>
      <c r="H124">
        <v>20.92</v>
      </c>
      <c r="I124">
        <v>1.6970000000000001</v>
      </c>
      <c r="J124">
        <v>2.8</v>
      </c>
      <c r="K124">
        <v>7.1070000000000002</v>
      </c>
      <c r="L124">
        <v>9.99</v>
      </c>
      <c r="M124" s="40">
        <v>18.8</v>
      </c>
      <c r="N124">
        <v>7.28</v>
      </c>
      <c r="O124">
        <v>8.17</v>
      </c>
      <c r="P124">
        <v>6.55</v>
      </c>
      <c r="Q124">
        <v>3.036</v>
      </c>
      <c r="R124">
        <v>2.91</v>
      </c>
      <c r="S124">
        <v>8.1</v>
      </c>
      <c r="T124">
        <v>3.92</v>
      </c>
      <c r="U124">
        <v>2.1</v>
      </c>
      <c r="V124">
        <v>23.75</v>
      </c>
      <c r="W124">
        <v>8</v>
      </c>
      <c r="X124">
        <v>6.9649999999999999</v>
      </c>
      <c r="Y124">
        <v>4.75</v>
      </c>
      <c r="Z124">
        <v>29</v>
      </c>
      <c r="AA124">
        <v>6.68</v>
      </c>
      <c r="AB124">
        <v>5.39</v>
      </c>
      <c r="AC124">
        <v>1.45</v>
      </c>
      <c r="AD124">
        <v>1.3859999999999999</v>
      </c>
      <c r="AE124">
        <v>5.0199999999999996</v>
      </c>
      <c r="AF124">
        <v>1.92</v>
      </c>
      <c r="AG124">
        <v>0.45</v>
      </c>
      <c r="AH124">
        <v>1.08</v>
      </c>
      <c r="AI124">
        <v>6.35</v>
      </c>
      <c r="AJ124">
        <v>2.4900000000000002</v>
      </c>
      <c r="AK124">
        <v>2.09</v>
      </c>
      <c r="AL124">
        <v>0.13400000000000001</v>
      </c>
      <c r="AM124">
        <v>4.0599999999999996</v>
      </c>
      <c r="AN124">
        <v>0.45700000000000002</v>
      </c>
      <c r="AO124">
        <v>1.82</v>
      </c>
      <c r="AP124">
        <v>3.76</v>
      </c>
      <c r="AQ124">
        <v>0.99</v>
      </c>
      <c r="AR124">
        <v>2.94</v>
      </c>
      <c r="AS124">
        <v>1.9750000000000001</v>
      </c>
      <c r="AT124">
        <v>0.47799999999999998</v>
      </c>
      <c r="AU124">
        <v>868.01</v>
      </c>
    </row>
    <row r="125" spans="1:47">
      <c r="A125" s="39">
        <v>43733</v>
      </c>
      <c r="B125">
        <v>29.4</v>
      </c>
      <c r="C125">
        <v>12.7</v>
      </c>
      <c r="D125">
        <v>9.5969999999999995</v>
      </c>
      <c r="E125">
        <v>16.68</v>
      </c>
      <c r="F125">
        <v>8.3000000000000007</v>
      </c>
      <c r="G125">
        <v>0.86799999999999999</v>
      </c>
      <c r="H125">
        <v>21.08</v>
      </c>
      <c r="I125">
        <v>1.68</v>
      </c>
      <c r="J125">
        <v>2.7480000000000002</v>
      </c>
      <c r="K125">
        <v>7.0220000000000002</v>
      </c>
      <c r="L125">
        <v>9.76</v>
      </c>
      <c r="M125" s="40">
        <v>19</v>
      </c>
      <c r="N125">
        <v>7.0640000000000001</v>
      </c>
      <c r="O125">
        <v>8.09</v>
      </c>
      <c r="P125">
        <v>6.5</v>
      </c>
      <c r="Q125">
        <v>3.02</v>
      </c>
      <c r="R125">
        <v>3.0640000000000001</v>
      </c>
      <c r="S125">
        <v>8.0399999999999991</v>
      </c>
      <c r="T125">
        <v>3.85</v>
      </c>
      <c r="U125">
        <v>2.0950000000000002</v>
      </c>
      <c r="V125">
        <v>23.95</v>
      </c>
      <c r="W125">
        <v>8.01</v>
      </c>
      <c r="X125">
        <v>6.9649999999999999</v>
      </c>
      <c r="Y125">
        <v>4.6500000000000004</v>
      </c>
      <c r="Z125">
        <v>28.8</v>
      </c>
      <c r="AA125">
        <v>6.6</v>
      </c>
      <c r="AB125">
        <v>5.33</v>
      </c>
      <c r="AC125">
        <v>1.45</v>
      </c>
      <c r="AD125">
        <v>1.35</v>
      </c>
      <c r="AE125">
        <v>4.99</v>
      </c>
      <c r="AF125">
        <v>1.85</v>
      </c>
      <c r="AG125">
        <v>0.438</v>
      </c>
      <c r="AH125">
        <v>1.0660000000000001</v>
      </c>
      <c r="AI125">
        <v>6.2</v>
      </c>
      <c r="AJ125">
        <v>2.44</v>
      </c>
      <c r="AK125">
        <v>2.1</v>
      </c>
      <c r="AL125">
        <v>0.13200000000000001</v>
      </c>
      <c r="AM125">
        <v>4.03</v>
      </c>
      <c r="AN125">
        <v>0.441</v>
      </c>
      <c r="AO125">
        <v>1.79</v>
      </c>
      <c r="AP125">
        <v>3.66</v>
      </c>
      <c r="AQ125">
        <v>0.97499999999999998</v>
      </c>
      <c r="AR125">
        <v>2.9</v>
      </c>
      <c r="AS125">
        <v>1.94</v>
      </c>
      <c r="AT125">
        <v>0.47</v>
      </c>
      <c r="AU125">
        <v>862.09</v>
      </c>
    </row>
    <row r="126" spans="1:47">
      <c r="A126" s="39">
        <v>43734</v>
      </c>
      <c r="B126">
        <v>29.68</v>
      </c>
      <c r="C126">
        <v>12.8</v>
      </c>
      <c r="D126">
        <v>9.6319999999999997</v>
      </c>
      <c r="E126">
        <v>16.89</v>
      </c>
      <c r="F126">
        <v>8.3000000000000007</v>
      </c>
      <c r="G126">
        <v>0.88</v>
      </c>
      <c r="H126">
        <v>20.9</v>
      </c>
      <c r="I126">
        <v>1.69</v>
      </c>
      <c r="J126">
        <v>2.77</v>
      </c>
      <c r="K126">
        <v>7.1070000000000002</v>
      </c>
      <c r="L126">
        <v>9.81</v>
      </c>
      <c r="M126" s="40">
        <v>19.079999999999998</v>
      </c>
      <c r="N126">
        <v>7.2309999999999999</v>
      </c>
      <c r="O126">
        <v>7.8</v>
      </c>
      <c r="P126">
        <v>6.5</v>
      </c>
      <c r="Q126">
        <v>3.01</v>
      </c>
      <c r="R126">
        <v>3.1280000000000001</v>
      </c>
      <c r="S126">
        <v>8.0399999999999991</v>
      </c>
      <c r="T126">
        <v>3.8849999999999998</v>
      </c>
      <c r="U126">
        <v>2.0699999999999998</v>
      </c>
      <c r="V126">
        <v>24.15</v>
      </c>
      <c r="W126">
        <v>8.0399999999999991</v>
      </c>
      <c r="X126">
        <v>6.9059999999999997</v>
      </c>
      <c r="Y126">
        <v>4.7300000000000004</v>
      </c>
      <c r="Z126">
        <v>28.8</v>
      </c>
      <c r="AA126">
        <v>6.64</v>
      </c>
      <c r="AB126">
        <v>5.3</v>
      </c>
      <c r="AC126">
        <v>1.45</v>
      </c>
      <c r="AD126">
        <v>1.36</v>
      </c>
      <c r="AE126">
        <v>4.95</v>
      </c>
      <c r="AF126">
        <v>1.87</v>
      </c>
      <c r="AG126">
        <v>0.44</v>
      </c>
      <c r="AH126">
        <v>1.0780000000000001</v>
      </c>
      <c r="AI126">
        <v>6.3</v>
      </c>
      <c r="AJ126">
        <v>2.4500000000000002</v>
      </c>
      <c r="AK126">
        <v>2.11</v>
      </c>
      <c r="AL126">
        <v>0.13400000000000001</v>
      </c>
      <c r="AM126">
        <v>4.05</v>
      </c>
      <c r="AN126">
        <v>0.435</v>
      </c>
      <c r="AO126">
        <v>1.77</v>
      </c>
      <c r="AP126">
        <v>3.7</v>
      </c>
      <c r="AQ126">
        <v>0.995</v>
      </c>
      <c r="AR126">
        <v>2.93</v>
      </c>
      <c r="AS126">
        <v>1.94</v>
      </c>
      <c r="AT126">
        <v>0.46800000000000003</v>
      </c>
      <c r="AU126">
        <v>866.18</v>
      </c>
    </row>
    <row r="127" spans="1:47">
      <c r="A127" s="39">
        <v>43735</v>
      </c>
      <c r="B127">
        <v>30.1</v>
      </c>
      <c r="C127">
        <v>12.81</v>
      </c>
      <c r="D127">
        <v>9.4920000000000009</v>
      </c>
      <c r="E127">
        <v>17.239999999999998</v>
      </c>
      <c r="F127">
        <v>8.4</v>
      </c>
      <c r="G127">
        <v>0.88900000000000001</v>
      </c>
      <c r="H127">
        <v>21.28</v>
      </c>
      <c r="I127">
        <v>1.71</v>
      </c>
      <c r="J127">
        <v>2.7879999999999998</v>
      </c>
      <c r="K127">
        <v>7.2290000000000001</v>
      </c>
      <c r="L127">
        <v>9.6649999999999991</v>
      </c>
      <c r="M127" s="40">
        <v>18.8</v>
      </c>
      <c r="N127">
        <v>7.319</v>
      </c>
      <c r="O127">
        <v>7.8</v>
      </c>
      <c r="P127">
        <v>6.63</v>
      </c>
      <c r="Q127">
        <v>3.05</v>
      </c>
      <c r="R127">
        <v>3.222</v>
      </c>
      <c r="S127">
        <v>8.1</v>
      </c>
      <c r="T127">
        <v>3.68</v>
      </c>
      <c r="U127">
        <v>2.085</v>
      </c>
      <c r="V127">
        <v>23.95</v>
      </c>
      <c r="W127">
        <v>8.08</v>
      </c>
      <c r="X127">
        <v>6.984</v>
      </c>
      <c r="Y127">
        <v>4.71</v>
      </c>
      <c r="Z127">
        <v>28.6</v>
      </c>
      <c r="AA127">
        <v>6.66</v>
      </c>
      <c r="AB127">
        <v>5.42</v>
      </c>
      <c r="AC127">
        <v>1.45</v>
      </c>
      <c r="AD127">
        <v>1.3680000000000001</v>
      </c>
      <c r="AE127">
        <v>4.97</v>
      </c>
      <c r="AF127">
        <v>1.8740000000000001</v>
      </c>
      <c r="AG127">
        <v>0.441</v>
      </c>
      <c r="AH127">
        <v>1.0620000000000001</v>
      </c>
      <c r="AI127">
        <v>6.2</v>
      </c>
      <c r="AJ127">
        <v>2.4900000000000002</v>
      </c>
      <c r="AK127">
        <v>2.14</v>
      </c>
      <c r="AL127">
        <v>0.13400000000000001</v>
      </c>
      <c r="AM127">
        <v>4.03</v>
      </c>
      <c r="AN127">
        <v>0.41699999999999998</v>
      </c>
      <c r="AO127">
        <v>1.79</v>
      </c>
      <c r="AP127">
        <v>3.73</v>
      </c>
      <c r="AQ127">
        <v>0.96</v>
      </c>
      <c r="AR127">
        <v>2.895</v>
      </c>
      <c r="AS127">
        <v>1.95</v>
      </c>
      <c r="AT127">
        <v>0.45600000000000002</v>
      </c>
      <c r="AU127">
        <v>870.35</v>
      </c>
    </row>
    <row r="128" spans="1:47">
      <c r="A128" s="39">
        <v>43738</v>
      </c>
      <c r="B128">
        <v>29.87</v>
      </c>
      <c r="C128">
        <v>12.64</v>
      </c>
      <c r="D128">
        <v>9.4269999999999996</v>
      </c>
      <c r="E128">
        <v>17.41</v>
      </c>
      <c r="F128">
        <v>8.36</v>
      </c>
      <c r="G128">
        <v>0.88800000000000001</v>
      </c>
      <c r="H128">
        <v>21.42</v>
      </c>
      <c r="I128">
        <v>1.7130000000000001</v>
      </c>
      <c r="J128">
        <v>2.7930000000000001</v>
      </c>
      <c r="K128">
        <v>7.3419999999999996</v>
      </c>
      <c r="L128">
        <v>9.5749999999999993</v>
      </c>
      <c r="M128" s="40">
        <v>19.100000000000001</v>
      </c>
      <c r="N128">
        <v>7.27</v>
      </c>
      <c r="O128">
        <v>7.98</v>
      </c>
      <c r="P128">
        <v>6.66</v>
      </c>
      <c r="Q128">
        <v>3.08</v>
      </c>
      <c r="R128">
        <v>3.14</v>
      </c>
      <c r="S128">
        <v>8.1</v>
      </c>
      <c r="T128">
        <v>3.7</v>
      </c>
      <c r="U128">
        <v>2.08</v>
      </c>
      <c r="V128">
        <v>23.55</v>
      </c>
      <c r="W128">
        <v>8.1</v>
      </c>
      <c r="X128">
        <v>7.0229999999999997</v>
      </c>
      <c r="Y128">
        <v>4.6100000000000003</v>
      </c>
      <c r="Z128">
        <v>28.6</v>
      </c>
      <c r="AA128">
        <v>6.82</v>
      </c>
      <c r="AB128">
        <v>5.51</v>
      </c>
      <c r="AC128">
        <v>1.45</v>
      </c>
      <c r="AD128">
        <v>1.3520000000000001</v>
      </c>
      <c r="AE128">
        <v>5</v>
      </c>
      <c r="AF128">
        <v>1.83</v>
      </c>
      <c r="AG128">
        <v>0.432</v>
      </c>
      <c r="AH128">
        <v>1.05</v>
      </c>
      <c r="AI128">
        <v>6.2</v>
      </c>
      <c r="AJ128">
        <v>2.2200000000000002</v>
      </c>
      <c r="AK128">
        <v>2.14</v>
      </c>
      <c r="AL128">
        <v>0.13100000000000001</v>
      </c>
      <c r="AM128">
        <v>4.04</v>
      </c>
      <c r="AN128">
        <v>0.42299999999999999</v>
      </c>
      <c r="AO128">
        <v>1.73</v>
      </c>
      <c r="AP128">
        <v>3.7</v>
      </c>
      <c r="AQ128">
        <v>0.90600000000000003</v>
      </c>
      <c r="AR128">
        <v>2.82</v>
      </c>
      <c r="AS128">
        <v>1.83</v>
      </c>
      <c r="AT128">
        <v>0.38</v>
      </c>
      <c r="AU128">
        <v>868.42</v>
      </c>
    </row>
    <row r="129" spans="1:47">
      <c r="A129" s="39">
        <v>43739</v>
      </c>
      <c r="B129">
        <v>29.71</v>
      </c>
      <c r="C129">
        <v>12.75</v>
      </c>
      <c r="D129">
        <v>9.2769999999999992</v>
      </c>
      <c r="E129">
        <v>16.829999999999998</v>
      </c>
      <c r="F129">
        <v>8.2799999999999994</v>
      </c>
      <c r="G129">
        <v>0.88</v>
      </c>
      <c r="H129">
        <v>20.98</v>
      </c>
      <c r="I129">
        <v>1.72</v>
      </c>
      <c r="J129">
        <v>2.76</v>
      </c>
      <c r="K129">
        <v>7.3239999999999998</v>
      </c>
      <c r="L129">
        <v>9.48</v>
      </c>
      <c r="M129" s="40">
        <v>18.739999999999998</v>
      </c>
      <c r="N129">
        <v>7.1820000000000004</v>
      </c>
      <c r="O129">
        <v>7.83</v>
      </c>
      <c r="P129">
        <v>6.65</v>
      </c>
      <c r="Q129">
        <v>2.9780000000000002</v>
      </c>
      <c r="R129">
        <v>3.1480000000000001</v>
      </c>
      <c r="S129">
        <v>7.99</v>
      </c>
      <c r="T129">
        <v>3.61</v>
      </c>
      <c r="U129">
        <v>2.12</v>
      </c>
      <c r="V129">
        <v>23.8</v>
      </c>
      <c r="W129">
        <v>8.19</v>
      </c>
      <c r="X129">
        <v>7.2389999999999999</v>
      </c>
      <c r="Y129">
        <v>4.5599999999999996</v>
      </c>
      <c r="Z129">
        <v>27.8</v>
      </c>
      <c r="AA129">
        <v>6.92</v>
      </c>
      <c r="AB129">
        <v>5.55</v>
      </c>
      <c r="AC129">
        <v>1.454</v>
      </c>
      <c r="AD129">
        <v>1.3520000000000001</v>
      </c>
      <c r="AE129">
        <v>4.99</v>
      </c>
      <c r="AF129">
        <v>1.8660000000000001</v>
      </c>
      <c r="AG129">
        <v>0.42699999999999999</v>
      </c>
      <c r="AH129">
        <v>1.044</v>
      </c>
      <c r="AI129">
        <v>6.2</v>
      </c>
      <c r="AJ129">
        <v>2.17</v>
      </c>
      <c r="AK129">
        <v>2.09</v>
      </c>
      <c r="AL129">
        <v>0.123</v>
      </c>
      <c r="AM129">
        <v>3.98</v>
      </c>
      <c r="AN129">
        <v>0.434</v>
      </c>
      <c r="AO129">
        <v>1.7</v>
      </c>
      <c r="AP129">
        <v>3.64</v>
      </c>
      <c r="AQ129">
        <v>0.92500000000000004</v>
      </c>
      <c r="AR129">
        <v>2.85</v>
      </c>
      <c r="AS129">
        <v>1.82</v>
      </c>
      <c r="AT129">
        <v>0.41</v>
      </c>
      <c r="AU129">
        <v>861.5</v>
      </c>
    </row>
    <row r="130" spans="1:47">
      <c r="A130" s="39">
        <v>43740</v>
      </c>
      <c r="B130">
        <v>29.16</v>
      </c>
      <c r="C130">
        <v>12.75</v>
      </c>
      <c r="D130">
        <v>9.2420000000000009</v>
      </c>
      <c r="E130">
        <v>15.84</v>
      </c>
      <c r="F130">
        <v>8.11</v>
      </c>
      <c r="G130">
        <v>0.84599999999999997</v>
      </c>
      <c r="H130">
        <v>20.239999999999998</v>
      </c>
      <c r="I130">
        <v>1.605</v>
      </c>
      <c r="J130">
        <v>2.56</v>
      </c>
      <c r="K130">
        <v>7.0789999999999997</v>
      </c>
      <c r="L130">
        <v>9.1999999999999993</v>
      </c>
      <c r="M130" s="40">
        <v>18.559999999999999</v>
      </c>
      <c r="N130">
        <v>7.0839999999999996</v>
      </c>
      <c r="O130">
        <v>7.76</v>
      </c>
      <c r="P130">
        <v>6.58</v>
      </c>
      <c r="Q130">
        <v>2.7959999999999998</v>
      </c>
      <c r="R130">
        <v>2.964</v>
      </c>
      <c r="S130">
        <v>8</v>
      </c>
      <c r="T130">
        <v>3.48</v>
      </c>
      <c r="U130">
        <v>2.06</v>
      </c>
      <c r="V130">
        <v>22.9</v>
      </c>
      <c r="W130">
        <v>8</v>
      </c>
      <c r="X130">
        <v>7.18</v>
      </c>
      <c r="Y130">
        <v>4.3499999999999996</v>
      </c>
      <c r="Z130">
        <v>26.9</v>
      </c>
      <c r="AA130">
        <v>6.86</v>
      </c>
      <c r="AB130">
        <v>5.3</v>
      </c>
      <c r="AC130">
        <v>1.42</v>
      </c>
      <c r="AD130">
        <v>1.286</v>
      </c>
      <c r="AE130">
        <v>4.8899999999999997</v>
      </c>
      <c r="AF130">
        <v>1.788</v>
      </c>
      <c r="AG130">
        <v>0.38500000000000001</v>
      </c>
      <c r="AH130">
        <v>1.012</v>
      </c>
      <c r="AI130">
        <v>6.2</v>
      </c>
      <c r="AJ130">
        <v>2.11</v>
      </c>
      <c r="AK130">
        <v>2.02</v>
      </c>
      <c r="AL130">
        <v>0.111</v>
      </c>
      <c r="AM130">
        <v>3.92</v>
      </c>
      <c r="AN130">
        <v>0.42799999999999999</v>
      </c>
      <c r="AO130">
        <v>1.67</v>
      </c>
      <c r="AP130">
        <v>3.42</v>
      </c>
      <c r="AQ130">
        <v>0.89300000000000002</v>
      </c>
      <c r="AR130">
        <v>2.68</v>
      </c>
      <c r="AS130">
        <v>1.74</v>
      </c>
      <c r="AT130">
        <v>0.4</v>
      </c>
      <c r="AU130">
        <v>835.55</v>
      </c>
    </row>
    <row r="131" spans="1:47">
      <c r="A131" s="39">
        <v>43741</v>
      </c>
      <c r="B131">
        <v>28.76</v>
      </c>
      <c r="C131">
        <v>12.7</v>
      </c>
      <c r="D131">
        <v>9.1920000000000002</v>
      </c>
      <c r="E131">
        <v>15.58</v>
      </c>
      <c r="F131">
        <v>8.1</v>
      </c>
      <c r="G131">
        <v>0.83</v>
      </c>
      <c r="H131">
        <v>20.14</v>
      </c>
      <c r="I131">
        <v>1.544</v>
      </c>
      <c r="J131">
        <v>2.4260000000000002</v>
      </c>
      <c r="K131">
        <v>6.9939999999999998</v>
      </c>
      <c r="L131">
        <v>9.23</v>
      </c>
      <c r="M131" s="40">
        <v>18.28</v>
      </c>
      <c r="N131">
        <v>6.8579999999999997</v>
      </c>
      <c r="O131">
        <v>7.66</v>
      </c>
      <c r="P131">
        <v>6.48</v>
      </c>
      <c r="Q131">
        <v>2.7</v>
      </c>
      <c r="R131">
        <v>2.8620000000000001</v>
      </c>
      <c r="S131">
        <v>7.86</v>
      </c>
      <c r="T131">
        <v>3.4</v>
      </c>
      <c r="U131">
        <v>2.06</v>
      </c>
      <c r="V131">
        <v>22.5</v>
      </c>
      <c r="W131">
        <v>8.01</v>
      </c>
      <c r="X131">
        <v>7.0430000000000001</v>
      </c>
      <c r="Y131">
        <v>4.4400000000000004</v>
      </c>
      <c r="Z131">
        <v>26.5</v>
      </c>
      <c r="AA131">
        <v>6.72</v>
      </c>
      <c r="AB131">
        <v>5.22</v>
      </c>
      <c r="AC131">
        <v>1.4279999999999999</v>
      </c>
      <c r="AD131">
        <v>1.264</v>
      </c>
      <c r="AE131">
        <v>4.82</v>
      </c>
      <c r="AF131">
        <v>1.74</v>
      </c>
      <c r="AG131">
        <v>0.39</v>
      </c>
      <c r="AH131">
        <v>0.997</v>
      </c>
      <c r="AI131">
        <v>6.15</v>
      </c>
      <c r="AJ131">
        <v>2.12</v>
      </c>
      <c r="AK131">
        <v>2</v>
      </c>
      <c r="AL131">
        <v>0.108</v>
      </c>
      <c r="AM131">
        <v>3.89</v>
      </c>
      <c r="AN131">
        <v>0.41599999999999998</v>
      </c>
      <c r="AO131">
        <v>1.69</v>
      </c>
      <c r="AP131">
        <v>3.2</v>
      </c>
      <c r="AQ131">
        <v>0.88</v>
      </c>
      <c r="AR131">
        <v>2.61</v>
      </c>
      <c r="AS131">
        <v>1.7</v>
      </c>
      <c r="AT131">
        <v>0.38700000000000001</v>
      </c>
      <c r="AU131">
        <v>822.8</v>
      </c>
    </row>
    <row r="132" spans="1:47">
      <c r="A132" s="39">
        <v>43742</v>
      </c>
      <c r="B132">
        <v>29.13</v>
      </c>
      <c r="C132">
        <v>12.75</v>
      </c>
      <c r="D132">
        <v>9.2469999999999999</v>
      </c>
      <c r="E132">
        <v>15.57</v>
      </c>
      <c r="F132">
        <v>8.06</v>
      </c>
      <c r="G132">
        <v>0.82799999999999996</v>
      </c>
      <c r="H132">
        <v>20.38</v>
      </c>
      <c r="I132">
        <v>1.544</v>
      </c>
      <c r="J132">
        <v>2.42</v>
      </c>
      <c r="K132">
        <v>7.0880000000000001</v>
      </c>
      <c r="L132">
        <v>9.35</v>
      </c>
      <c r="M132" s="40">
        <v>18.079999999999998</v>
      </c>
      <c r="N132">
        <v>6.9470000000000001</v>
      </c>
      <c r="O132">
        <v>7.51</v>
      </c>
      <c r="P132">
        <v>6.45</v>
      </c>
      <c r="Q132">
        <v>2.68</v>
      </c>
      <c r="R132">
        <v>2.89</v>
      </c>
      <c r="S132">
        <v>7.83</v>
      </c>
      <c r="T132">
        <v>3.4649999999999999</v>
      </c>
      <c r="U132">
        <v>2.0499999999999998</v>
      </c>
      <c r="V132">
        <v>22.45</v>
      </c>
      <c r="W132">
        <v>7.82</v>
      </c>
      <c r="X132">
        <v>7.0430000000000001</v>
      </c>
      <c r="Y132">
        <v>4.45</v>
      </c>
      <c r="Z132">
        <v>25.8</v>
      </c>
      <c r="AA132">
        <v>6.86</v>
      </c>
      <c r="AB132">
        <v>5.25</v>
      </c>
      <c r="AC132">
        <v>1.4279999999999999</v>
      </c>
      <c r="AD132">
        <v>1.286</v>
      </c>
      <c r="AE132">
        <v>4.78</v>
      </c>
      <c r="AF132">
        <v>1.77</v>
      </c>
      <c r="AG132">
        <v>0.40300000000000002</v>
      </c>
      <c r="AH132">
        <v>0.93600000000000005</v>
      </c>
      <c r="AI132">
        <v>6.2</v>
      </c>
      <c r="AJ132">
        <v>2.17</v>
      </c>
      <c r="AK132">
        <v>2</v>
      </c>
      <c r="AL132">
        <v>0.11</v>
      </c>
      <c r="AM132">
        <v>3.96</v>
      </c>
      <c r="AN132">
        <v>0.40899999999999997</v>
      </c>
      <c r="AO132">
        <v>1.7</v>
      </c>
      <c r="AP132">
        <v>3.51</v>
      </c>
      <c r="AQ132">
        <v>0.88500000000000001</v>
      </c>
      <c r="AR132">
        <v>2.65</v>
      </c>
      <c r="AS132">
        <v>1.7</v>
      </c>
      <c r="AT132">
        <v>0.39</v>
      </c>
      <c r="AU132">
        <v>824.29</v>
      </c>
    </row>
    <row r="133" spans="1:47">
      <c r="A133" s="39">
        <v>43745</v>
      </c>
      <c r="B133">
        <v>28.87</v>
      </c>
      <c r="C133">
        <v>12.75</v>
      </c>
      <c r="D133">
        <v>9.5020000000000007</v>
      </c>
      <c r="E133">
        <v>15.88</v>
      </c>
      <c r="F133">
        <v>8.14</v>
      </c>
      <c r="G133">
        <v>0.83299999999999996</v>
      </c>
      <c r="H133">
        <v>21.1</v>
      </c>
      <c r="I133">
        <v>1.5649999999999999</v>
      </c>
      <c r="J133">
        <v>2.4540000000000002</v>
      </c>
      <c r="K133">
        <v>7.06</v>
      </c>
      <c r="L133">
        <v>9.5050000000000008</v>
      </c>
      <c r="M133" s="40">
        <v>18.02</v>
      </c>
      <c r="N133">
        <v>6.9370000000000003</v>
      </c>
      <c r="O133">
        <v>7.5</v>
      </c>
      <c r="P133">
        <v>6.45</v>
      </c>
      <c r="Q133">
        <v>2.72</v>
      </c>
      <c r="R133">
        <v>2.952</v>
      </c>
      <c r="S133">
        <v>7.85</v>
      </c>
      <c r="T133">
        <v>3.53</v>
      </c>
      <c r="U133">
        <v>2.0499999999999998</v>
      </c>
      <c r="V133">
        <v>22.5</v>
      </c>
      <c r="W133">
        <v>7.85</v>
      </c>
      <c r="X133">
        <v>7.0430000000000001</v>
      </c>
      <c r="Y133">
        <v>4.3600000000000003</v>
      </c>
      <c r="Z133">
        <v>26.4</v>
      </c>
      <c r="AA133">
        <v>7.1</v>
      </c>
      <c r="AB133">
        <v>5.25</v>
      </c>
      <c r="AC133">
        <v>1.4259999999999999</v>
      </c>
      <c r="AD133">
        <v>1.294</v>
      </c>
      <c r="AE133">
        <v>4.79</v>
      </c>
      <c r="AF133">
        <v>1.694</v>
      </c>
      <c r="AG133">
        <v>0.39500000000000002</v>
      </c>
      <c r="AH133">
        <v>0.94099999999999995</v>
      </c>
      <c r="AI133">
        <v>6.25</v>
      </c>
      <c r="AJ133">
        <v>2.25</v>
      </c>
      <c r="AK133">
        <v>2.02</v>
      </c>
      <c r="AL133">
        <v>0.107</v>
      </c>
      <c r="AM133">
        <v>3.88</v>
      </c>
      <c r="AN133">
        <v>0.41399999999999998</v>
      </c>
      <c r="AO133">
        <v>1.7</v>
      </c>
      <c r="AP133">
        <v>3.57</v>
      </c>
      <c r="AQ133">
        <v>0.88900000000000001</v>
      </c>
      <c r="AR133">
        <v>2.6349999999999998</v>
      </c>
      <c r="AS133">
        <v>1.65</v>
      </c>
      <c r="AT133">
        <v>0.372</v>
      </c>
      <c r="AU133">
        <v>829.52</v>
      </c>
    </row>
    <row r="134" spans="1:47">
      <c r="A134" s="39">
        <v>43746</v>
      </c>
      <c r="B134">
        <v>28.78</v>
      </c>
      <c r="C134">
        <v>12.92</v>
      </c>
      <c r="D134">
        <v>9.4019999999999992</v>
      </c>
      <c r="E134">
        <v>16.22</v>
      </c>
      <c r="F134">
        <v>8.0500000000000007</v>
      </c>
      <c r="G134">
        <v>0.83</v>
      </c>
      <c r="H134">
        <v>21.3</v>
      </c>
      <c r="I134">
        <v>1.5189999999999999</v>
      </c>
      <c r="J134">
        <v>2.4</v>
      </c>
      <c r="K134">
        <v>6.9850000000000003</v>
      </c>
      <c r="L134">
        <v>9.44</v>
      </c>
      <c r="M134" s="40">
        <v>18.02</v>
      </c>
      <c r="N134">
        <v>6.8579999999999997</v>
      </c>
      <c r="O134">
        <v>7.56</v>
      </c>
      <c r="P134">
        <v>6.43</v>
      </c>
      <c r="Q134">
        <v>2.6280000000000001</v>
      </c>
      <c r="R134">
        <v>2.8439999999999999</v>
      </c>
      <c r="S134">
        <v>7.72</v>
      </c>
      <c r="T134">
        <v>3.42</v>
      </c>
      <c r="U134">
        <v>2.04</v>
      </c>
      <c r="V134">
        <v>22.3</v>
      </c>
      <c r="W134">
        <v>7.91</v>
      </c>
      <c r="X134">
        <v>7.0229999999999997</v>
      </c>
      <c r="Y134">
        <v>4.3499999999999996</v>
      </c>
      <c r="Z134">
        <v>26.8</v>
      </c>
      <c r="AA134">
        <v>7.08</v>
      </c>
      <c r="AB134">
        <v>5.25</v>
      </c>
      <c r="AC134">
        <v>1.3839999999999999</v>
      </c>
      <c r="AD134">
        <v>1.27</v>
      </c>
      <c r="AE134">
        <v>4.79</v>
      </c>
      <c r="AF134">
        <v>1.66</v>
      </c>
      <c r="AG134">
        <v>0.38</v>
      </c>
      <c r="AH134">
        <v>0.90500000000000003</v>
      </c>
      <c r="AI134">
        <v>6.2</v>
      </c>
      <c r="AJ134">
        <v>2.21</v>
      </c>
      <c r="AK134">
        <v>1.97</v>
      </c>
      <c r="AL134">
        <v>9.9000000000000005E-2</v>
      </c>
      <c r="AM134">
        <v>3.85</v>
      </c>
      <c r="AN134">
        <v>0.42499999999999999</v>
      </c>
      <c r="AO134">
        <v>1.67</v>
      </c>
      <c r="AP134">
        <v>3.56</v>
      </c>
      <c r="AQ134">
        <v>0.86799999999999999</v>
      </c>
      <c r="AR134">
        <v>2.5</v>
      </c>
      <c r="AS134">
        <v>1.66</v>
      </c>
      <c r="AT134">
        <v>0.36099999999999999</v>
      </c>
      <c r="AU134">
        <v>824.06</v>
      </c>
    </row>
    <row r="135" spans="1:47">
      <c r="A135" s="39">
        <v>43747</v>
      </c>
      <c r="B135">
        <v>28.71</v>
      </c>
      <c r="C135">
        <v>13</v>
      </c>
      <c r="D135">
        <v>9.3420000000000005</v>
      </c>
      <c r="E135">
        <v>16.63</v>
      </c>
      <c r="F135">
        <v>8.06</v>
      </c>
      <c r="G135">
        <v>0.84</v>
      </c>
      <c r="H135">
        <v>21</v>
      </c>
      <c r="I135">
        <v>1.542</v>
      </c>
      <c r="J135">
        <v>2.4500000000000002</v>
      </c>
      <c r="K135">
        <v>6.9470000000000001</v>
      </c>
      <c r="L135">
        <v>9.49</v>
      </c>
      <c r="M135" s="40">
        <v>18</v>
      </c>
      <c r="N135">
        <v>7.0149999999999997</v>
      </c>
      <c r="O135">
        <v>7.65</v>
      </c>
      <c r="P135">
        <v>6.5</v>
      </c>
      <c r="Q135">
        <v>2.7080000000000002</v>
      </c>
      <c r="R135">
        <v>2.92</v>
      </c>
      <c r="S135">
        <v>7.82</v>
      </c>
      <c r="T135">
        <v>3.57</v>
      </c>
      <c r="U135">
        <v>2.06</v>
      </c>
      <c r="V135">
        <v>23.2</v>
      </c>
      <c r="W135">
        <v>7.95</v>
      </c>
      <c r="X135">
        <v>6.984</v>
      </c>
      <c r="Y135">
        <v>4.42</v>
      </c>
      <c r="Z135">
        <v>27.2</v>
      </c>
      <c r="AA135">
        <v>7.1</v>
      </c>
      <c r="AB135">
        <v>5.25</v>
      </c>
      <c r="AC135">
        <v>1.452</v>
      </c>
      <c r="AD135">
        <v>1.27</v>
      </c>
      <c r="AE135">
        <v>4.9000000000000004</v>
      </c>
      <c r="AF135">
        <v>1.68</v>
      </c>
      <c r="AG135">
        <v>0.4</v>
      </c>
      <c r="AH135">
        <v>0.90200000000000002</v>
      </c>
      <c r="AI135">
        <v>6.25</v>
      </c>
      <c r="AJ135">
        <v>2.27</v>
      </c>
      <c r="AK135">
        <v>1.97</v>
      </c>
      <c r="AL135">
        <v>0.1</v>
      </c>
      <c r="AM135">
        <v>3.89</v>
      </c>
      <c r="AN135">
        <v>0.41799999999999998</v>
      </c>
      <c r="AO135">
        <v>1.69</v>
      </c>
      <c r="AP135">
        <v>3.61</v>
      </c>
      <c r="AQ135">
        <v>0.871</v>
      </c>
      <c r="AR135">
        <v>2.54</v>
      </c>
      <c r="AS135">
        <v>1.7</v>
      </c>
      <c r="AT135">
        <v>0.36799999999999999</v>
      </c>
      <c r="AU135">
        <v>831.72</v>
      </c>
    </row>
    <row r="136" spans="1:47">
      <c r="A136" s="39">
        <v>43748</v>
      </c>
      <c r="B136">
        <v>28.52</v>
      </c>
      <c r="C136">
        <v>13</v>
      </c>
      <c r="D136">
        <v>9.3569999999999993</v>
      </c>
      <c r="E136">
        <v>16.97</v>
      </c>
      <c r="F136">
        <v>8.0399999999999991</v>
      </c>
      <c r="G136">
        <v>0.86</v>
      </c>
      <c r="H136">
        <v>20.86</v>
      </c>
      <c r="I136">
        <v>1.6259999999999999</v>
      </c>
      <c r="J136">
        <v>2.5499999999999998</v>
      </c>
      <c r="K136">
        <v>7.0039999999999996</v>
      </c>
      <c r="L136">
        <v>9.49</v>
      </c>
      <c r="M136" s="40">
        <v>18.2</v>
      </c>
      <c r="N136">
        <v>7.0540000000000003</v>
      </c>
      <c r="O136">
        <v>7.64</v>
      </c>
      <c r="P136">
        <v>6.49</v>
      </c>
      <c r="Q136">
        <v>2.83</v>
      </c>
      <c r="R136">
        <v>2.94</v>
      </c>
      <c r="S136">
        <v>7.7</v>
      </c>
      <c r="T136">
        <v>3.5950000000000002</v>
      </c>
      <c r="U136">
        <v>2.0499999999999998</v>
      </c>
      <c r="V136">
        <v>23.5</v>
      </c>
      <c r="W136">
        <v>7.91</v>
      </c>
      <c r="X136">
        <v>7.0629999999999997</v>
      </c>
      <c r="Y136">
        <v>4.45</v>
      </c>
      <c r="Z136">
        <v>27.2</v>
      </c>
      <c r="AA136">
        <v>7.1</v>
      </c>
      <c r="AB136">
        <v>5.12</v>
      </c>
      <c r="AC136">
        <v>1.4339999999999999</v>
      </c>
      <c r="AD136">
        <v>1.3140000000000001</v>
      </c>
      <c r="AE136">
        <v>4.7699999999999996</v>
      </c>
      <c r="AF136">
        <v>1.71</v>
      </c>
      <c r="AG136">
        <v>0.40500000000000003</v>
      </c>
      <c r="AH136">
        <v>0.91400000000000003</v>
      </c>
      <c r="AI136">
        <v>6.2</v>
      </c>
      <c r="AJ136">
        <v>2.29</v>
      </c>
      <c r="AK136">
        <v>2</v>
      </c>
      <c r="AL136">
        <v>9.7000000000000003E-2</v>
      </c>
      <c r="AM136">
        <v>3.9</v>
      </c>
      <c r="AN136">
        <v>0.42699999999999999</v>
      </c>
      <c r="AO136">
        <v>1.71</v>
      </c>
      <c r="AP136">
        <v>3.57</v>
      </c>
      <c r="AQ136">
        <v>0.89</v>
      </c>
      <c r="AR136">
        <v>2.5950000000000002</v>
      </c>
      <c r="AS136">
        <v>1.69</v>
      </c>
      <c r="AT136">
        <v>0.35499999999999998</v>
      </c>
      <c r="AU136">
        <v>839.22</v>
      </c>
    </row>
    <row r="137" spans="1:47">
      <c r="A137" s="39">
        <v>43749</v>
      </c>
      <c r="B137">
        <v>28.88</v>
      </c>
      <c r="C137">
        <v>13</v>
      </c>
      <c r="D137">
        <v>9.5419999999999998</v>
      </c>
      <c r="E137">
        <v>17.39</v>
      </c>
      <c r="F137">
        <v>8.3699999999999992</v>
      </c>
      <c r="G137">
        <v>0.88600000000000001</v>
      </c>
      <c r="H137">
        <v>21.1</v>
      </c>
      <c r="I137">
        <v>1.7</v>
      </c>
      <c r="J137">
        <v>2.7</v>
      </c>
      <c r="K137">
        <v>6.9749999999999996</v>
      </c>
      <c r="L137">
        <v>9.64</v>
      </c>
      <c r="M137" s="40">
        <v>18.18</v>
      </c>
      <c r="N137">
        <v>7.1429999999999998</v>
      </c>
      <c r="O137">
        <v>7.73</v>
      </c>
      <c r="P137">
        <v>6.64</v>
      </c>
      <c r="Q137">
        <v>2.98</v>
      </c>
      <c r="R137">
        <v>3.0979999999999999</v>
      </c>
      <c r="S137">
        <v>7.8</v>
      </c>
      <c r="T137">
        <v>3.67</v>
      </c>
      <c r="U137">
        <v>2.0699999999999998</v>
      </c>
      <c r="V137">
        <v>23.55</v>
      </c>
      <c r="W137">
        <v>7.99</v>
      </c>
      <c r="X137">
        <v>7.1219999999999999</v>
      </c>
      <c r="Y137">
        <v>4.47</v>
      </c>
      <c r="Z137">
        <v>27.2</v>
      </c>
      <c r="AA137">
        <v>6.9</v>
      </c>
      <c r="AB137">
        <v>5.26</v>
      </c>
      <c r="AC137">
        <v>1.42</v>
      </c>
      <c r="AD137">
        <v>1.3660000000000001</v>
      </c>
      <c r="AE137">
        <v>4.8099999999999996</v>
      </c>
      <c r="AF137">
        <v>1.784</v>
      </c>
      <c r="AG137">
        <v>0.41799999999999998</v>
      </c>
      <c r="AH137">
        <v>0.93</v>
      </c>
      <c r="AI137">
        <v>6.35</v>
      </c>
      <c r="AJ137">
        <v>2.29</v>
      </c>
      <c r="AK137">
        <v>2.0499999999999998</v>
      </c>
      <c r="AL137">
        <v>0.104</v>
      </c>
      <c r="AM137">
        <v>3.89</v>
      </c>
      <c r="AN137">
        <v>0.47</v>
      </c>
      <c r="AO137">
        <v>1.7549999999999999</v>
      </c>
      <c r="AP137">
        <v>3.54</v>
      </c>
      <c r="AQ137">
        <v>0.90800000000000003</v>
      </c>
      <c r="AR137">
        <v>2.66</v>
      </c>
      <c r="AS137">
        <v>1.7350000000000001</v>
      </c>
      <c r="AT137">
        <v>0.36499999999999999</v>
      </c>
      <c r="AU137">
        <v>855.95</v>
      </c>
    </row>
    <row r="138" spans="1:47">
      <c r="A138" s="39">
        <v>43752</v>
      </c>
      <c r="B138">
        <v>29.03</v>
      </c>
      <c r="C138">
        <v>13.04</v>
      </c>
      <c r="D138">
        <v>9.4920000000000009</v>
      </c>
      <c r="E138">
        <v>17.100000000000001</v>
      </c>
      <c r="F138">
        <v>8.3000000000000007</v>
      </c>
      <c r="G138">
        <v>0.88100000000000001</v>
      </c>
      <c r="H138">
        <v>21.14</v>
      </c>
      <c r="I138">
        <v>1.7190000000000001</v>
      </c>
      <c r="J138">
        <v>2.734</v>
      </c>
      <c r="K138">
        <v>6.8719999999999999</v>
      </c>
      <c r="L138">
        <v>9.66</v>
      </c>
      <c r="M138" s="40">
        <v>18.3</v>
      </c>
      <c r="N138">
        <v>7.1230000000000002</v>
      </c>
      <c r="O138">
        <v>7.8</v>
      </c>
      <c r="P138">
        <v>6.65</v>
      </c>
      <c r="Q138">
        <v>3</v>
      </c>
      <c r="R138">
        <v>3.02</v>
      </c>
      <c r="S138">
        <v>7.76</v>
      </c>
      <c r="T138">
        <v>3.66</v>
      </c>
      <c r="U138">
        <v>2.0550000000000002</v>
      </c>
      <c r="V138">
        <v>22.9</v>
      </c>
      <c r="W138">
        <v>7.98</v>
      </c>
      <c r="X138">
        <v>7.0229999999999997</v>
      </c>
      <c r="Y138">
        <v>4.47</v>
      </c>
      <c r="Z138">
        <v>26.9</v>
      </c>
      <c r="AA138">
        <v>7.12</v>
      </c>
      <c r="AB138">
        <v>5.23</v>
      </c>
      <c r="AC138">
        <v>1.4379999999999999</v>
      </c>
      <c r="AD138">
        <v>1.3420000000000001</v>
      </c>
      <c r="AE138">
        <v>4.8</v>
      </c>
      <c r="AF138">
        <v>1.794</v>
      </c>
      <c r="AG138">
        <v>0.42399999999999999</v>
      </c>
      <c r="AH138">
        <v>0.96</v>
      </c>
      <c r="AI138">
        <v>6.4</v>
      </c>
      <c r="AJ138">
        <v>2.2400000000000002</v>
      </c>
      <c r="AK138">
        <v>1.99</v>
      </c>
      <c r="AL138">
        <v>0.105</v>
      </c>
      <c r="AM138">
        <v>3.9</v>
      </c>
      <c r="AN138">
        <v>0.46400000000000002</v>
      </c>
      <c r="AO138">
        <v>1.72</v>
      </c>
      <c r="AP138">
        <v>3.5</v>
      </c>
      <c r="AQ138">
        <v>0.91900000000000004</v>
      </c>
      <c r="AR138">
        <v>2.665</v>
      </c>
      <c r="AS138">
        <v>1.75</v>
      </c>
      <c r="AT138">
        <v>0.373</v>
      </c>
      <c r="AU138">
        <v>855.89</v>
      </c>
    </row>
    <row r="139" spans="1:47">
      <c r="A139" s="39">
        <v>43753</v>
      </c>
      <c r="B139">
        <v>28.77</v>
      </c>
      <c r="C139">
        <v>13.28</v>
      </c>
      <c r="D139">
        <v>9.532</v>
      </c>
      <c r="E139">
        <v>17.350000000000001</v>
      </c>
      <c r="F139">
        <v>8.3800000000000008</v>
      </c>
      <c r="G139">
        <v>0.88400000000000001</v>
      </c>
      <c r="H139">
        <v>21.04</v>
      </c>
      <c r="I139">
        <v>1.718</v>
      </c>
      <c r="J139">
        <v>2.7559999999999998</v>
      </c>
      <c r="K139">
        <v>6.8810000000000002</v>
      </c>
      <c r="L139">
        <v>9.6999999999999993</v>
      </c>
      <c r="M139" s="40">
        <v>18</v>
      </c>
      <c r="N139">
        <v>7.1029999999999998</v>
      </c>
      <c r="O139">
        <v>7.78</v>
      </c>
      <c r="P139">
        <v>6.6</v>
      </c>
      <c r="Q139">
        <v>3</v>
      </c>
      <c r="R139">
        <v>3.07</v>
      </c>
      <c r="S139">
        <v>7.92</v>
      </c>
      <c r="T139">
        <v>3.6749999999999998</v>
      </c>
      <c r="U139">
        <v>2.0499999999999998</v>
      </c>
      <c r="V139">
        <v>22.45</v>
      </c>
      <c r="W139">
        <v>7.94</v>
      </c>
      <c r="X139">
        <v>7.0629999999999997</v>
      </c>
      <c r="Y139">
        <v>4.45</v>
      </c>
      <c r="Z139">
        <v>27</v>
      </c>
      <c r="AA139">
        <v>7.16</v>
      </c>
      <c r="AB139">
        <v>5.32</v>
      </c>
      <c r="AC139">
        <v>1.42</v>
      </c>
      <c r="AD139">
        <v>1.3340000000000001</v>
      </c>
      <c r="AE139">
        <v>4.99</v>
      </c>
      <c r="AF139">
        <v>1.788</v>
      </c>
      <c r="AG139">
        <v>0.42499999999999999</v>
      </c>
      <c r="AH139">
        <v>0.97799999999999998</v>
      </c>
      <c r="AI139">
        <v>6.35</v>
      </c>
      <c r="AJ139">
        <v>2.27</v>
      </c>
      <c r="AK139">
        <v>2</v>
      </c>
      <c r="AL139">
        <v>0.107</v>
      </c>
      <c r="AM139">
        <v>3.9</v>
      </c>
      <c r="AN139">
        <v>0.47899999999999998</v>
      </c>
      <c r="AO139">
        <v>1.73</v>
      </c>
      <c r="AP139">
        <v>3.48</v>
      </c>
      <c r="AQ139">
        <v>0.91500000000000004</v>
      </c>
      <c r="AR139">
        <v>2.7850000000000001</v>
      </c>
      <c r="AS139">
        <v>1.7450000000000001</v>
      </c>
      <c r="AT139">
        <v>0.37</v>
      </c>
      <c r="AU139">
        <v>858.16</v>
      </c>
    </row>
    <row r="140" spans="1:47">
      <c r="A140" s="39">
        <v>43754</v>
      </c>
      <c r="B140">
        <v>28.62</v>
      </c>
      <c r="C140">
        <v>13.42</v>
      </c>
      <c r="D140">
        <v>9.7270000000000003</v>
      </c>
      <c r="E140">
        <v>17.48</v>
      </c>
      <c r="F140">
        <v>8.4499999999999993</v>
      </c>
      <c r="G140">
        <v>0.872</v>
      </c>
      <c r="H140">
        <v>20.8</v>
      </c>
      <c r="I140">
        <v>1.718</v>
      </c>
      <c r="J140">
        <v>2.75</v>
      </c>
      <c r="K140">
        <v>6.8719999999999999</v>
      </c>
      <c r="L140">
        <v>9.66</v>
      </c>
      <c r="M140" s="40">
        <v>18.239999999999998</v>
      </c>
      <c r="N140">
        <v>7.1520000000000001</v>
      </c>
      <c r="O140">
        <v>7.72</v>
      </c>
      <c r="P140">
        <v>6.61</v>
      </c>
      <c r="Q140">
        <v>2.964</v>
      </c>
      <c r="R140">
        <v>2.992</v>
      </c>
      <c r="S140">
        <v>7.82</v>
      </c>
      <c r="T140">
        <v>3.61</v>
      </c>
      <c r="U140">
        <v>2.0649999999999999</v>
      </c>
      <c r="V140">
        <v>22.6</v>
      </c>
      <c r="W140">
        <v>7.8</v>
      </c>
      <c r="X140">
        <v>7.141</v>
      </c>
      <c r="Y140">
        <v>4.46</v>
      </c>
      <c r="Z140">
        <v>26.7</v>
      </c>
      <c r="AA140">
        <v>7.14</v>
      </c>
      <c r="AB140">
        <v>5.3</v>
      </c>
      <c r="AC140">
        <v>1.42</v>
      </c>
      <c r="AD140">
        <v>1.3480000000000001</v>
      </c>
      <c r="AE140">
        <v>5</v>
      </c>
      <c r="AF140">
        <v>1.792</v>
      </c>
      <c r="AG140">
        <v>0.42499999999999999</v>
      </c>
      <c r="AH140">
        <v>1.04</v>
      </c>
      <c r="AI140">
        <v>6.3</v>
      </c>
      <c r="AJ140">
        <v>2.2799999999999998</v>
      </c>
      <c r="AK140">
        <v>2.04</v>
      </c>
      <c r="AL140">
        <v>0.106</v>
      </c>
      <c r="AM140">
        <v>3.94</v>
      </c>
      <c r="AN140">
        <v>0.47199999999999998</v>
      </c>
      <c r="AO140">
        <v>1.72</v>
      </c>
      <c r="AP140">
        <v>3.43</v>
      </c>
      <c r="AQ140">
        <v>0.91900000000000004</v>
      </c>
      <c r="AR140">
        <v>2.8450000000000002</v>
      </c>
      <c r="AS140">
        <v>1.83</v>
      </c>
      <c r="AT140">
        <v>0.38100000000000001</v>
      </c>
      <c r="AU140">
        <v>858.37</v>
      </c>
    </row>
    <row r="141" spans="1:47">
      <c r="A141" s="39">
        <v>43755</v>
      </c>
      <c r="B141">
        <v>28.13</v>
      </c>
      <c r="C141">
        <v>13.5</v>
      </c>
      <c r="D141">
        <v>9.891</v>
      </c>
      <c r="E141">
        <v>17.28</v>
      </c>
      <c r="F141">
        <v>8.4499999999999993</v>
      </c>
      <c r="G141">
        <v>0.87</v>
      </c>
      <c r="H141">
        <v>21</v>
      </c>
      <c r="I141">
        <v>1.718</v>
      </c>
      <c r="J141">
        <v>2.75</v>
      </c>
      <c r="K141">
        <v>6.74</v>
      </c>
      <c r="L141">
        <v>9.8149999999999995</v>
      </c>
      <c r="M141" s="40">
        <v>18</v>
      </c>
      <c r="N141">
        <v>7.26</v>
      </c>
      <c r="O141">
        <v>7.73</v>
      </c>
      <c r="P141">
        <v>6.6</v>
      </c>
      <c r="Q141">
        <v>2.98</v>
      </c>
      <c r="R141">
        <v>2.992</v>
      </c>
      <c r="S141">
        <v>7.74</v>
      </c>
      <c r="T141">
        <v>3.72</v>
      </c>
      <c r="U141">
        <v>2.085</v>
      </c>
      <c r="V141">
        <v>22.75</v>
      </c>
      <c r="W141">
        <v>7.9</v>
      </c>
      <c r="X141">
        <v>6.9649999999999999</v>
      </c>
      <c r="Y141">
        <v>4.5</v>
      </c>
      <c r="Z141">
        <v>26.7</v>
      </c>
      <c r="AA141">
        <v>7.06</v>
      </c>
      <c r="AB141">
        <v>5.32</v>
      </c>
      <c r="AC141">
        <v>1.4279999999999999</v>
      </c>
      <c r="AD141">
        <v>1.35</v>
      </c>
      <c r="AE141">
        <v>5.0999999999999996</v>
      </c>
      <c r="AF141">
        <v>1.79</v>
      </c>
      <c r="AG141">
        <v>0.42299999999999999</v>
      </c>
      <c r="AH141">
        <v>1.042</v>
      </c>
      <c r="AI141">
        <v>6.3</v>
      </c>
      <c r="AJ141">
        <v>2.23</v>
      </c>
      <c r="AK141">
        <v>2.16</v>
      </c>
      <c r="AL141">
        <v>0.105</v>
      </c>
      <c r="AM141">
        <v>3.96</v>
      </c>
      <c r="AN141">
        <v>0.46400000000000002</v>
      </c>
      <c r="AO141">
        <v>1.71</v>
      </c>
      <c r="AP141">
        <v>3.47</v>
      </c>
      <c r="AQ141">
        <v>0.91400000000000003</v>
      </c>
      <c r="AR141">
        <v>2.835</v>
      </c>
      <c r="AS141">
        <v>1.7849999999999999</v>
      </c>
      <c r="AT141">
        <v>0.39400000000000002</v>
      </c>
      <c r="AU141">
        <v>859.32</v>
      </c>
    </row>
    <row r="142" spans="1:47">
      <c r="A142" s="39">
        <v>43756</v>
      </c>
      <c r="B142">
        <v>28.38</v>
      </c>
      <c r="C142">
        <v>13.53</v>
      </c>
      <c r="D142">
        <v>9.8710000000000004</v>
      </c>
      <c r="E142">
        <v>17.48</v>
      </c>
      <c r="F142">
        <v>8.31</v>
      </c>
      <c r="G142">
        <v>0.88</v>
      </c>
      <c r="H142">
        <v>21.1</v>
      </c>
      <c r="I142">
        <v>1.7290000000000001</v>
      </c>
      <c r="J142">
        <v>2.75</v>
      </c>
      <c r="K142">
        <v>6.7679999999999998</v>
      </c>
      <c r="L142">
        <v>9.84</v>
      </c>
      <c r="M142" s="40">
        <v>18.239999999999998</v>
      </c>
      <c r="N142">
        <v>7.25</v>
      </c>
      <c r="O142">
        <v>7.85</v>
      </c>
      <c r="P142">
        <v>6.65</v>
      </c>
      <c r="Q142">
        <v>2.988</v>
      </c>
      <c r="R142">
        <v>3.03</v>
      </c>
      <c r="S142">
        <v>7.74</v>
      </c>
      <c r="T142">
        <v>3.7</v>
      </c>
      <c r="U142">
        <v>2.08</v>
      </c>
      <c r="V142">
        <v>22.7</v>
      </c>
      <c r="W142">
        <v>7.93</v>
      </c>
      <c r="X142">
        <v>6.984</v>
      </c>
      <c r="Y142">
        <v>4.5</v>
      </c>
      <c r="Z142">
        <v>27</v>
      </c>
      <c r="AA142">
        <v>7.08</v>
      </c>
      <c r="AB142">
        <v>5.4</v>
      </c>
      <c r="AC142">
        <v>1.41</v>
      </c>
      <c r="AD142">
        <v>1.3520000000000001</v>
      </c>
      <c r="AE142">
        <v>5</v>
      </c>
      <c r="AF142">
        <v>1.8</v>
      </c>
      <c r="AG142">
        <v>0.41699999999999998</v>
      </c>
      <c r="AH142">
        <v>1.034</v>
      </c>
      <c r="AI142">
        <v>6.4</v>
      </c>
      <c r="AJ142">
        <v>2.25</v>
      </c>
      <c r="AK142">
        <v>2.16</v>
      </c>
      <c r="AL142">
        <v>0.105</v>
      </c>
      <c r="AM142">
        <v>3.88</v>
      </c>
      <c r="AN142">
        <v>0.46300000000000002</v>
      </c>
      <c r="AO142">
        <v>1.7</v>
      </c>
      <c r="AP142">
        <v>3.44</v>
      </c>
      <c r="AQ142">
        <v>0.90400000000000003</v>
      </c>
      <c r="AR142">
        <v>2.85</v>
      </c>
      <c r="AS142">
        <v>1.8</v>
      </c>
      <c r="AT142">
        <v>0.38700000000000001</v>
      </c>
      <c r="AU142">
        <v>862.58</v>
      </c>
    </row>
    <row r="143" spans="1:47">
      <c r="A143" s="39">
        <v>43759</v>
      </c>
      <c r="B143">
        <v>28.2</v>
      </c>
      <c r="C143">
        <v>13.65</v>
      </c>
      <c r="D143">
        <v>9.891</v>
      </c>
      <c r="E143">
        <v>17.420000000000002</v>
      </c>
      <c r="F143">
        <v>8.32</v>
      </c>
      <c r="G143">
        <v>0.89500000000000002</v>
      </c>
      <c r="H143">
        <v>21.34</v>
      </c>
      <c r="I143">
        <v>1.7549999999999999</v>
      </c>
      <c r="J143">
        <v>2.7770000000000001</v>
      </c>
      <c r="K143">
        <v>6.7679999999999998</v>
      </c>
      <c r="L143">
        <v>9.86</v>
      </c>
      <c r="M143" s="40">
        <v>18.52</v>
      </c>
      <c r="N143">
        <v>7.1920000000000002</v>
      </c>
      <c r="O143">
        <v>7.7</v>
      </c>
      <c r="P143">
        <v>6.65</v>
      </c>
      <c r="Q143">
        <v>3.05</v>
      </c>
      <c r="R143">
        <v>3.052</v>
      </c>
      <c r="S143">
        <v>7.75</v>
      </c>
      <c r="T143">
        <v>3.7</v>
      </c>
      <c r="U143">
        <v>2.0750000000000002</v>
      </c>
      <c r="V143">
        <v>22.95</v>
      </c>
      <c r="W143">
        <v>8.02</v>
      </c>
      <c r="X143">
        <v>7.0430000000000001</v>
      </c>
      <c r="Y143">
        <v>4.47</v>
      </c>
      <c r="Z143">
        <v>27</v>
      </c>
      <c r="AA143">
        <v>7.02</v>
      </c>
      <c r="AB143">
        <v>5.4</v>
      </c>
      <c r="AC143">
        <v>1.45</v>
      </c>
      <c r="AD143">
        <v>1.35</v>
      </c>
      <c r="AE143">
        <v>5.0999999999999996</v>
      </c>
      <c r="AF143">
        <v>1.784</v>
      </c>
      <c r="AG143">
        <v>0.42299999999999999</v>
      </c>
      <c r="AH143">
        <v>1.05</v>
      </c>
      <c r="AI143">
        <v>6.4</v>
      </c>
      <c r="AJ143">
        <v>2.2400000000000002</v>
      </c>
      <c r="AK143">
        <v>2.13</v>
      </c>
      <c r="AL143">
        <v>0.109</v>
      </c>
      <c r="AM143">
        <v>3.9</v>
      </c>
      <c r="AN143">
        <v>0.45900000000000002</v>
      </c>
      <c r="AO143">
        <v>1.66</v>
      </c>
      <c r="AP143">
        <v>3.41</v>
      </c>
      <c r="AQ143">
        <v>0.92900000000000005</v>
      </c>
      <c r="AR143">
        <v>2.92</v>
      </c>
      <c r="AS143">
        <v>1.81</v>
      </c>
      <c r="AT143">
        <v>0.41899999999999998</v>
      </c>
      <c r="AU143">
        <v>867.16</v>
      </c>
    </row>
    <row r="144" spans="1:47">
      <c r="A144" s="39">
        <v>43760</v>
      </c>
      <c r="B144">
        <v>28.49</v>
      </c>
      <c r="C144">
        <v>13.5</v>
      </c>
      <c r="D144">
        <v>9.7319999999999993</v>
      </c>
      <c r="E144">
        <v>17.399999999999999</v>
      </c>
      <c r="F144">
        <v>8.41</v>
      </c>
      <c r="G144">
        <v>0.89300000000000002</v>
      </c>
      <c r="H144">
        <v>21.7</v>
      </c>
      <c r="I144">
        <v>1.78</v>
      </c>
      <c r="J144">
        <v>2.8780000000000001</v>
      </c>
      <c r="K144">
        <v>6.7309999999999999</v>
      </c>
      <c r="L144">
        <v>10.01</v>
      </c>
      <c r="M144" s="40">
        <v>18.600000000000001</v>
      </c>
      <c r="N144">
        <v>7.2110000000000003</v>
      </c>
      <c r="O144">
        <v>7.98</v>
      </c>
      <c r="P144">
        <v>6.7</v>
      </c>
      <c r="Q144">
        <v>3.0640000000000001</v>
      </c>
      <c r="R144">
        <v>3.1</v>
      </c>
      <c r="S144">
        <v>7.8</v>
      </c>
      <c r="T144">
        <v>3.7850000000000001</v>
      </c>
      <c r="U144">
        <v>2.105</v>
      </c>
      <c r="V144">
        <v>22.9</v>
      </c>
      <c r="W144">
        <v>8.1199999999999992</v>
      </c>
      <c r="X144">
        <v>7.0039999999999996</v>
      </c>
      <c r="Y144">
        <v>4.5049999999999999</v>
      </c>
      <c r="Z144">
        <v>26.9</v>
      </c>
      <c r="AA144">
        <v>7.06</v>
      </c>
      <c r="AB144">
        <v>5.41</v>
      </c>
      <c r="AC144">
        <v>1.43</v>
      </c>
      <c r="AD144">
        <v>1.3620000000000001</v>
      </c>
      <c r="AE144">
        <v>5.0999999999999996</v>
      </c>
      <c r="AF144">
        <v>1.84</v>
      </c>
      <c r="AG144">
        <v>0.439</v>
      </c>
      <c r="AH144">
        <v>1.038</v>
      </c>
      <c r="AI144">
        <v>6.35</v>
      </c>
      <c r="AJ144">
        <v>2.2200000000000002</v>
      </c>
      <c r="AK144">
        <v>2.15</v>
      </c>
      <c r="AL144">
        <v>0.111</v>
      </c>
      <c r="AM144">
        <v>3.86</v>
      </c>
      <c r="AN144">
        <v>0.46400000000000002</v>
      </c>
      <c r="AO144">
        <v>1.67</v>
      </c>
      <c r="AP144">
        <v>3.38</v>
      </c>
      <c r="AQ144">
        <v>0.96399999999999997</v>
      </c>
      <c r="AR144">
        <v>2.8849999999999998</v>
      </c>
      <c r="AS144">
        <v>1.86</v>
      </c>
      <c r="AT144">
        <v>0.45700000000000002</v>
      </c>
      <c r="AU144">
        <v>873.5</v>
      </c>
    </row>
    <row r="145" spans="1:47">
      <c r="A145" s="39">
        <v>43761</v>
      </c>
      <c r="B145">
        <v>27.93</v>
      </c>
      <c r="C145">
        <v>13.59</v>
      </c>
      <c r="D145">
        <v>9.6470000000000002</v>
      </c>
      <c r="E145">
        <v>17.399999999999999</v>
      </c>
      <c r="F145">
        <v>8.33</v>
      </c>
      <c r="G145">
        <v>0.88800000000000001</v>
      </c>
      <c r="H145">
        <v>21.8</v>
      </c>
      <c r="I145">
        <v>1.7989999999999999</v>
      </c>
      <c r="J145">
        <v>2.9340000000000002</v>
      </c>
      <c r="K145">
        <v>6.7309999999999999</v>
      </c>
      <c r="L145">
        <v>9.9499999999999993</v>
      </c>
      <c r="M145" s="40">
        <v>18.8</v>
      </c>
      <c r="N145">
        <v>7.1820000000000004</v>
      </c>
      <c r="O145">
        <v>7.98</v>
      </c>
      <c r="P145">
        <v>6.75</v>
      </c>
      <c r="Q145">
        <v>3.0819999999999999</v>
      </c>
      <c r="R145">
        <v>3.0579999999999998</v>
      </c>
      <c r="S145">
        <v>7.82</v>
      </c>
      <c r="T145">
        <v>3.7250000000000001</v>
      </c>
      <c r="U145">
        <v>2.13</v>
      </c>
      <c r="V145">
        <v>23</v>
      </c>
      <c r="W145">
        <v>8.1</v>
      </c>
      <c r="X145">
        <v>7.0229999999999997</v>
      </c>
      <c r="Y145">
        <v>4.47</v>
      </c>
      <c r="Z145">
        <v>27</v>
      </c>
      <c r="AA145">
        <v>7.04</v>
      </c>
      <c r="AB145">
        <v>5.35</v>
      </c>
      <c r="AC145">
        <v>1.45</v>
      </c>
      <c r="AD145">
        <v>1.36</v>
      </c>
      <c r="AE145">
        <v>5.0999999999999996</v>
      </c>
      <c r="AF145">
        <v>1.82</v>
      </c>
      <c r="AG145">
        <v>0.437</v>
      </c>
      <c r="AH145">
        <v>1.02</v>
      </c>
      <c r="AI145">
        <v>6.3</v>
      </c>
      <c r="AJ145">
        <v>2.1800000000000002</v>
      </c>
      <c r="AK145">
        <v>2.16</v>
      </c>
      <c r="AL145">
        <v>0.112</v>
      </c>
      <c r="AM145">
        <v>3.86</v>
      </c>
      <c r="AN145">
        <v>0.46100000000000002</v>
      </c>
      <c r="AO145">
        <v>1.67</v>
      </c>
      <c r="AP145">
        <v>3.4</v>
      </c>
      <c r="AQ145">
        <v>0.95799999999999996</v>
      </c>
      <c r="AR145">
        <v>2.93</v>
      </c>
      <c r="AS145">
        <v>1.825</v>
      </c>
      <c r="AT145">
        <v>0.434</v>
      </c>
      <c r="AU145">
        <v>873.13</v>
      </c>
    </row>
    <row r="146" spans="1:47">
      <c r="A146" s="39">
        <v>43762</v>
      </c>
      <c r="B146">
        <v>28.06</v>
      </c>
      <c r="C146">
        <v>13.59</v>
      </c>
      <c r="D146">
        <v>9.7520000000000007</v>
      </c>
      <c r="E146">
        <v>17.5</v>
      </c>
      <c r="F146">
        <v>8.4700000000000006</v>
      </c>
      <c r="G146">
        <v>0.88600000000000001</v>
      </c>
      <c r="H146">
        <v>21.94</v>
      </c>
      <c r="I146">
        <v>1.8</v>
      </c>
      <c r="J146">
        <v>2.899</v>
      </c>
      <c r="K146">
        <v>6.7590000000000003</v>
      </c>
      <c r="L146">
        <v>9.8000000000000007</v>
      </c>
      <c r="M146" s="40">
        <v>18.8</v>
      </c>
      <c r="N146">
        <v>7.1920000000000002</v>
      </c>
      <c r="O146">
        <v>7.93</v>
      </c>
      <c r="P146">
        <v>6.77</v>
      </c>
      <c r="Q146">
        <v>3.0779999999999998</v>
      </c>
      <c r="R146">
        <v>3.05</v>
      </c>
      <c r="S146">
        <v>8</v>
      </c>
      <c r="T146">
        <v>3.7149999999999999</v>
      </c>
      <c r="U146">
        <v>2.1150000000000002</v>
      </c>
      <c r="V146">
        <v>22.75</v>
      </c>
      <c r="W146">
        <v>8.14</v>
      </c>
      <c r="X146">
        <v>6.9450000000000003</v>
      </c>
      <c r="Y146">
        <v>4.5449999999999999</v>
      </c>
      <c r="Z146">
        <v>27</v>
      </c>
      <c r="AA146">
        <v>6.9</v>
      </c>
      <c r="AB146">
        <v>5.49</v>
      </c>
      <c r="AC146">
        <v>1.484</v>
      </c>
      <c r="AD146">
        <v>1.3540000000000001</v>
      </c>
      <c r="AE146">
        <v>5.12</v>
      </c>
      <c r="AF146">
        <v>1.8120000000000001</v>
      </c>
      <c r="AG146">
        <v>0.44</v>
      </c>
      <c r="AH146">
        <v>1.036</v>
      </c>
      <c r="AI146">
        <v>6.3</v>
      </c>
      <c r="AJ146">
        <v>2.16</v>
      </c>
      <c r="AK146">
        <v>2.13</v>
      </c>
      <c r="AL146">
        <v>0.108</v>
      </c>
      <c r="AM146">
        <v>3.84</v>
      </c>
      <c r="AN146">
        <v>0.46400000000000002</v>
      </c>
      <c r="AO146">
        <v>1.68</v>
      </c>
      <c r="AP146">
        <v>3.46</v>
      </c>
      <c r="AQ146">
        <v>0.95399999999999996</v>
      </c>
      <c r="AR146">
        <v>2.9</v>
      </c>
      <c r="AS146">
        <v>1.81</v>
      </c>
      <c r="AT146">
        <v>0.42299999999999999</v>
      </c>
      <c r="AU146">
        <v>873.98</v>
      </c>
    </row>
    <row r="147" spans="1:47">
      <c r="A147" s="39">
        <v>43763</v>
      </c>
      <c r="B147">
        <v>27.68</v>
      </c>
      <c r="C147">
        <v>13.48</v>
      </c>
      <c r="D147">
        <v>9.7420000000000009</v>
      </c>
      <c r="E147">
        <v>17.45</v>
      </c>
      <c r="F147">
        <v>8.39</v>
      </c>
      <c r="G147">
        <v>0.88500000000000001</v>
      </c>
      <c r="H147">
        <v>21.74</v>
      </c>
      <c r="I147">
        <v>1.8</v>
      </c>
      <c r="J147">
        <v>2.9039999999999999</v>
      </c>
      <c r="K147">
        <v>6.7779999999999996</v>
      </c>
      <c r="L147">
        <v>9.9700000000000006</v>
      </c>
      <c r="M147" s="40">
        <v>18.600000000000001</v>
      </c>
      <c r="N147">
        <v>7.2210000000000001</v>
      </c>
      <c r="O147">
        <v>7.96</v>
      </c>
      <c r="P147">
        <v>6.88</v>
      </c>
      <c r="Q147">
        <v>3.0880000000000001</v>
      </c>
      <c r="R147">
        <v>3.044</v>
      </c>
      <c r="S147">
        <v>7.97</v>
      </c>
      <c r="T147">
        <v>3.6949999999999998</v>
      </c>
      <c r="U147">
        <v>2.14</v>
      </c>
      <c r="V147">
        <v>23</v>
      </c>
      <c r="W147">
        <v>8.14</v>
      </c>
      <c r="X147">
        <v>6.9450000000000003</v>
      </c>
      <c r="Y147">
        <v>4.4649999999999999</v>
      </c>
      <c r="Z147">
        <v>27.3</v>
      </c>
      <c r="AA147">
        <v>6.94</v>
      </c>
      <c r="AB147">
        <v>5.38</v>
      </c>
      <c r="AC147">
        <v>1.45</v>
      </c>
      <c r="AD147">
        <v>1.3620000000000001</v>
      </c>
      <c r="AE147">
        <v>5.18</v>
      </c>
      <c r="AF147">
        <v>1.796</v>
      </c>
      <c r="AG147">
        <v>0.438</v>
      </c>
      <c r="AH147">
        <v>1.042</v>
      </c>
      <c r="AI147">
        <v>6.25</v>
      </c>
      <c r="AJ147">
        <v>2.16</v>
      </c>
      <c r="AK147">
        <v>2.12</v>
      </c>
      <c r="AL147">
        <v>0.109</v>
      </c>
      <c r="AM147">
        <v>3.83</v>
      </c>
      <c r="AN147">
        <v>0.45900000000000002</v>
      </c>
      <c r="AO147">
        <v>1.67</v>
      </c>
      <c r="AP147">
        <v>3.58</v>
      </c>
      <c r="AQ147">
        <v>0.95499999999999996</v>
      </c>
      <c r="AR147">
        <v>2.88</v>
      </c>
      <c r="AS147">
        <v>1.83</v>
      </c>
      <c r="AT147">
        <v>0.45300000000000001</v>
      </c>
      <c r="AU147">
        <v>872.3</v>
      </c>
    </row>
    <row r="148" spans="1:47">
      <c r="A148" s="39">
        <v>43767</v>
      </c>
      <c r="B148">
        <v>27.1</v>
      </c>
      <c r="C148">
        <v>13.6</v>
      </c>
      <c r="D148">
        <v>9.7420000000000009</v>
      </c>
      <c r="E148">
        <v>17.5</v>
      </c>
      <c r="F148">
        <v>8.3699999999999992</v>
      </c>
      <c r="G148">
        <v>0.90500000000000003</v>
      </c>
      <c r="H148">
        <v>22</v>
      </c>
      <c r="I148">
        <v>1.84</v>
      </c>
      <c r="J148">
        <v>2.964</v>
      </c>
      <c r="K148">
        <v>6.7119999999999997</v>
      </c>
      <c r="L148">
        <v>9.7949999999999999</v>
      </c>
      <c r="M148" s="40">
        <v>18.78</v>
      </c>
      <c r="N148">
        <v>7.1719999999999997</v>
      </c>
      <c r="O148">
        <v>7.84</v>
      </c>
      <c r="P148">
        <v>6.89</v>
      </c>
      <c r="Q148">
        <v>3.08</v>
      </c>
      <c r="R148">
        <v>3.0760000000000001</v>
      </c>
      <c r="S148">
        <v>7.82</v>
      </c>
      <c r="T148">
        <v>3.68</v>
      </c>
      <c r="U148">
        <v>2.13</v>
      </c>
      <c r="V148">
        <v>22.95</v>
      </c>
      <c r="W148">
        <v>8.14</v>
      </c>
      <c r="X148">
        <v>6.867</v>
      </c>
      <c r="Y148">
        <v>4.5</v>
      </c>
      <c r="Z148">
        <v>27</v>
      </c>
      <c r="AA148">
        <v>6.88</v>
      </c>
      <c r="AB148">
        <v>5.32</v>
      </c>
      <c r="AC148">
        <v>1.45</v>
      </c>
      <c r="AD148">
        <v>1.32</v>
      </c>
      <c r="AE148">
        <v>5.14</v>
      </c>
      <c r="AF148">
        <v>1.798</v>
      </c>
      <c r="AG148">
        <v>0.44400000000000001</v>
      </c>
      <c r="AH148">
        <v>1.04</v>
      </c>
      <c r="AI148">
        <v>6.35</v>
      </c>
      <c r="AJ148">
        <v>2.23</v>
      </c>
      <c r="AK148">
        <v>2.09</v>
      </c>
      <c r="AL148">
        <v>0.108</v>
      </c>
      <c r="AM148">
        <v>3.8</v>
      </c>
      <c r="AN148">
        <v>0.46100000000000002</v>
      </c>
      <c r="AO148">
        <v>1.63</v>
      </c>
      <c r="AP148">
        <v>3.64</v>
      </c>
      <c r="AQ148">
        <v>0.93600000000000005</v>
      </c>
      <c r="AR148">
        <v>2.83</v>
      </c>
      <c r="AS148">
        <v>1.79</v>
      </c>
      <c r="AT148">
        <v>0.441</v>
      </c>
      <c r="AU148">
        <v>873.4</v>
      </c>
    </row>
    <row r="149" spans="1:47">
      <c r="A149" s="39">
        <v>43768</v>
      </c>
      <c r="B149">
        <v>27.37</v>
      </c>
      <c r="C149">
        <v>13.6</v>
      </c>
      <c r="D149">
        <v>9.7919999999999998</v>
      </c>
      <c r="E149">
        <v>17.5</v>
      </c>
      <c r="F149">
        <v>8.41</v>
      </c>
      <c r="G149">
        <v>0.89900000000000002</v>
      </c>
      <c r="H149">
        <v>22.1</v>
      </c>
      <c r="I149">
        <v>1.88</v>
      </c>
      <c r="J149">
        <v>3.0089999999999999</v>
      </c>
      <c r="K149">
        <v>6.7489999999999997</v>
      </c>
      <c r="L149">
        <v>9.66</v>
      </c>
      <c r="M149" s="40">
        <v>18.84</v>
      </c>
      <c r="N149">
        <v>7.1029999999999998</v>
      </c>
      <c r="O149">
        <v>7.97</v>
      </c>
      <c r="P149">
        <v>6.84</v>
      </c>
      <c r="Q149">
        <v>3.0659999999999998</v>
      </c>
      <c r="R149">
        <v>3.06</v>
      </c>
      <c r="S149">
        <v>7.8</v>
      </c>
      <c r="T149">
        <v>3.64</v>
      </c>
      <c r="U149">
        <v>2.105</v>
      </c>
      <c r="V149">
        <v>23</v>
      </c>
      <c r="W149">
        <v>8.16</v>
      </c>
      <c r="X149">
        <v>6.9059999999999997</v>
      </c>
      <c r="Y149">
        <v>4.5</v>
      </c>
      <c r="Z149">
        <v>27</v>
      </c>
      <c r="AA149">
        <v>6.9</v>
      </c>
      <c r="AB149">
        <v>5.41</v>
      </c>
      <c r="AC149">
        <v>1.45</v>
      </c>
      <c r="AD149">
        <v>1.3380000000000001</v>
      </c>
      <c r="AE149">
        <v>5.2</v>
      </c>
      <c r="AF149">
        <v>1.84</v>
      </c>
      <c r="AG149">
        <v>0.44500000000000001</v>
      </c>
      <c r="AH149">
        <v>1.034</v>
      </c>
      <c r="AI149">
        <v>6.35</v>
      </c>
      <c r="AJ149">
        <v>2.42</v>
      </c>
      <c r="AK149">
        <v>2.08</v>
      </c>
      <c r="AL149">
        <v>0.107</v>
      </c>
      <c r="AM149">
        <v>3.88</v>
      </c>
      <c r="AN149">
        <v>0.497</v>
      </c>
      <c r="AO149">
        <v>1.65</v>
      </c>
      <c r="AP149">
        <v>3.6</v>
      </c>
      <c r="AQ149">
        <v>0.94199999999999995</v>
      </c>
      <c r="AR149">
        <v>2.85</v>
      </c>
      <c r="AS149">
        <v>1.78</v>
      </c>
      <c r="AT149">
        <v>0.44</v>
      </c>
      <c r="AU149">
        <v>875.73</v>
      </c>
    </row>
    <row r="150" spans="1:47">
      <c r="A150" s="39">
        <v>43769</v>
      </c>
      <c r="B150">
        <v>27.69</v>
      </c>
      <c r="C150">
        <v>13.6</v>
      </c>
      <c r="D150">
        <v>9.7420000000000009</v>
      </c>
      <c r="E150">
        <v>17.5</v>
      </c>
      <c r="F150">
        <v>8.5299999999999994</v>
      </c>
      <c r="G150">
        <v>0.90800000000000003</v>
      </c>
      <c r="H150">
        <v>22.14</v>
      </c>
      <c r="I150">
        <v>1.911</v>
      </c>
      <c r="J150">
        <v>3.04</v>
      </c>
      <c r="K150">
        <v>6.7210000000000001</v>
      </c>
      <c r="L150">
        <v>9.81</v>
      </c>
      <c r="M150" s="40">
        <v>19</v>
      </c>
      <c r="N150">
        <v>7.1719999999999997</v>
      </c>
      <c r="O150">
        <v>7.95</v>
      </c>
      <c r="P150">
        <v>6.82</v>
      </c>
      <c r="Q150">
        <v>3.13</v>
      </c>
      <c r="R150">
        <v>3.17</v>
      </c>
      <c r="S150">
        <v>7.92</v>
      </c>
      <c r="T150">
        <v>3.69</v>
      </c>
      <c r="U150">
        <v>2.14</v>
      </c>
      <c r="V150">
        <v>23</v>
      </c>
      <c r="W150">
        <v>8.1999999999999993</v>
      </c>
      <c r="X150">
        <v>6.9059999999999997</v>
      </c>
      <c r="Y150">
        <v>4.5</v>
      </c>
      <c r="Z150">
        <v>26.8</v>
      </c>
      <c r="AA150">
        <v>6.92</v>
      </c>
      <c r="AB150">
        <v>5.4</v>
      </c>
      <c r="AC150">
        <v>1.44</v>
      </c>
      <c r="AD150">
        <v>1.33</v>
      </c>
      <c r="AE150">
        <v>5.2</v>
      </c>
      <c r="AF150">
        <v>1.8380000000000001</v>
      </c>
      <c r="AG150">
        <v>0.45</v>
      </c>
      <c r="AH150">
        <v>1.028</v>
      </c>
      <c r="AI150">
        <v>6.35</v>
      </c>
      <c r="AJ150">
        <v>2.5099999999999998</v>
      </c>
      <c r="AK150">
        <v>2.09</v>
      </c>
      <c r="AL150">
        <v>0.107</v>
      </c>
      <c r="AM150">
        <v>3.88</v>
      </c>
      <c r="AN150">
        <v>0.49</v>
      </c>
      <c r="AO150">
        <v>1.65</v>
      </c>
      <c r="AP150">
        <v>3.6</v>
      </c>
      <c r="AQ150">
        <v>0.94</v>
      </c>
      <c r="AR150">
        <v>2.86</v>
      </c>
      <c r="AS150">
        <v>1.8</v>
      </c>
      <c r="AT150">
        <v>0.442</v>
      </c>
      <c r="AU150">
        <v>882.57</v>
      </c>
    </row>
    <row r="151" spans="1:47">
      <c r="A151" s="39">
        <v>43770</v>
      </c>
      <c r="B151">
        <v>27.46</v>
      </c>
      <c r="C151">
        <v>13.58</v>
      </c>
      <c r="D151">
        <v>9.9209999999999994</v>
      </c>
      <c r="E151">
        <v>17.5</v>
      </c>
      <c r="F151">
        <v>8.4700000000000006</v>
      </c>
      <c r="G151">
        <v>0.91200000000000003</v>
      </c>
      <c r="H151">
        <v>21.88</v>
      </c>
      <c r="I151">
        <v>1.91</v>
      </c>
      <c r="J151">
        <v>3.024</v>
      </c>
      <c r="K151">
        <v>6.7210000000000001</v>
      </c>
      <c r="L151">
        <v>9.8350000000000009</v>
      </c>
      <c r="M151" s="40">
        <v>18.8</v>
      </c>
      <c r="N151">
        <v>7.1619999999999999</v>
      </c>
      <c r="O151">
        <v>7.89</v>
      </c>
      <c r="P151">
        <v>6.8</v>
      </c>
      <c r="Q151">
        <v>3.09</v>
      </c>
      <c r="R151">
        <v>3.1739999999999999</v>
      </c>
      <c r="S151">
        <v>7.81</v>
      </c>
      <c r="T151">
        <v>3.665</v>
      </c>
      <c r="U151">
        <v>2.1349999999999998</v>
      </c>
      <c r="V151">
        <v>22.9</v>
      </c>
      <c r="W151">
        <v>8.06</v>
      </c>
      <c r="X151">
        <v>6.9059999999999997</v>
      </c>
      <c r="Y151">
        <v>4.5149999999999997</v>
      </c>
      <c r="Z151">
        <v>27.2</v>
      </c>
      <c r="AA151">
        <v>6.94</v>
      </c>
      <c r="AB151">
        <v>5.4</v>
      </c>
      <c r="AC151">
        <v>1.46</v>
      </c>
      <c r="AD151">
        <v>1.3560000000000001</v>
      </c>
      <c r="AE151">
        <v>5.24</v>
      </c>
      <c r="AF151">
        <v>1.8340000000000001</v>
      </c>
      <c r="AG151">
        <v>0.443</v>
      </c>
      <c r="AH151">
        <v>1.044</v>
      </c>
      <c r="AI151">
        <v>6.3</v>
      </c>
      <c r="AJ151">
        <v>2.48</v>
      </c>
      <c r="AK151">
        <v>2.09</v>
      </c>
      <c r="AL151">
        <v>0.106</v>
      </c>
      <c r="AM151">
        <v>3.8</v>
      </c>
      <c r="AN151">
        <v>0.499</v>
      </c>
      <c r="AO151">
        <v>1.65</v>
      </c>
      <c r="AP151">
        <v>3.59</v>
      </c>
      <c r="AQ151">
        <v>0.94099999999999995</v>
      </c>
      <c r="AR151">
        <v>2.855</v>
      </c>
      <c r="AS151">
        <v>1.825</v>
      </c>
      <c r="AT151">
        <v>0.44500000000000001</v>
      </c>
      <c r="AU151">
        <v>880.36</v>
      </c>
    </row>
    <row r="152" spans="1:47">
      <c r="A152" s="39">
        <v>43773</v>
      </c>
      <c r="B152">
        <v>27.3</v>
      </c>
      <c r="C152">
        <v>13.7</v>
      </c>
      <c r="D152">
        <v>9.5920000000000005</v>
      </c>
      <c r="E152">
        <v>17.8</v>
      </c>
      <c r="F152">
        <v>8.59</v>
      </c>
      <c r="G152">
        <v>0.9</v>
      </c>
      <c r="H152">
        <v>22.08</v>
      </c>
      <c r="I152">
        <v>1.873</v>
      </c>
      <c r="J152">
        <v>3.01</v>
      </c>
      <c r="K152">
        <v>6.7869999999999999</v>
      </c>
      <c r="L152">
        <v>9.8000000000000007</v>
      </c>
      <c r="M152" s="40">
        <v>18.78</v>
      </c>
      <c r="N152">
        <v>7.1619999999999999</v>
      </c>
      <c r="O152">
        <v>7.89</v>
      </c>
      <c r="P152">
        <v>6.83</v>
      </c>
      <c r="Q152">
        <v>3.0840000000000001</v>
      </c>
      <c r="R152">
        <v>3.1520000000000001</v>
      </c>
      <c r="S152">
        <v>7.97</v>
      </c>
      <c r="T152">
        <v>3.66</v>
      </c>
      <c r="U152">
        <v>2.145</v>
      </c>
      <c r="V152">
        <v>22.85</v>
      </c>
      <c r="W152">
        <v>8.14</v>
      </c>
      <c r="X152">
        <v>6.9450000000000003</v>
      </c>
      <c r="Y152">
        <v>4.55</v>
      </c>
      <c r="Z152">
        <v>27.1</v>
      </c>
      <c r="AA152">
        <v>6.94</v>
      </c>
      <c r="AB152">
        <v>5.49</v>
      </c>
      <c r="AC152">
        <v>1.48</v>
      </c>
      <c r="AD152">
        <v>1.3640000000000001</v>
      </c>
      <c r="AE152">
        <v>5.28</v>
      </c>
      <c r="AF152">
        <v>1.788</v>
      </c>
      <c r="AG152">
        <v>0.43099999999999999</v>
      </c>
      <c r="AH152">
        <v>1.038</v>
      </c>
      <c r="AI152">
        <v>6.3</v>
      </c>
      <c r="AJ152">
        <v>2.44</v>
      </c>
      <c r="AK152">
        <v>2.1</v>
      </c>
      <c r="AL152">
        <v>0.104</v>
      </c>
      <c r="AM152">
        <v>3.75</v>
      </c>
      <c r="AN152">
        <v>0.52900000000000003</v>
      </c>
      <c r="AO152">
        <v>1.675</v>
      </c>
      <c r="AP152">
        <v>3.6</v>
      </c>
      <c r="AQ152">
        <v>0.92600000000000005</v>
      </c>
      <c r="AR152">
        <v>2.84</v>
      </c>
      <c r="AS152">
        <v>1.8</v>
      </c>
      <c r="AT152">
        <v>0.44800000000000001</v>
      </c>
      <c r="AU152">
        <v>879.25</v>
      </c>
    </row>
    <row r="153" spans="1:47">
      <c r="A153" s="39">
        <v>43774</v>
      </c>
      <c r="B153">
        <v>27.4</v>
      </c>
      <c r="C153">
        <v>13.64</v>
      </c>
      <c r="D153">
        <v>9.5419999999999998</v>
      </c>
      <c r="E153">
        <v>18</v>
      </c>
      <c r="F153">
        <v>8.57</v>
      </c>
      <c r="G153">
        <v>0.89200000000000002</v>
      </c>
      <c r="H153">
        <v>22.36</v>
      </c>
      <c r="I153">
        <v>1.8560000000000001</v>
      </c>
      <c r="J153">
        <v>2.95</v>
      </c>
      <c r="K153">
        <v>6.7779999999999996</v>
      </c>
      <c r="L153">
        <v>9.8699999999999992</v>
      </c>
      <c r="M153" s="40">
        <v>18.3</v>
      </c>
      <c r="N153">
        <v>7.1619999999999999</v>
      </c>
      <c r="O153">
        <v>7.76</v>
      </c>
      <c r="P153">
        <v>6.8</v>
      </c>
      <c r="Q153">
        <v>3.03</v>
      </c>
      <c r="R153">
        <v>3.052</v>
      </c>
      <c r="S153">
        <v>8.01</v>
      </c>
      <c r="T153">
        <v>3.585</v>
      </c>
      <c r="U153">
        <v>2.1349999999999998</v>
      </c>
      <c r="V153">
        <v>23</v>
      </c>
      <c r="W153">
        <v>8.1</v>
      </c>
      <c r="X153">
        <v>6.9249999999999998</v>
      </c>
      <c r="Y153">
        <v>4.5149999999999997</v>
      </c>
      <c r="Z153">
        <v>26.8</v>
      </c>
      <c r="AA153">
        <v>6.82</v>
      </c>
      <c r="AB153">
        <v>5.47</v>
      </c>
      <c r="AC153">
        <v>1.48</v>
      </c>
      <c r="AD153">
        <v>1.3240000000000001</v>
      </c>
      <c r="AE153">
        <v>5.2</v>
      </c>
      <c r="AF153">
        <v>1.718</v>
      </c>
      <c r="AG153">
        <v>0.41699999999999998</v>
      </c>
      <c r="AH153">
        <v>1.02</v>
      </c>
      <c r="AI153">
        <v>6.3</v>
      </c>
      <c r="AJ153">
        <v>2.36</v>
      </c>
      <c r="AK153">
        <v>2.09</v>
      </c>
      <c r="AL153">
        <v>9.9000000000000005E-2</v>
      </c>
      <c r="AM153">
        <v>3.71</v>
      </c>
      <c r="AN153">
        <v>0.50900000000000001</v>
      </c>
      <c r="AO153">
        <v>1.665</v>
      </c>
      <c r="AP153">
        <v>3.6</v>
      </c>
      <c r="AQ153">
        <v>0.9</v>
      </c>
      <c r="AR153">
        <v>2.8149999999999999</v>
      </c>
      <c r="AS153">
        <v>1.7250000000000001</v>
      </c>
      <c r="AT153">
        <v>0.43099999999999999</v>
      </c>
      <c r="AU153">
        <v>873.34</v>
      </c>
    </row>
    <row r="154" spans="1:47">
      <c r="A154" s="39">
        <v>43775</v>
      </c>
      <c r="B154">
        <v>27.4</v>
      </c>
      <c r="C154">
        <v>13.55</v>
      </c>
      <c r="D154">
        <v>9.5419999999999998</v>
      </c>
      <c r="E154">
        <v>17.62</v>
      </c>
      <c r="F154">
        <v>8.68</v>
      </c>
      <c r="G154">
        <v>0.84599999999999997</v>
      </c>
      <c r="H154">
        <v>22</v>
      </c>
      <c r="I154">
        <v>1.7709999999999999</v>
      </c>
      <c r="J154">
        <v>2.8050000000000002</v>
      </c>
      <c r="K154">
        <v>6.6929999999999996</v>
      </c>
      <c r="L154">
        <v>9.8000000000000007</v>
      </c>
      <c r="M154" s="40">
        <v>17.98</v>
      </c>
      <c r="N154">
        <v>7.1130000000000004</v>
      </c>
      <c r="O154">
        <v>7.73</v>
      </c>
      <c r="P154">
        <v>6.72</v>
      </c>
      <c r="Q154">
        <v>2.8919999999999999</v>
      </c>
      <c r="R154">
        <v>3.0680000000000001</v>
      </c>
      <c r="S154">
        <v>8</v>
      </c>
      <c r="T154">
        <v>3.56</v>
      </c>
      <c r="U154">
        <v>2.1349999999999998</v>
      </c>
      <c r="V154">
        <v>23</v>
      </c>
      <c r="W154">
        <v>8.01</v>
      </c>
      <c r="X154">
        <v>6.867</v>
      </c>
      <c r="Y154">
        <v>4.4400000000000004</v>
      </c>
      <c r="Z154">
        <v>26.8</v>
      </c>
      <c r="AA154">
        <v>6.9</v>
      </c>
      <c r="AB154">
        <v>5.49</v>
      </c>
      <c r="AC154">
        <v>1.468</v>
      </c>
      <c r="AD154">
        <v>1.33</v>
      </c>
      <c r="AE154">
        <v>5.22</v>
      </c>
      <c r="AF154">
        <v>1.6779999999999999</v>
      </c>
      <c r="AG154">
        <v>0.40799999999999997</v>
      </c>
      <c r="AH154">
        <v>1.03</v>
      </c>
      <c r="AI154">
        <v>6.3</v>
      </c>
      <c r="AJ154">
        <v>2.36</v>
      </c>
      <c r="AK154">
        <v>2.0099999999999998</v>
      </c>
      <c r="AL154">
        <v>9.9000000000000005E-2</v>
      </c>
      <c r="AM154">
        <v>3.61</v>
      </c>
      <c r="AN154">
        <v>0.47899999999999998</v>
      </c>
      <c r="AO154">
        <v>1.67</v>
      </c>
      <c r="AP154">
        <v>3.6</v>
      </c>
      <c r="AQ154">
        <v>0.875</v>
      </c>
      <c r="AR154">
        <v>2.8</v>
      </c>
      <c r="AS154">
        <v>1.72</v>
      </c>
      <c r="AT154">
        <v>0.40799999999999997</v>
      </c>
      <c r="AU154">
        <v>859.81</v>
      </c>
    </row>
    <row r="155" spans="1:47">
      <c r="A155" s="39">
        <v>43776</v>
      </c>
      <c r="B155">
        <v>27.51</v>
      </c>
      <c r="C155">
        <v>13.47</v>
      </c>
      <c r="D155">
        <v>9.6769999999999996</v>
      </c>
      <c r="E155">
        <v>18.13</v>
      </c>
      <c r="F155">
        <v>8.68</v>
      </c>
      <c r="G155">
        <v>0.89</v>
      </c>
      <c r="H155">
        <v>21.94</v>
      </c>
      <c r="I155">
        <v>1.8480000000000001</v>
      </c>
      <c r="J155">
        <v>2.875</v>
      </c>
      <c r="K155">
        <v>6.7119999999999997</v>
      </c>
      <c r="L155">
        <v>9.8249999999999993</v>
      </c>
      <c r="M155" s="40">
        <v>18.02</v>
      </c>
      <c r="N155">
        <v>7.133</v>
      </c>
      <c r="O155">
        <v>7.68</v>
      </c>
      <c r="P155">
        <v>6.71</v>
      </c>
      <c r="Q155">
        <v>2.9980000000000002</v>
      </c>
      <c r="R155">
        <v>3.1040000000000001</v>
      </c>
      <c r="S155">
        <v>7.84</v>
      </c>
      <c r="T155">
        <v>3.61</v>
      </c>
      <c r="U155">
        <v>2.13</v>
      </c>
      <c r="V155">
        <v>23</v>
      </c>
      <c r="W155">
        <v>8.15</v>
      </c>
      <c r="X155">
        <v>6.9450000000000003</v>
      </c>
      <c r="Y155">
        <v>4.4649999999999999</v>
      </c>
      <c r="Z155">
        <v>27</v>
      </c>
      <c r="AA155">
        <v>6.9</v>
      </c>
      <c r="AB155">
        <v>5.5</v>
      </c>
      <c r="AC155">
        <v>1.45</v>
      </c>
      <c r="AD155">
        <v>1.3320000000000001</v>
      </c>
      <c r="AE155">
        <v>5.22</v>
      </c>
      <c r="AF155">
        <v>1.738</v>
      </c>
      <c r="AG155">
        <v>0.42</v>
      </c>
      <c r="AH155">
        <v>1.026</v>
      </c>
      <c r="AI155">
        <v>6.55</v>
      </c>
      <c r="AJ155">
        <v>2.35</v>
      </c>
      <c r="AK155">
        <v>2.0499999999999998</v>
      </c>
      <c r="AL155">
        <v>9.8000000000000004E-2</v>
      </c>
      <c r="AM155">
        <v>3.64</v>
      </c>
      <c r="AN155">
        <v>0.52300000000000002</v>
      </c>
      <c r="AO155">
        <v>1.68</v>
      </c>
      <c r="AP155">
        <v>3.59</v>
      </c>
      <c r="AQ155">
        <v>0.872</v>
      </c>
      <c r="AR155">
        <v>2.84</v>
      </c>
      <c r="AS155">
        <v>1.7450000000000001</v>
      </c>
      <c r="AT155">
        <v>0.41</v>
      </c>
      <c r="AU155">
        <v>869.47</v>
      </c>
    </row>
    <row r="156" spans="1:47">
      <c r="A156" s="39">
        <v>43777</v>
      </c>
      <c r="B156">
        <v>27.48</v>
      </c>
      <c r="C156">
        <v>13.4</v>
      </c>
      <c r="D156">
        <v>9.6920000000000002</v>
      </c>
      <c r="E156">
        <v>18.260000000000002</v>
      </c>
      <c r="F156">
        <v>8.59</v>
      </c>
      <c r="G156">
        <v>0.88</v>
      </c>
      <c r="H156">
        <v>21.84</v>
      </c>
      <c r="I156">
        <v>1.7809999999999999</v>
      </c>
      <c r="J156">
        <v>2.7879999999999998</v>
      </c>
      <c r="K156">
        <v>6.7210000000000001</v>
      </c>
      <c r="L156">
        <v>9.81</v>
      </c>
      <c r="M156" s="40">
        <v>18.5</v>
      </c>
      <c r="N156">
        <v>7.1230000000000002</v>
      </c>
      <c r="O156">
        <v>7.68</v>
      </c>
      <c r="P156">
        <v>6.74</v>
      </c>
      <c r="Q156">
        <v>2.9780000000000002</v>
      </c>
      <c r="R156">
        <v>3.07</v>
      </c>
      <c r="S156">
        <v>7.85</v>
      </c>
      <c r="T156">
        <v>3.57</v>
      </c>
      <c r="U156">
        <v>2.105</v>
      </c>
      <c r="V156">
        <v>23</v>
      </c>
      <c r="W156">
        <v>8.15</v>
      </c>
      <c r="X156">
        <v>6.9059999999999997</v>
      </c>
      <c r="Y156">
        <v>4.4050000000000002</v>
      </c>
      <c r="Z156">
        <v>27</v>
      </c>
      <c r="AA156">
        <v>6.82</v>
      </c>
      <c r="AB156">
        <v>5.52</v>
      </c>
      <c r="AC156">
        <v>1.44</v>
      </c>
      <c r="AD156">
        <v>1.31</v>
      </c>
      <c r="AE156">
        <v>5.26</v>
      </c>
      <c r="AF156">
        <v>1.694</v>
      </c>
      <c r="AG156">
        <v>0.41799999999999998</v>
      </c>
      <c r="AH156">
        <v>1.024</v>
      </c>
      <c r="AI156">
        <v>6.6</v>
      </c>
      <c r="AJ156">
        <v>2.31</v>
      </c>
      <c r="AK156">
        <v>2.04</v>
      </c>
      <c r="AL156">
        <v>0.09</v>
      </c>
      <c r="AM156">
        <v>3.65</v>
      </c>
      <c r="AN156">
        <v>0.51500000000000001</v>
      </c>
      <c r="AO156">
        <v>1.67</v>
      </c>
      <c r="AP156">
        <v>3.61</v>
      </c>
      <c r="AQ156">
        <v>0.86699999999999999</v>
      </c>
      <c r="AR156">
        <v>2.84</v>
      </c>
      <c r="AS156">
        <v>1.79</v>
      </c>
      <c r="AT156">
        <v>0.40100000000000002</v>
      </c>
      <c r="AU156">
        <v>864.69</v>
      </c>
    </row>
    <row r="157" spans="1:47">
      <c r="A157" s="39">
        <v>43780</v>
      </c>
      <c r="B157">
        <v>27.29</v>
      </c>
      <c r="C157">
        <v>13.44</v>
      </c>
      <c r="D157">
        <v>9.6620000000000008</v>
      </c>
      <c r="E157">
        <v>18.07</v>
      </c>
      <c r="F157">
        <v>8.48</v>
      </c>
      <c r="G157">
        <v>0.87</v>
      </c>
      <c r="H157">
        <v>21.46</v>
      </c>
      <c r="I157">
        <v>1.74</v>
      </c>
      <c r="J157">
        <v>2.7559999999999998</v>
      </c>
      <c r="K157">
        <v>6.6840000000000002</v>
      </c>
      <c r="L157">
        <v>9.77</v>
      </c>
      <c r="M157" s="40">
        <v>18.48</v>
      </c>
      <c r="N157">
        <v>7.0149999999999997</v>
      </c>
      <c r="O157">
        <v>7.48</v>
      </c>
      <c r="P157">
        <v>6.62</v>
      </c>
      <c r="Q157">
        <v>2.8639999999999999</v>
      </c>
      <c r="R157">
        <v>3.0640000000000001</v>
      </c>
      <c r="S157">
        <v>7.89</v>
      </c>
      <c r="T157">
        <v>3.5449999999999999</v>
      </c>
      <c r="U157">
        <v>2.08</v>
      </c>
      <c r="V157">
        <v>23.25</v>
      </c>
      <c r="W157">
        <v>8.0299999999999994</v>
      </c>
      <c r="X157">
        <v>6.8470000000000004</v>
      </c>
      <c r="Y157">
        <v>4.37</v>
      </c>
      <c r="Z157">
        <v>27</v>
      </c>
      <c r="AA157">
        <v>6.82</v>
      </c>
      <c r="AB157">
        <v>5.41</v>
      </c>
      <c r="AC157">
        <v>1.44</v>
      </c>
      <c r="AD157">
        <v>1.306</v>
      </c>
      <c r="AE157">
        <v>5.18</v>
      </c>
      <c r="AF157">
        <v>1.66</v>
      </c>
      <c r="AG157">
        <v>0.41</v>
      </c>
      <c r="AH157">
        <v>1.01</v>
      </c>
      <c r="AI157">
        <v>6.75</v>
      </c>
      <c r="AJ157">
        <v>2.2599999999999998</v>
      </c>
      <c r="AK157">
        <v>2.0299999999999998</v>
      </c>
      <c r="AL157">
        <v>9.0999999999999998E-2</v>
      </c>
      <c r="AM157">
        <v>3.66</v>
      </c>
      <c r="AN157">
        <v>0.501</v>
      </c>
      <c r="AO157">
        <v>1.65</v>
      </c>
      <c r="AP157">
        <v>3.64</v>
      </c>
      <c r="AQ157">
        <v>0.85799999999999998</v>
      </c>
      <c r="AR157">
        <v>2.76</v>
      </c>
      <c r="AS157">
        <v>1.8049999999999999</v>
      </c>
      <c r="AT157">
        <v>0.38600000000000001</v>
      </c>
      <c r="AU157">
        <v>855.92</v>
      </c>
    </row>
    <row r="158" spans="1:47">
      <c r="A158" s="39">
        <v>43781</v>
      </c>
      <c r="B158">
        <v>27.53</v>
      </c>
      <c r="C158">
        <v>13.45</v>
      </c>
      <c r="D158">
        <v>9.6920000000000002</v>
      </c>
      <c r="E158">
        <v>18.37</v>
      </c>
      <c r="F158">
        <v>8.5500000000000007</v>
      </c>
      <c r="G158">
        <v>0.90900000000000003</v>
      </c>
      <c r="H158">
        <v>21.4</v>
      </c>
      <c r="I158">
        <v>1.786</v>
      </c>
      <c r="J158">
        <v>2.85</v>
      </c>
      <c r="K158">
        <v>6.7309999999999999</v>
      </c>
      <c r="L158">
        <v>9.86</v>
      </c>
      <c r="M158" s="40">
        <v>18.399999999999999</v>
      </c>
      <c r="N158">
        <v>7.0839999999999996</v>
      </c>
      <c r="O158">
        <v>7.56</v>
      </c>
      <c r="P158">
        <v>6.75</v>
      </c>
      <c r="Q158">
        <v>2.9620000000000002</v>
      </c>
      <c r="R158">
        <v>3.1120000000000001</v>
      </c>
      <c r="S158">
        <v>7.92</v>
      </c>
      <c r="T158">
        <v>3.57</v>
      </c>
      <c r="U158">
        <v>2.14</v>
      </c>
      <c r="V158">
        <v>23.3</v>
      </c>
      <c r="W158">
        <v>8.0399999999999991</v>
      </c>
      <c r="X158">
        <v>6.867</v>
      </c>
      <c r="Y158">
        <v>4.375</v>
      </c>
      <c r="Z158">
        <v>26.6</v>
      </c>
      <c r="AA158">
        <v>6.86</v>
      </c>
      <c r="AB158">
        <v>5.33</v>
      </c>
      <c r="AC158">
        <v>1.466</v>
      </c>
      <c r="AD158">
        <v>1.3140000000000001</v>
      </c>
      <c r="AE158">
        <v>5.24</v>
      </c>
      <c r="AF158">
        <v>1.698</v>
      </c>
      <c r="AG158">
        <v>0.432</v>
      </c>
      <c r="AH158">
        <v>1.036</v>
      </c>
      <c r="AI158">
        <v>6.8</v>
      </c>
      <c r="AJ158">
        <v>2.34</v>
      </c>
      <c r="AK158">
        <v>1.97</v>
      </c>
      <c r="AL158">
        <v>9.0999999999999998E-2</v>
      </c>
      <c r="AM158">
        <v>3.65</v>
      </c>
      <c r="AN158">
        <v>0.502</v>
      </c>
      <c r="AO158">
        <v>1.64</v>
      </c>
      <c r="AP158">
        <v>3.7</v>
      </c>
      <c r="AQ158">
        <v>0.86499999999999999</v>
      </c>
      <c r="AR158">
        <v>2.81</v>
      </c>
      <c r="AS158">
        <v>1.82</v>
      </c>
      <c r="AT158">
        <v>0.40799999999999997</v>
      </c>
      <c r="AU158">
        <v>866.48</v>
      </c>
    </row>
    <row r="159" spans="1:47">
      <c r="A159" s="39">
        <v>43782</v>
      </c>
      <c r="B159">
        <v>28.93</v>
      </c>
      <c r="C159">
        <v>13.44</v>
      </c>
      <c r="D159">
        <v>9.5570000000000004</v>
      </c>
      <c r="E159">
        <v>18.329999999999998</v>
      </c>
      <c r="F159">
        <v>8.57</v>
      </c>
      <c r="G159">
        <v>0.91</v>
      </c>
      <c r="H159">
        <v>21.64</v>
      </c>
      <c r="I159">
        <v>1.8049999999999999</v>
      </c>
      <c r="J159">
        <v>2.8690000000000002</v>
      </c>
      <c r="K159">
        <v>7.1070000000000002</v>
      </c>
      <c r="L159">
        <v>9.85</v>
      </c>
      <c r="M159" s="40">
        <v>18.34</v>
      </c>
      <c r="N159">
        <v>7.0640000000000001</v>
      </c>
      <c r="O159">
        <v>7.55</v>
      </c>
      <c r="P159">
        <v>6.74</v>
      </c>
      <c r="Q159">
        <v>2.944</v>
      </c>
      <c r="R159">
        <v>3.1139999999999999</v>
      </c>
      <c r="S159">
        <v>7.99</v>
      </c>
      <c r="T159">
        <v>3.57</v>
      </c>
      <c r="U159">
        <v>2.15</v>
      </c>
      <c r="V159">
        <v>23.3</v>
      </c>
      <c r="W159">
        <v>7.97</v>
      </c>
      <c r="X159">
        <v>6.984</v>
      </c>
      <c r="Y159">
        <v>4.4000000000000004</v>
      </c>
      <c r="Z159">
        <v>26.6</v>
      </c>
      <c r="AA159">
        <v>6.8</v>
      </c>
      <c r="AB159">
        <v>5.46</v>
      </c>
      <c r="AC159">
        <v>1.446</v>
      </c>
      <c r="AD159">
        <v>1.3140000000000001</v>
      </c>
      <c r="AE159">
        <v>5.2</v>
      </c>
      <c r="AF159">
        <v>1.6759999999999999</v>
      </c>
      <c r="AG159">
        <v>0.43</v>
      </c>
      <c r="AH159">
        <v>1.038</v>
      </c>
      <c r="AI159">
        <v>6.75</v>
      </c>
      <c r="AJ159">
        <v>2.41</v>
      </c>
      <c r="AK159">
        <v>2.0099999999999998</v>
      </c>
      <c r="AL159">
        <v>9.0999999999999998E-2</v>
      </c>
      <c r="AM159">
        <v>3.69</v>
      </c>
      <c r="AN159">
        <v>0.52800000000000002</v>
      </c>
      <c r="AO159">
        <v>1.655</v>
      </c>
      <c r="AP159">
        <v>3.55</v>
      </c>
      <c r="AQ159">
        <v>0.876</v>
      </c>
      <c r="AR159">
        <v>2.8050000000000002</v>
      </c>
      <c r="AS159">
        <v>1.82</v>
      </c>
      <c r="AT159">
        <v>0.39300000000000002</v>
      </c>
      <c r="AU159">
        <v>870.93</v>
      </c>
    </row>
    <row r="160" spans="1:47">
      <c r="A160" s="39">
        <v>43783</v>
      </c>
      <c r="B160">
        <v>30.28</v>
      </c>
      <c r="C160">
        <v>13.45</v>
      </c>
      <c r="D160">
        <v>9.6219999999999999</v>
      </c>
      <c r="E160">
        <v>18.350000000000001</v>
      </c>
      <c r="F160">
        <v>8.66</v>
      </c>
      <c r="G160">
        <v>0.96399999999999997</v>
      </c>
      <c r="H160">
        <v>21.66</v>
      </c>
      <c r="I160">
        <v>1.925</v>
      </c>
      <c r="J160">
        <v>3.06</v>
      </c>
      <c r="K160">
        <v>7.1920000000000002</v>
      </c>
      <c r="L160">
        <v>9.8849999999999998</v>
      </c>
      <c r="M160" s="40">
        <v>18.3</v>
      </c>
      <c r="N160">
        <v>7.1619999999999999</v>
      </c>
      <c r="O160">
        <v>7.58</v>
      </c>
      <c r="P160">
        <v>6.8</v>
      </c>
      <c r="Q160">
        <v>3.0419999999999998</v>
      </c>
      <c r="R160">
        <v>3.1739999999999999</v>
      </c>
      <c r="S160">
        <v>8.1999999999999993</v>
      </c>
      <c r="T160">
        <v>3.7</v>
      </c>
      <c r="U160">
        <v>2.19</v>
      </c>
      <c r="V160">
        <v>23.05</v>
      </c>
      <c r="W160">
        <v>7.98</v>
      </c>
      <c r="X160">
        <v>6.9450000000000003</v>
      </c>
      <c r="Y160">
        <v>4.5</v>
      </c>
      <c r="Z160">
        <v>27</v>
      </c>
      <c r="AA160">
        <v>6.86</v>
      </c>
      <c r="AB160">
        <v>5.49</v>
      </c>
      <c r="AC160">
        <v>1.4219999999999999</v>
      </c>
      <c r="AD160">
        <v>1.3520000000000001</v>
      </c>
      <c r="AE160">
        <v>5.24</v>
      </c>
      <c r="AF160">
        <v>1.756</v>
      </c>
      <c r="AG160">
        <v>0.44800000000000001</v>
      </c>
      <c r="AH160">
        <v>1.04</v>
      </c>
      <c r="AI160">
        <v>6.75</v>
      </c>
      <c r="AJ160">
        <v>2.4500000000000002</v>
      </c>
      <c r="AK160">
        <v>2.02</v>
      </c>
      <c r="AL160">
        <v>9.6000000000000002E-2</v>
      </c>
      <c r="AM160">
        <v>3.76</v>
      </c>
      <c r="AN160">
        <v>0.52400000000000002</v>
      </c>
      <c r="AO160">
        <v>1.7</v>
      </c>
      <c r="AP160">
        <v>3.65</v>
      </c>
      <c r="AQ160">
        <v>0.91500000000000004</v>
      </c>
      <c r="AR160">
        <v>2.85</v>
      </c>
      <c r="AS160">
        <v>1.855</v>
      </c>
      <c r="AT160">
        <v>0.40899999999999997</v>
      </c>
      <c r="AU160">
        <v>889.84</v>
      </c>
    </row>
    <row r="161" spans="1:47">
      <c r="A161" s="39">
        <v>43784</v>
      </c>
      <c r="B161">
        <v>29.08</v>
      </c>
      <c r="C161">
        <v>13.37</v>
      </c>
      <c r="D161">
        <v>9.6669999999999998</v>
      </c>
      <c r="E161">
        <v>18.57</v>
      </c>
      <c r="F161">
        <v>8.6999999999999993</v>
      </c>
      <c r="G161">
        <v>0.95499999999999996</v>
      </c>
      <c r="H161">
        <v>21.8</v>
      </c>
      <c r="I161">
        <v>1.919</v>
      </c>
      <c r="J161">
        <v>3.02</v>
      </c>
      <c r="K161">
        <v>7.2389999999999999</v>
      </c>
      <c r="L161">
        <v>9.8000000000000007</v>
      </c>
      <c r="M161" s="40">
        <v>18.260000000000002</v>
      </c>
      <c r="N161">
        <v>7.2009999999999996</v>
      </c>
      <c r="O161">
        <v>7.49</v>
      </c>
      <c r="P161">
        <v>6.79</v>
      </c>
      <c r="Q161">
        <v>3</v>
      </c>
      <c r="R161">
        <v>3.1859999999999999</v>
      </c>
      <c r="S161">
        <v>8.1999999999999993</v>
      </c>
      <c r="T161">
        <v>3.7650000000000001</v>
      </c>
      <c r="U161">
        <v>2.2149999999999999</v>
      </c>
      <c r="V161">
        <v>23.05</v>
      </c>
      <c r="W161">
        <v>8.0500000000000007</v>
      </c>
      <c r="X161">
        <v>6.9450000000000003</v>
      </c>
      <c r="Y161">
        <v>4.4749999999999996</v>
      </c>
      <c r="Z161">
        <v>26.8</v>
      </c>
      <c r="AA161">
        <v>6.88</v>
      </c>
      <c r="AB161">
        <v>5.46</v>
      </c>
      <c r="AC161">
        <v>1.4279999999999999</v>
      </c>
      <c r="AD161">
        <v>1.3560000000000001</v>
      </c>
      <c r="AE161">
        <v>5.2</v>
      </c>
      <c r="AF161">
        <v>1.764</v>
      </c>
      <c r="AG161">
        <v>0.44700000000000001</v>
      </c>
      <c r="AH161">
        <v>1.038</v>
      </c>
      <c r="AI161">
        <v>6.75</v>
      </c>
      <c r="AJ161">
        <v>2.39</v>
      </c>
      <c r="AK161">
        <v>1.9850000000000001</v>
      </c>
      <c r="AL161">
        <v>9.7000000000000003E-2</v>
      </c>
      <c r="AM161">
        <v>3.76</v>
      </c>
      <c r="AN161">
        <v>0.52500000000000002</v>
      </c>
      <c r="AO161">
        <v>1.7</v>
      </c>
      <c r="AP161">
        <v>3.69</v>
      </c>
      <c r="AQ161">
        <v>0.89700000000000002</v>
      </c>
      <c r="AR161">
        <v>2.81</v>
      </c>
      <c r="AS161">
        <v>1.83</v>
      </c>
      <c r="AT161">
        <v>0.4</v>
      </c>
      <c r="AU161">
        <v>885.24</v>
      </c>
    </row>
    <row r="162" spans="1:47">
      <c r="A162" s="39">
        <v>43787</v>
      </c>
      <c r="B162">
        <v>28.68</v>
      </c>
      <c r="C162">
        <v>13.37</v>
      </c>
      <c r="D162">
        <v>9.7769999999999992</v>
      </c>
      <c r="E162">
        <v>18.600000000000001</v>
      </c>
      <c r="F162">
        <v>8.65</v>
      </c>
      <c r="G162">
        <v>0.97099999999999997</v>
      </c>
      <c r="H162">
        <v>21.68</v>
      </c>
      <c r="I162">
        <v>1.92</v>
      </c>
      <c r="J162">
        <v>3.052</v>
      </c>
      <c r="K162">
        <v>7.1920000000000002</v>
      </c>
      <c r="L162">
        <v>9.8800000000000008</v>
      </c>
      <c r="M162" s="40">
        <v>18.399999999999999</v>
      </c>
      <c r="N162">
        <v>7.2009999999999996</v>
      </c>
      <c r="O162">
        <v>7.45</v>
      </c>
      <c r="P162">
        <v>6.86</v>
      </c>
      <c r="Q162">
        <v>3.1019999999999999</v>
      </c>
      <c r="R162">
        <v>3.1419999999999999</v>
      </c>
      <c r="S162">
        <v>8.27</v>
      </c>
      <c r="T162">
        <v>3.77</v>
      </c>
      <c r="U162">
        <v>2.1800000000000002</v>
      </c>
      <c r="V162">
        <v>22.8</v>
      </c>
      <c r="W162">
        <v>8.1199999999999992</v>
      </c>
      <c r="X162">
        <v>6.9649999999999999</v>
      </c>
      <c r="Y162">
        <v>4.53</v>
      </c>
      <c r="Z162">
        <v>26.8</v>
      </c>
      <c r="AA162">
        <v>7.14</v>
      </c>
      <c r="AB162">
        <v>5.55</v>
      </c>
      <c r="AC162">
        <v>1.448</v>
      </c>
      <c r="AD162">
        <v>1.3580000000000001</v>
      </c>
      <c r="AE162">
        <v>5.22</v>
      </c>
      <c r="AF162">
        <v>1.748</v>
      </c>
      <c r="AG162">
        <v>0.44500000000000001</v>
      </c>
      <c r="AH162">
        <v>1.04</v>
      </c>
      <c r="AI162">
        <v>6.75</v>
      </c>
      <c r="AJ162">
        <v>2.34</v>
      </c>
      <c r="AK162">
        <v>2.0499999999999998</v>
      </c>
      <c r="AL162">
        <v>0.10100000000000001</v>
      </c>
      <c r="AM162">
        <v>3.62</v>
      </c>
      <c r="AN162">
        <v>0.52300000000000002</v>
      </c>
      <c r="AO162">
        <v>1.69</v>
      </c>
      <c r="AP162">
        <v>3.48</v>
      </c>
      <c r="AQ162">
        <v>0.88400000000000001</v>
      </c>
      <c r="AR162">
        <v>2.8</v>
      </c>
      <c r="AS162">
        <v>1.81</v>
      </c>
      <c r="AT162">
        <v>0.4</v>
      </c>
      <c r="AU162">
        <v>888.29</v>
      </c>
    </row>
    <row r="163" spans="1:47">
      <c r="A163" s="39">
        <v>43788</v>
      </c>
      <c r="B163">
        <v>28.49</v>
      </c>
      <c r="C163">
        <v>13.5</v>
      </c>
      <c r="D163">
        <v>9.8070000000000004</v>
      </c>
      <c r="E163">
        <v>18.579999999999998</v>
      </c>
      <c r="F163">
        <v>8.61</v>
      </c>
      <c r="G163">
        <v>0.98499999999999999</v>
      </c>
      <c r="H163">
        <v>21.84</v>
      </c>
      <c r="I163">
        <v>1.9059999999999999</v>
      </c>
      <c r="J163">
        <v>3.13</v>
      </c>
      <c r="K163">
        <v>7.3239999999999998</v>
      </c>
      <c r="L163">
        <v>9.91</v>
      </c>
      <c r="M163" s="40">
        <v>18.559999999999999</v>
      </c>
      <c r="N163">
        <v>7.2210000000000001</v>
      </c>
      <c r="O163">
        <v>7.4</v>
      </c>
      <c r="P163">
        <v>6.89</v>
      </c>
      <c r="Q163">
        <v>3.1760000000000002</v>
      </c>
      <c r="R163">
        <v>3.19</v>
      </c>
      <c r="S163">
        <v>8.4</v>
      </c>
      <c r="T163">
        <v>3.7250000000000001</v>
      </c>
      <c r="U163">
        <v>2.21</v>
      </c>
      <c r="V163">
        <v>22.95</v>
      </c>
      <c r="W163">
        <v>8.1999999999999993</v>
      </c>
      <c r="X163">
        <v>7.0629999999999997</v>
      </c>
      <c r="Y163">
        <v>4.57</v>
      </c>
      <c r="Z163">
        <v>26.8</v>
      </c>
      <c r="AA163">
        <v>7.16</v>
      </c>
      <c r="AB163">
        <v>5.52</v>
      </c>
      <c r="AC163">
        <v>1.448</v>
      </c>
      <c r="AD163">
        <v>1.36</v>
      </c>
      <c r="AE163">
        <v>5.28</v>
      </c>
      <c r="AF163">
        <v>1.742</v>
      </c>
      <c r="AG163">
        <v>0.436</v>
      </c>
      <c r="AH163">
        <v>1.044</v>
      </c>
      <c r="AI163">
        <v>6.8</v>
      </c>
      <c r="AJ163">
        <v>2.4</v>
      </c>
      <c r="AK163">
        <v>2.0499999999999998</v>
      </c>
      <c r="AL163">
        <v>0.1</v>
      </c>
      <c r="AM163">
        <v>3.65</v>
      </c>
      <c r="AN163">
        <v>0.51400000000000001</v>
      </c>
      <c r="AO163">
        <v>1.6950000000000001</v>
      </c>
      <c r="AP163">
        <v>3.56</v>
      </c>
      <c r="AQ163">
        <v>0.88</v>
      </c>
      <c r="AR163">
        <v>2.75</v>
      </c>
      <c r="AS163">
        <v>1.7849999999999999</v>
      </c>
      <c r="AT163">
        <v>0.39700000000000002</v>
      </c>
      <c r="AU163">
        <v>893.37</v>
      </c>
    </row>
    <row r="164" spans="1:47">
      <c r="A164" s="39">
        <v>43789</v>
      </c>
      <c r="B164">
        <v>28</v>
      </c>
      <c r="C164">
        <v>13.92</v>
      </c>
      <c r="D164">
        <v>9.891</v>
      </c>
      <c r="E164">
        <v>18.5</v>
      </c>
      <c r="F164">
        <v>8.66</v>
      </c>
      <c r="G164">
        <v>0.96499999999999997</v>
      </c>
      <c r="H164">
        <v>21.78</v>
      </c>
      <c r="I164">
        <v>1.85</v>
      </c>
      <c r="J164">
        <v>3.06</v>
      </c>
      <c r="K164">
        <v>7.4370000000000003</v>
      </c>
      <c r="L164">
        <v>9.85</v>
      </c>
      <c r="M164" s="40">
        <v>18.579999999999998</v>
      </c>
      <c r="N164">
        <v>7.3380000000000001</v>
      </c>
      <c r="O164">
        <v>7.38</v>
      </c>
      <c r="P164">
        <v>6.9</v>
      </c>
      <c r="Q164">
        <v>3.11</v>
      </c>
      <c r="R164">
        <v>3.15</v>
      </c>
      <c r="S164">
        <v>8.48</v>
      </c>
      <c r="T164">
        <v>3.7</v>
      </c>
      <c r="U164">
        <v>2.2000000000000002</v>
      </c>
      <c r="V164">
        <v>22.95</v>
      </c>
      <c r="W164">
        <v>8.1999999999999993</v>
      </c>
      <c r="X164">
        <v>7.1609999999999996</v>
      </c>
      <c r="Y164">
        <v>4.5599999999999996</v>
      </c>
      <c r="Z164">
        <v>26.1</v>
      </c>
      <c r="AA164">
        <v>7.1</v>
      </c>
      <c r="AB164">
        <v>5.37</v>
      </c>
      <c r="AC164">
        <v>1.448</v>
      </c>
      <c r="AD164">
        <v>1.3460000000000001</v>
      </c>
      <c r="AE164">
        <v>5.38</v>
      </c>
      <c r="AF164">
        <v>1.74</v>
      </c>
      <c r="AG164">
        <v>0.437</v>
      </c>
      <c r="AH164">
        <v>1.0740000000000001</v>
      </c>
      <c r="AI164">
        <v>6.85</v>
      </c>
      <c r="AJ164">
        <v>2.44</v>
      </c>
      <c r="AK164">
        <v>2.0499999999999998</v>
      </c>
      <c r="AL164">
        <v>9.8000000000000004E-2</v>
      </c>
      <c r="AM164">
        <v>3.58</v>
      </c>
      <c r="AN164">
        <v>0.50700000000000001</v>
      </c>
      <c r="AO164">
        <v>1.6850000000000001</v>
      </c>
      <c r="AP164">
        <v>3.55</v>
      </c>
      <c r="AQ164">
        <v>0.878</v>
      </c>
      <c r="AR164">
        <v>2.7949999999999999</v>
      </c>
      <c r="AS164">
        <v>1.8</v>
      </c>
      <c r="AT164">
        <v>0.40500000000000003</v>
      </c>
      <c r="AU164">
        <v>890.37</v>
      </c>
    </row>
    <row r="165" spans="1:47">
      <c r="A165" s="39">
        <v>43790</v>
      </c>
      <c r="B165">
        <v>28.24</v>
      </c>
      <c r="C165">
        <v>13.8</v>
      </c>
      <c r="D165">
        <v>9.8420000000000005</v>
      </c>
      <c r="E165">
        <v>17.95</v>
      </c>
      <c r="F165">
        <v>8.6300000000000008</v>
      </c>
      <c r="G165">
        <v>0.96</v>
      </c>
      <c r="H165">
        <v>21.48</v>
      </c>
      <c r="I165">
        <v>1.8049999999999999</v>
      </c>
      <c r="J165">
        <v>3.03</v>
      </c>
      <c r="K165">
        <v>7.5019999999999998</v>
      </c>
      <c r="L165">
        <v>9.81</v>
      </c>
      <c r="M165" s="40">
        <v>18.38</v>
      </c>
      <c r="N165">
        <v>7.25</v>
      </c>
      <c r="O165">
        <v>7.34</v>
      </c>
      <c r="P165">
        <v>6.94</v>
      </c>
      <c r="Q165">
        <v>3.0720000000000001</v>
      </c>
      <c r="R165">
        <v>3.1040000000000001</v>
      </c>
      <c r="S165">
        <v>8.35</v>
      </c>
      <c r="T165">
        <v>3.65</v>
      </c>
      <c r="U165">
        <v>2.1800000000000002</v>
      </c>
      <c r="V165">
        <v>22.85</v>
      </c>
      <c r="W165">
        <v>8.1999999999999993</v>
      </c>
      <c r="X165">
        <v>7.1609999999999996</v>
      </c>
      <c r="Y165">
        <v>4.49</v>
      </c>
      <c r="Z165">
        <v>26.1</v>
      </c>
      <c r="AA165">
        <v>7.22</v>
      </c>
      <c r="AB165">
        <v>5.44</v>
      </c>
      <c r="AC165">
        <v>1.454</v>
      </c>
      <c r="AD165">
        <v>1.33</v>
      </c>
      <c r="AE165">
        <v>5.42</v>
      </c>
      <c r="AF165">
        <v>1.71</v>
      </c>
      <c r="AG165">
        <v>0.432</v>
      </c>
      <c r="AH165">
        <v>1.048</v>
      </c>
      <c r="AI165">
        <v>6.85</v>
      </c>
      <c r="AJ165">
        <v>2.44</v>
      </c>
      <c r="AK165">
        <v>2.0499999999999998</v>
      </c>
      <c r="AL165">
        <v>9.7000000000000003E-2</v>
      </c>
      <c r="AM165">
        <v>3.52</v>
      </c>
      <c r="AN165">
        <v>0.496</v>
      </c>
      <c r="AO165">
        <v>1.68</v>
      </c>
      <c r="AP165">
        <v>3.57</v>
      </c>
      <c r="AQ165">
        <v>0.88300000000000001</v>
      </c>
      <c r="AR165">
        <v>2.77</v>
      </c>
      <c r="AS165">
        <v>1.83</v>
      </c>
      <c r="AT165">
        <v>0.40500000000000003</v>
      </c>
      <c r="AU165">
        <v>883.39</v>
      </c>
    </row>
    <row r="166" spans="1:47">
      <c r="A166" s="39">
        <v>43791</v>
      </c>
      <c r="B166">
        <v>28.91</v>
      </c>
      <c r="C166">
        <v>13.88</v>
      </c>
      <c r="D166">
        <v>9.9909999999999997</v>
      </c>
      <c r="E166">
        <v>17.7</v>
      </c>
      <c r="F166">
        <v>8.65</v>
      </c>
      <c r="G166">
        <v>0.95799999999999996</v>
      </c>
      <c r="H166">
        <v>21.64</v>
      </c>
      <c r="I166">
        <v>1.89</v>
      </c>
      <c r="J166">
        <v>3.1150000000000002</v>
      </c>
      <c r="K166">
        <v>7.2770000000000001</v>
      </c>
      <c r="L166">
        <v>9.81</v>
      </c>
      <c r="M166" s="40">
        <v>18.7</v>
      </c>
      <c r="N166">
        <v>7.25</v>
      </c>
      <c r="O166">
        <v>7.47</v>
      </c>
      <c r="P166">
        <v>6.94</v>
      </c>
      <c r="Q166">
        <v>3.09</v>
      </c>
      <c r="R166">
        <v>3.1219999999999999</v>
      </c>
      <c r="S166">
        <v>8.3000000000000007</v>
      </c>
      <c r="T166">
        <v>3.7</v>
      </c>
      <c r="U166">
        <v>2.19</v>
      </c>
      <c r="V166">
        <v>23</v>
      </c>
      <c r="W166">
        <v>8.2799999999999994</v>
      </c>
      <c r="X166">
        <v>7.2</v>
      </c>
      <c r="Y166">
        <v>4.53</v>
      </c>
      <c r="Z166">
        <v>26.6</v>
      </c>
      <c r="AA166">
        <v>7.26</v>
      </c>
      <c r="AB166">
        <v>5.48</v>
      </c>
      <c r="AC166">
        <v>1.41</v>
      </c>
      <c r="AD166">
        <v>1.32</v>
      </c>
      <c r="AE166">
        <v>5.42</v>
      </c>
      <c r="AF166">
        <v>1.71</v>
      </c>
      <c r="AG166">
        <v>0.43</v>
      </c>
      <c r="AH166">
        <v>1.05</v>
      </c>
      <c r="AI166">
        <v>6.85</v>
      </c>
      <c r="AJ166">
        <v>2.44</v>
      </c>
      <c r="AK166">
        <v>2.04</v>
      </c>
      <c r="AL166">
        <v>9.7000000000000003E-2</v>
      </c>
      <c r="AM166">
        <v>3.56</v>
      </c>
      <c r="AN166">
        <v>0.501</v>
      </c>
      <c r="AO166">
        <v>1.6850000000000001</v>
      </c>
      <c r="AP166">
        <v>3.59</v>
      </c>
      <c r="AQ166">
        <v>0.88700000000000001</v>
      </c>
      <c r="AR166">
        <v>2.78</v>
      </c>
      <c r="AS166">
        <v>1.83</v>
      </c>
      <c r="AT166">
        <v>0.40600000000000003</v>
      </c>
      <c r="AU166">
        <v>891.3</v>
      </c>
    </row>
    <row r="167" spans="1:47">
      <c r="A167" s="39">
        <v>43794</v>
      </c>
      <c r="B167">
        <v>29.59</v>
      </c>
      <c r="C167">
        <v>13.95</v>
      </c>
      <c r="D167">
        <v>10.071</v>
      </c>
      <c r="E167">
        <v>18.78</v>
      </c>
      <c r="F167">
        <v>8.68</v>
      </c>
      <c r="G167">
        <v>0.97</v>
      </c>
      <c r="H167">
        <v>21.56</v>
      </c>
      <c r="I167">
        <v>1.9</v>
      </c>
      <c r="J167">
        <v>3.1459999999999999</v>
      </c>
      <c r="K167">
        <v>7.173</v>
      </c>
      <c r="L167">
        <v>9.7799999999999994</v>
      </c>
      <c r="M167" s="40">
        <v>18.579999999999998</v>
      </c>
      <c r="N167">
        <v>7.26</v>
      </c>
      <c r="O167">
        <v>7.55</v>
      </c>
      <c r="P167">
        <v>7.02</v>
      </c>
      <c r="Q167">
        <v>3.13</v>
      </c>
      <c r="R167">
        <v>3.1179999999999999</v>
      </c>
      <c r="S167">
        <v>8.3000000000000007</v>
      </c>
      <c r="T167">
        <v>3.76</v>
      </c>
      <c r="U167">
        <v>2.21</v>
      </c>
      <c r="V167">
        <v>23</v>
      </c>
      <c r="W167">
        <v>8.27</v>
      </c>
      <c r="X167">
        <v>7.24</v>
      </c>
      <c r="Y167">
        <v>4.5750000000000002</v>
      </c>
      <c r="Z167">
        <v>26.2</v>
      </c>
      <c r="AA167">
        <v>7.2</v>
      </c>
      <c r="AB167">
        <v>5.4</v>
      </c>
      <c r="AC167">
        <v>1.4279999999999999</v>
      </c>
      <c r="AD167">
        <v>1.3180000000000001</v>
      </c>
      <c r="AE167">
        <v>5.52</v>
      </c>
      <c r="AF167">
        <v>1.6839999999999999</v>
      </c>
      <c r="AG167">
        <v>0.441</v>
      </c>
      <c r="AH167">
        <v>1.048</v>
      </c>
      <c r="AI167">
        <v>6.85</v>
      </c>
      <c r="AJ167">
        <v>2.39</v>
      </c>
      <c r="AK167">
        <v>2</v>
      </c>
      <c r="AL167">
        <v>0.09</v>
      </c>
      <c r="AM167">
        <v>3.6</v>
      </c>
      <c r="AN167">
        <v>0.501</v>
      </c>
      <c r="AO167">
        <v>1.7</v>
      </c>
      <c r="AP167">
        <v>3.5</v>
      </c>
      <c r="AQ167">
        <v>0.88500000000000001</v>
      </c>
      <c r="AR167">
        <v>2.72</v>
      </c>
      <c r="AS167">
        <v>1.78</v>
      </c>
      <c r="AT167">
        <v>0.39700000000000002</v>
      </c>
      <c r="AU167">
        <v>898.23</v>
      </c>
    </row>
    <row r="168" spans="1:47">
      <c r="A168" s="39">
        <v>43795</v>
      </c>
      <c r="B168">
        <v>29.78</v>
      </c>
      <c r="C168">
        <v>13.71</v>
      </c>
      <c r="D168">
        <v>10.161</v>
      </c>
      <c r="E168">
        <v>18.38</v>
      </c>
      <c r="F168">
        <v>8.64</v>
      </c>
      <c r="G168">
        <v>0.94299999999999995</v>
      </c>
      <c r="H168">
        <v>21.72</v>
      </c>
      <c r="I168">
        <v>1.8720000000000001</v>
      </c>
      <c r="J168">
        <v>3.08</v>
      </c>
      <c r="K168">
        <v>7.06</v>
      </c>
      <c r="L168">
        <v>9.8000000000000007</v>
      </c>
      <c r="M168" s="40">
        <v>18.34</v>
      </c>
      <c r="N168">
        <v>7.1719999999999997</v>
      </c>
      <c r="O168">
        <v>7.54</v>
      </c>
      <c r="P168">
        <v>7.06</v>
      </c>
      <c r="Q168">
        <v>3.13</v>
      </c>
      <c r="R168">
        <v>3.1259999999999999</v>
      </c>
      <c r="S168">
        <v>8.3000000000000007</v>
      </c>
      <c r="T168">
        <v>3.73</v>
      </c>
      <c r="U168">
        <v>2.1800000000000002</v>
      </c>
      <c r="V168">
        <v>23</v>
      </c>
      <c r="W168">
        <v>8.18</v>
      </c>
      <c r="X168">
        <v>7.32</v>
      </c>
      <c r="Y168">
        <v>4.6100000000000003</v>
      </c>
      <c r="Z168">
        <v>26.5</v>
      </c>
      <c r="AA168">
        <v>7.14</v>
      </c>
      <c r="AB168">
        <v>5.35</v>
      </c>
      <c r="AC168">
        <v>1.43</v>
      </c>
      <c r="AD168">
        <v>1.3220000000000001</v>
      </c>
      <c r="AE168">
        <v>5.34</v>
      </c>
      <c r="AF168">
        <v>1.6659999999999999</v>
      </c>
      <c r="AG168">
        <v>0.435</v>
      </c>
      <c r="AH168">
        <v>1.032</v>
      </c>
      <c r="AI168">
        <v>6.6</v>
      </c>
      <c r="AJ168">
        <v>2.38</v>
      </c>
      <c r="AK168">
        <v>2.0099999999999998</v>
      </c>
      <c r="AL168">
        <v>9.5000000000000001E-2</v>
      </c>
      <c r="AM168">
        <v>3.6</v>
      </c>
      <c r="AN168">
        <v>0.5</v>
      </c>
      <c r="AO168">
        <v>1.71</v>
      </c>
      <c r="AP168">
        <v>3.55</v>
      </c>
      <c r="AQ168">
        <v>0.87</v>
      </c>
      <c r="AR168">
        <v>2.7450000000000001</v>
      </c>
      <c r="AS168">
        <v>1.77</v>
      </c>
      <c r="AT168">
        <v>0.38900000000000001</v>
      </c>
      <c r="AU168">
        <v>891.86</v>
      </c>
    </row>
    <row r="169" spans="1:47">
      <c r="A169" s="39">
        <v>43796</v>
      </c>
      <c r="B169">
        <v>30.28</v>
      </c>
      <c r="C169">
        <v>13.77</v>
      </c>
      <c r="D169">
        <v>10.391</v>
      </c>
      <c r="E169">
        <v>18.690000000000001</v>
      </c>
      <c r="F169">
        <v>8.6</v>
      </c>
      <c r="G169">
        <v>0.94</v>
      </c>
      <c r="H169">
        <v>21.34</v>
      </c>
      <c r="I169">
        <v>1.865</v>
      </c>
      <c r="J169">
        <v>3.0569999999999999</v>
      </c>
      <c r="K169">
        <v>7.25</v>
      </c>
      <c r="L169">
        <v>9.8049999999999997</v>
      </c>
      <c r="M169" s="40">
        <v>18.579999999999998</v>
      </c>
      <c r="N169">
        <v>7.0449999999999999</v>
      </c>
      <c r="O169">
        <v>7.52</v>
      </c>
      <c r="P169">
        <v>7.07</v>
      </c>
      <c r="Q169">
        <v>3.1320000000000001</v>
      </c>
      <c r="R169">
        <v>3.15</v>
      </c>
      <c r="S169">
        <v>8.27</v>
      </c>
      <c r="T169">
        <v>3.6749999999999998</v>
      </c>
      <c r="U169">
        <v>2.1800000000000002</v>
      </c>
      <c r="V169">
        <v>23</v>
      </c>
      <c r="W169">
        <v>8.18</v>
      </c>
      <c r="X169">
        <v>7.54</v>
      </c>
      <c r="Y169">
        <v>4.63</v>
      </c>
      <c r="Z169">
        <v>26.7</v>
      </c>
      <c r="AA169">
        <v>7.16</v>
      </c>
      <c r="AB169">
        <v>5.35</v>
      </c>
      <c r="AC169">
        <v>1.4219999999999999</v>
      </c>
      <c r="AD169">
        <v>1.3180000000000001</v>
      </c>
      <c r="AE169">
        <v>5.4</v>
      </c>
      <c r="AF169">
        <v>1.694</v>
      </c>
      <c r="AG169">
        <v>0.42699999999999999</v>
      </c>
      <c r="AH169">
        <v>1.02</v>
      </c>
      <c r="AI169">
        <v>6.75</v>
      </c>
      <c r="AJ169">
        <v>2.34</v>
      </c>
      <c r="AK169">
        <v>2.02</v>
      </c>
      <c r="AL169">
        <v>9.0999999999999998E-2</v>
      </c>
      <c r="AM169">
        <v>3.55</v>
      </c>
      <c r="AN169">
        <v>0.499</v>
      </c>
      <c r="AO169">
        <v>1.7150000000000001</v>
      </c>
      <c r="AP169">
        <v>3.6</v>
      </c>
      <c r="AQ169">
        <v>0.86799999999999999</v>
      </c>
      <c r="AR169">
        <v>2.6850000000000001</v>
      </c>
      <c r="AS169">
        <v>1.7849999999999999</v>
      </c>
      <c r="AT169">
        <v>0.39400000000000002</v>
      </c>
      <c r="AU169">
        <v>895.03</v>
      </c>
    </row>
    <row r="170" spans="1:47">
      <c r="A170" s="39">
        <v>43797</v>
      </c>
      <c r="B170">
        <v>30.2</v>
      </c>
      <c r="C170">
        <v>13.73</v>
      </c>
      <c r="D170">
        <v>10.951000000000001</v>
      </c>
      <c r="E170">
        <v>18.52</v>
      </c>
      <c r="F170">
        <v>8.58</v>
      </c>
      <c r="G170">
        <v>0.96099999999999997</v>
      </c>
      <c r="H170">
        <v>21.44</v>
      </c>
      <c r="I170">
        <v>1.899</v>
      </c>
      <c r="J170">
        <v>3.1259999999999999</v>
      </c>
      <c r="K170">
        <v>7.18</v>
      </c>
      <c r="L170">
        <v>9.84</v>
      </c>
      <c r="M170" s="40">
        <v>18.579999999999998</v>
      </c>
      <c r="N170">
        <v>7.24</v>
      </c>
      <c r="O170">
        <v>7.5</v>
      </c>
      <c r="P170">
        <v>7.08</v>
      </c>
      <c r="Q170">
        <v>3.12</v>
      </c>
      <c r="R170">
        <v>3.202</v>
      </c>
      <c r="S170">
        <v>8.17</v>
      </c>
      <c r="T170">
        <v>3.6349999999999998</v>
      </c>
      <c r="U170">
        <v>2.1749999999999998</v>
      </c>
      <c r="V170">
        <v>22.8</v>
      </c>
      <c r="W170">
        <v>8.3000000000000007</v>
      </c>
      <c r="X170">
        <v>7.52</v>
      </c>
      <c r="Y170">
        <v>4.57</v>
      </c>
      <c r="Z170">
        <v>26.4</v>
      </c>
      <c r="AA170">
        <v>7.18</v>
      </c>
      <c r="AB170">
        <v>5.4</v>
      </c>
      <c r="AC170">
        <v>1.4219999999999999</v>
      </c>
      <c r="AD170">
        <v>1.304</v>
      </c>
      <c r="AE170">
        <v>5.4</v>
      </c>
      <c r="AF170">
        <v>1.7</v>
      </c>
      <c r="AG170">
        <v>0.434</v>
      </c>
      <c r="AH170">
        <v>1.042</v>
      </c>
      <c r="AI170">
        <v>6.7</v>
      </c>
      <c r="AJ170">
        <v>2.38</v>
      </c>
      <c r="AK170">
        <v>2.04</v>
      </c>
      <c r="AL170">
        <v>9.2999999999999999E-2</v>
      </c>
      <c r="AM170">
        <v>3.55</v>
      </c>
      <c r="AN170">
        <v>0.49099999999999999</v>
      </c>
      <c r="AO170">
        <v>1.71</v>
      </c>
      <c r="AP170">
        <v>3.56</v>
      </c>
      <c r="AQ170">
        <v>0.86</v>
      </c>
      <c r="AR170">
        <v>2.645</v>
      </c>
      <c r="AS170">
        <v>1.77</v>
      </c>
      <c r="AT170">
        <v>0.38900000000000001</v>
      </c>
      <c r="AU170">
        <v>899.75</v>
      </c>
    </row>
    <row r="171" spans="1:47">
      <c r="A171" s="39">
        <v>43798</v>
      </c>
      <c r="B171">
        <v>30.26</v>
      </c>
      <c r="C171">
        <v>13.64</v>
      </c>
      <c r="D171">
        <v>11.15</v>
      </c>
      <c r="E171">
        <v>18.2</v>
      </c>
      <c r="F171">
        <v>8.65</v>
      </c>
      <c r="G171">
        <v>0.95599999999999996</v>
      </c>
      <c r="H171">
        <v>21.24</v>
      </c>
      <c r="I171">
        <v>1.91</v>
      </c>
      <c r="J171">
        <v>3.0739999999999998</v>
      </c>
      <c r="K171">
        <v>7.2</v>
      </c>
      <c r="L171">
        <v>10.1</v>
      </c>
      <c r="M171" s="40">
        <v>18.440000000000001</v>
      </c>
      <c r="N171">
        <v>7.2889999999999997</v>
      </c>
      <c r="O171">
        <v>7.45</v>
      </c>
      <c r="P171">
        <v>7.11</v>
      </c>
      <c r="Q171">
        <v>3.18</v>
      </c>
      <c r="R171">
        <v>3.234</v>
      </c>
      <c r="S171">
        <v>8.39</v>
      </c>
      <c r="T171">
        <v>3.76</v>
      </c>
      <c r="U171">
        <v>2.17</v>
      </c>
      <c r="V171">
        <v>22.9</v>
      </c>
      <c r="W171">
        <v>8.35</v>
      </c>
      <c r="X171">
        <v>7.54</v>
      </c>
      <c r="Y171">
        <v>4.5949999999999998</v>
      </c>
      <c r="Z171">
        <v>26.1</v>
      </c>
      <c r="AA171">
        <v>7.2</v>
      </c>
      <c r="AB171">
        <v>5.4</v>
      </c>
      <c r="AC171">
        <v>1.41</v>
      </c>
      <c r="AD171">
        <v>1.3180000000000001</v>
      </c>
      <c r="AE171">
        <v>5.3</v>
      </c>
      <c r="AF171">
        <v>1.754</v>
      </c>
      <c r="AG171">
        <v>0.42799999999999999</v>
      </c>
      <c r="AH171">
        <v>1.05</v>
      </c>
      <c r="AI171">
        <v>6.75</v>
      </c>
      <c r="AJ171">
        <v>2.38</v>
      </c>
      <c r="AK171">
        <v>2.02</v>
      </c>
      <c r="AL171">
        <v>9.5000000000000001E-2</v>
      </c>
      <c r="AM171">
        <v>3.55</v>
      </c>
      <c r="AN171">
        <v>0.50700000000000001</v>
      </c>
      <c r="AO171">
        <v>1.72</v>
      </c>
      <c r="AP171">
        <v>3.58</v>
      </c>
      <c r="AQ171">
        <v>0.85499999999999998</v>
      </c>
      <c r="AR171">
        <v>2.72</v>
      </c>
      <c r="AS171">
        <v>1.78</v>
      </c>
      <c r="AT171">
        <v>0.38700000000000001</v>
      </c>
      <c r="AU171">
        <v>901.58</v>
      </c>
    </row>
    <row r="172" spans="1:47">
      <c r="A172" s="39">
        <v>43801</v>
      </c>
      <c r="B172">
        <v>29.7</v>
      </c>
      <c r="C172">
        <v>13.56</v>
      </c>
      <c r="D172">
        <v>11.06</v>
      </c>
      <c r="E172">
        <v>18.2</v>
      </c>
      <c r="F172">
        <v>8.6199999999999992</v>
      </c>
      <c r="G172">
        <v>0.93100000000000005</v>
      </c>
      <c r="H172">
        <v>21.1</v>
      </c>
      <c r="I172">
        <v>1.88</v>
      </c>
      <c r="J172">
        <v>2.9990000000000001</v>
      </c>
      <c r="K172">
        <v>7.1</v>
      </c>
      <c r="L172">
        <v>10.039999999999999</v>
      </c>
      <c r="M172" s="40">
        <v>18.28</v>
      </c>
      <c r="N172">
        <v>7.3090000000000002</v>
      </c>
      <c r="O172">
        <v>7.44</v>
      </c>
      <c r="P172">
        <v>7.08</v>
      </c>
      <c r="Q172">
        <v>3.13</v>
      </c>
      <c r="R172">
        <v>3.29</v>
      </c>
      <c r="S172">
        <v>8.32</v>
      </c>
      <c r="T172">
        <v>3.7349999999999999</v>
      </c>
      <c r="U172">
        <v>2.17</v>
      </c>
      <c r="V172">
        <v>22.65</v>
      </c>
      <c r="W172">
        <v>8.39</v>
      </c>
      <c r="X172">
        <v>7.38</v>
      </c>
      <c r="Y172">
        <v>4.5650000000000004</v>
      </c>
      <c r="Z172">
        <v>26.1</v>
      </c>
      <c r="AA172">
        <v>7.18</v>
      </c>
      <c r="AB172">
        <v>5.39</v>
      </c>
      <c r="AC172">
        <v>1.42</v>
      </c>
      <c r="AD172">
        <v>1.3180000000000001</v>
      </c>
      <c r="AE172">
        <v>5.5</v>
      </c>
      <c r="AF172">
        <v>1.738</v>
      </c>
      <c r="AG172">
        <v>0.42099999999999999</v>
      </c>
      <c r="AH172">
        <v>1.048</v>
      </c>
      <c r="AI172">
        <v>6.75</v>
      </c>
      <c r="AJ172">
        <v>2.31</v>
      </c>
      <c r="AK172">
        <v>2</v>
      </c>
      <c r="AL172">
        <v>9.0999999999999998E-2</v>
      </c>
      <c r="AM172">
        <v>3.52</v>
      </c>
      <c r="AN172">
        <v>0.502</v>
      </c>
      <c r="AO172">
        <v>1.7350000000000001</v>
      </c>
      <c r="AP172">
        <v>3.6</v>
      </c>
      <c r="AQ172">
        <v>0.83</v>
      </c>
      <c r="AR172">
        <v>2.69</v>
      </c>
      <c r="AS172">
        <v>1.72</v>
      </c>
      <c r="AT172">
        <v>0.378</v>
      </c>
      <c r="AU172">
        <v>892.97</v>
      </c>
    </row>
    <row r="173" spans="1:47">
      <c r="A173" s="39">
        <v>43802</v>
      </c>
      <c r="B173">
        <v>29.36</v>
      </c>
      <c r="C173">
        <v>13.51</v>
      </c>
      <c r="D173">
        <v>10.891</v>
      </c>
      <c r="E173">
        <v>17.7</v>
      </c>
      <c r="F173">
        <v>8.5</v>
      </c>
      <c r="G173">
        <v>0.91</v>
      </c>
      <c r="H173">
        <v>20.62</v>
      </c>
      <c r="I173">
        <v>1.8859999999999999</v>
      </c>
      <c r="J173">
        <v>2.952</v>
      </c>
      <c r="K173">
        <v>7.04</v>
      </c>
      <c r="L173">
        <v>9.8000000000000007</v>
      </c>
      <c r="M173" s="40">
        <v>18.36</v>
      </c>
      <c r="N173">
        <v>7.25</v>
      </c>
      <c r="O173">
        <v>7.44</v>
      </c>
      <c r="P173">
        <v>6.93</v>
      </c>
      <c r="Q173">
        <v>3.0019999999999998</v>
      </c>
      <c r="R173">
        <v>3.26</v>
      </c>
      <c r="S173">
        <v>8.36</v>
      </c>
      <c r="T173">
        <v>3.61</v>
      </c>
      <c r="U173">
        <v>2.145</v>
      </c>
      <c r="V173">
        <v>22.55</v>
      </c>
      <c r="W173">
        <v>8.14</v>
      </c>
      <c r="X173">
        <v>7.34</v>
      </c>
      <c r="Y173">
        <v>4.53</v>
      </c>
      <c r="Z173">
        <v>26.3</v>
      </c>
      <c r="AA173">
        <v>7.14</v>
      </c>
      <c r="AB173">
        <v>5.3</v>
      </c>
      <c r="AC173">
        <v>1.4319999999999999</v>
      </c>
      <c r="AD173">
        <v>1.3</v>
      </c>
      <c r="AE173">
        <v>5.4</v>
      </c>
      <c r="AF173">
        <v>1.722</v>
      </c>
      <c r="AG173">
        <v>0.41</v>
      </c>
      <c r="AH173">
        <v>1.06</v>
      </c>
      <c r="AI173">
        <v>6.6</v>
      </c>
      <c r="AJ173">
        <v>2.34</v>
      </c>
      <c r="AK173">
        <v>2.04</v>
      </c>
      <c r="AL173">
        <v>8.8999999999999996E-2</v>
      </c>
      <c r="AM173">
        <v>3.54</v>
      </c>
      <c r="AN173">
        <v>0.496</v>
      </c>
      <c r="AO173">
        <v>1.7150000000000001</v>
      </c>
      <c r="AP173">
        <v>3.49</v>
      </c>
      <c r="AQ173">
        <v>0.81599999999999995</v>
      </c>
      <c r="AR173">
        <v>2.6349999999999998</v>
      </c>
      <c r="AS173">
        <v>1.6950000000000001</v>
      </c>
      <c r="AT173">
        <v>0.373</v>
      </c>
      <c r="AU173">
        <v>881.28</v>
      </c>
    </row>
    <row r="174" spans="1:47">
      <c r="A174" s="39">
        <v>43803</v>
      </c>
      <c r="B174">
        <v>29.39</v>
      </c>
      <c r="C174">
        <v>13.55</v>
      </c>
      <c r="D174">
        <v>10.991</v>
      </c>
      <c r="E174">
        <v>18.48</v>
      </c>
      <c r="F174">
        <v>8.4600000000000009</v>
      </c>
      <c r="G174">
        <v>0.91600000000000004</v>
      </c>
      <c r="H174">
        <v>20.9</v>
      </c>
      <c r="I174">
        <v>1.897</v>
      </c>
      <c r="J174">
        <v>2.98</v>
      </c>
      <c r="K174">
        <v>7.15</v>
      </c>
      <c r="L174">
        <v>9.8450000000000006</v>
      </c>
      <c r="M174" s="40">
        <v>18.32</v>
      </c>
      <c r="N174">
        <v>7.1230000000000002</v>
      </c>
      <c r="O174">
        <v>7.39</v>
      </c>
      <c r="P174">
        <v>6.94</v>
      </c>
      <c r="Q174">
        <v>3.08</v>
      </c>
      <c r="R174">
        <v>3.33</v>
      </c>
      <c r="S174">
        <v>8.6300000000000008</v>
      </c>
      <c r="T174">
        <v>3.6349999999999998</v>
      </c>
      <c r="U174">
        <v>2.17</v>
      </c>
      <c r="V174">
        <v>22.65</v>
      </c>
      <c r="W174">
        <v>8.39</v>
      </c>
      <c r="X174">
        <v>7.34</v>
      </c>
      <c r="Y174">
        <v>4.5599999999999996</v>
      </c>
      <c r="Z174">
        <v>26</v>
      </c>
      <c r="AA174">
        <v>7.16</v>
      </c>
      <c r="AB174">
        <v>5.42</v>
      </c>
      <c r="AC174">
        <v>1.43</v>
      </c>
      <c r="AD174">
        <v>1.288</v>
      </c>
      <c r="AE174">
        <v>5.36</v>
      </c>
      <c r="AF174">
        <v>1.698</v>
      </c>
      <c r="AG174">
        <v>0.41799999999999998</v>
      </c>
      <c r="AH174">
        <v>1.07</v>
      </c>
      <c r="AI174">
        <v>6.55</v>
      </c>
      <c r="AJ174">
        <v>2.33</v>
      </c>
      <c r="AK174">
        <v>2.0099999999999998</v>
      </c>
      <c r="AL174">
        <v>0.09</v>
      </c>
      <c r="AM174">
        <v>3.5</v>
      </c>
      <c r="AN174">
        <v>0.48299999999999998</v>
      </c>
      <c r="AO174">
        <v>1.7150000000000001</v>
      </c>
      <c r="AP174">
        <v>3.5</v>
      </c>
      <c r="AQ174">
        <v>0.81699999999999995</v>
      </c>
      <c r="AR174">
        <v>2.5649999999999999</v>
      </c>
      <c r="AS174">
        <v>1.7150000000000001</v>
      </c>
      <c r="AT174">
        <v>0.372</v>
      </c>
      <c r="AU174">
        <v>888.68</v>
      </c>
    </row>
    <row r="175" spans="1:47">
      <c r="A175" s="39">
        <v>43804</v>
      </c>
      <c r="B175">
        <v>29.35</v>
      </c>
      <c r="C175">
        <v>13.47</v>
      </c>
      <c r="D175">
        <v>11.010999999999999</v>
      </c>
      <c r="E175">
        <v>18.399999999999999</v>
      </c>
      <c r="F175">
        <v>8.36</v>
      </c>
      <c r="G175">
        <v>0.89</v>
      </c>
      <c r="H175">
        <v>20.420000000000002</v>
      </c>
      <c r="I175">
        <v>1.835</v>
      </c>
      <c r="J175">
        <v>2.8919999999999999</v>
      </c>
      <c r="K175">
        <v>7.23</v>
      </c>
      <c r="L175">
        <v>9.73</v>
      </c>
      <c r="M175" s="40">
        <v>18.3</v>
      </c>
      <c r="N175">
        <v>7.0739999999999998</v>
      </c>
      <c r="O175">
        <v>7.33</v>
      </c>
      <c r="P175">
        <v>6.85</v>
      </c>
      <c r="Q175">
        <v>2.976</v>
      </c>
      <c r="R175">
        <v>3.2959999999999998</v>
      </c>
      <c r="S175">
        <v>8.52</v>
      </c>
      <c r="T175">
        <v>3.5550000000000002</v>
      </c>
      <c r="U175">
        <v>2.16</v>
      </c>
      <c r="V175">
        <v>22.5</v>
      </c>
      <c r="W175">
        <v>8.35</v>
      </c>
      <c r="X175">
        <v>7.38</v>
      </c>
      <c r="Y175">
        <v>4.47</v>
      </c>
      <c r="Z175">
        <v>25.8</v>
      </c>
      <c r="AA175">
        <v>7.08</v>
      </c>
      <c r="AB175">
        <v>5.53</v>
      </c>
      <c r="AC175">
        <v>1.4279999999999999</v>
      </c>
      <c r="AD175">
        <v>1.278</v>
      </c>
      <c r="AE175">
        <v>5.32</v>
      </c>
      <c r="AF175">
        <v>1.6439999999999999</v>
      </c>
      <c r="AG175">
        <v>0.41299999999999998</v>
      </c>
      <c r="AH175">
        <v>1.0960000000000001</v>
      </c>
      <c r="AI175">
        <v>6.6</v>
      </c>
      <c r="AJ175">
        <v>2.2999999999999998</v>
      </c>
      <c r="AK175">
        <v>2</v>
      </c>
      <c r="AL175">
        <v>0.09</v>
      </c>
      <c r="AM175">
        <v>3.5</v>
      </c>
      <c r="AN175">
        <v>0.46800000000000003</v>
      </c>
      <c r="AO175">
        <v>1.7</v>
      </c>
      <c r="AP175">
        <v>3.42</v>
      </c>
      <c r="AQ175">
        <v>0.80500000000000005</v>
      </c>
      <c r="AR175">
        <v>2.6</v>
      </c>
      <c r="AS175">
        <v>1.7150000000000001</v>
      </c>
      <c r="AT175">
        <v>0.37</v>
      </c>
      <c r="AU175">
        <v>878.57</v>
      </c>
    </row>
    <row r="176" spans="1:47">
      <c r="A176" s="39">
        <v>43805</v>
      </c>
      <c r="B176">
        <v>29.45</v>
      </c>
      <c r="C176">
        <v>13.28</v>
      </c>
      <c r="D176">
        <v>10.991</v>
      </c>
      <c r="E176">
        <v>17.989999999999998</v>
      </c>
      <c r="F176">
        <v>8.31</v>
      </c>
      <c r="G176">
        <v>0.874</v>
      </c>
      <c r="H176">
        <v>20.34</v>
      </c>
      <c r="I176">
        <v>1.8129999999999999</v>
      </c>
      <c r="J176">
        <v>2.88</v>
      </c>
      <c r="K176">
        <v>7.25</v>
      </c>
      <c r="L176">
        <v>9.625</v>
      </c>
      <c r="M176" s="40">
        <v>18.5</v>
      </c>
      <c r="N176">
        <v>7.0839999999999996</v>
      </c>
      <c r="O176">
        <v>7.26</v>
      </c>
      <c r="P176">
        <v>6.9</v>
      </c>
      <c r="Q176">
        <v>2.9860000000000002</v>
      </c>
      <c r="R176">
        <v>3.278</v>
      </c>
      <c r="S176">
        <v>8.3000000000000007</v>
      </c>
      <c r="T176">
        <v>3.5649999999999999</v>
      </c>
      <c r="U176">
        <v>2.14</v>
      </c>
      <c r="V176">
        <v>22.2</v>
      </c>
      <c r="W176">
        <v>8.36</v>
      </c>
      <c r="X176">
        <v>7.36</v>
      </c>
      <c r="Y176">
        <v>4.43</v>
      </c>
      <c r="Z176">
        <v>25.7</v>
      </c>
      <c r="AA176">
        <v>7.16</v>
      </c>
      <c r="AB176">
        <v>5.53</v>
      </c>
      <c r="AC176">
        <v>1.4259999999999999</v>
      </c>
      <c r="AD176">
        <v>1.28</v>
      </c>
      <c r="AE176">
        <v>5.38</v>
      </c>
      <c r="AF176">
        <v>1.57</v>
      </c>
      <c r="AG176">
        <v>0.39900000000000002</v>
      </c>
      <c r="AH176">
        <v>1.1080000000000001</v>
      </c>
      <c r="AI176">
        <v>6.55</v>
      </c>
      <c r="AJ176">
        <v>2.2400000000000002</v>
      </c>
      <c r="AK176">
        <v>2</v>
      </c>
      <c r="AL176">
        <v>8.7999999999999995E-2</v>
      </c>
      <c r="AM176">
        <v>3.54</v>
      </c>
      <c r="AN176">
        <v>0.45100000000000001</v>
      </c>
      <c r="AO176">
        <v>1.7</v>
      </c>
      <c r="AP176">
        <v>3.42</v>
      </c>
      <c r="AQ176">
        <v>0.81100000000000005</v>
      </c>
      <c r="AR176">
        <v>2.5</v>
      </c>
      <c r="AS176">
        <v>1.72</v>
      </c>
      <c r="AT176">
        <v>0.36699999999999999</v>
      </c>
      <c r="AU176">
        <v>873.21</v>
      </c>
    </row>
    <row r="177" spans="1:47">
      <c r="A177" s="39">
        <v>43808</v>
      </c>
      <c r="B177">
        <v>29.53</v>
      </c>
      <c r="C177">
        <v>13.31</v>
      </c>
      <c r="D177">
        <v>10.920999999999999</v>
      </c>
      <c r="E177">
        <v>17.82</v>
      </c>
      <c r="F177">
        <v>8.1999999999999993</v>
      </c>
      <c r="G177">
        <v>0.85299999999999998</v>
      </c>
      <c r="H177">
        <v>20.399999999999999</v>
      </c>
      <c r="I177">
        <v>1.772</v>
      </c>
      <c r="J177">
        <v>2.8109999999999999</v>
      </c>
      <c r="K177">
        <v>7.32</v>
      </c>
      <c r="L177">
        <v>9.4700000000000006</v>
      </c>
      <c r="M177" s="40">
        <v>18.14</v>
      </c>
      <c r="N177">
        <v>7.0839999999999996</v>
      </c>
      <c r="O177">
        <v>7.32</v>
      </c>
      <c r="P177">
        <v>6.64</v>
      </c>
      <c r="Q177">
        <v>2.9119999999999999</v>
      </c>
      <c r="R177">
        <v>3.2440000000000002</v>
      </c>
      <c r="S177">
        <v>8.14</v>
      </c>
      <c r="T177">
        <v>3.47</v>
      </c>
      <c r="U177">
        <v>2.13</v>
      </c>
      <c r="V177">
        <v>21.95</v>
      </c>
      <c r="W177">
        <v>8.2899999999999991</v>
      </c>
      <c r="X177">
        <v>7.26</v>
      </c>
      <c r="Y177">
        <v>4.4550000000000001</v>
      </c>
      <c r="Z177">
        <v>25.4</v>
      </c>
      <c r="AA177">
        <v>7.12</v>
      </c>
      <c r="AB177">
        <v>5.4</v>
      </c>
      <c r="AC177">
        <v>1.4179999999999999</v>
      </c>
      <c r="AD177">
        <v>1.27</v>
      </c>
      <c r="AE177">
        <v>5.4</v>
      </c>
      <c r="AF177">
        <v>1.56</v>
      </c>
      <c r="AG177">
        <v>0.39300000000000002</v>
      </c>
      <c r="AH177">
        <v>1.1000000000000001</v>
      </c>
      <c r="AI177">
        <v>6.5</v>
      </c>
      <c r="AJ177">
        <v>2.2000000000000002</v>
      </c>
      <c r="AK177">
        <v>1.9650000000000001</v>
      </c>
      <c r="AL177">
        <v>8.5000000000000006E-2</v>
      </c>
      <c r="AM177">
        <v>3.49</v>
      </c>
      <c r="AN177">
        <v>0.436</v>
      </c>
      <c r="AO177">
        <v>1.7</v>
      </c>
      <c r="AP177">
        <v>3.41</v>
      </c>
      <c r="AQ177">
        <v>0.78700000000000003</v>
      </c>
      <c r="AR177">
        <v>2.4550000000000001</v>
      </c>
      <c r="AS177">
        <v>1.64</v>
      </c>
      <c r="AT177">
        <v>0.35799999999999998</v>
      </c>
      <c r="AU177">
        <v>863.77</v>
      </c>
    </row>
    <row r="178" spans="1:47">
      <c r="A178" s="39">
        <v>43809</v>
      </c>
      <c r="B178">
        <v>29.39</v>
      </c>
      <c r="C178">
        <v>13.13</v>
      </c>
      <c r="D178">
        <v>11.04</v>
      </c>
      <c r="E178">
        <v>17.649999999999999</v>
      </c>
      <c r="F178">
        <v>8.19</v>
      </c>
      <c r="G178">
        <v>0.85599999999999998</v>
      </c>
      <c r="H178">
        <v>20</v>
      </c>
      <c r="I178">
        <v>1.77</v>
      </c>
      <c r="J178">
        <v>2.85</v>
      </c>
      <c r="K178">
        <v>7.39</v>
      </c>
      <c r="L178">
        <v>9.5500000000000007</v>
      </c>
      <c r="M178" s="40">
        <v>18.02</v>
      </c>
      <c r="N178">
        <v>7.2309999999999999</v>
      </c>
      <c r="O178">
        <v>7.19</v>
      </c>
      <c r="P178">
        <v>6.64</v>
      </c>
      <c r="Q178">
        <v>2.92</v>
      </c>
      <c r="R178">
        <v>3.2959999999999998</v>
      </c>
      <c r="S178">
        <v>8.09</v>
      </c>
      <c r="T178">
        <v>3.4849999999999999</v>
      </c>
      <c r="U178">
        <v>2.0950000000000002</v>
      </c>
      <c r="V178">
        <v>21.75</v>
      </c>
      <c r="W178">
        <v>8.23</v>
      </c>
      <c r="X178">
        <v>7.2</v>
      </c>
      <c r="Y178">
        <v>4.4249999999999998</v>
      </c>
      <c r="Z178">
        <v>26.2</v>
      </c>
      <c r="AA178">
        <v>7.1</v>
      </c>
      <c r="AB178">
        <v>5.3</v>
      </c>
      <c r="AC178">
        <v>1.42</v>
      </c>
      <c r="AD178">
        <v>1.27</v>
      </c>
      <c r="AE178">
        <v>5.38</v>
      </c>
      <c r="AF178">
        <v>1.524</v>
      </c>
      <c r="AG178">
        <v>0.38</v>
      </c>
      <c r="AH178">
        <v>1.08</v>
      </c>
      <c r="AI178">
        <v>6.75</v>
      </c>
      <c r="AJ178">
        <v>2.2000000000000002</v>
      </c>
      <c r="AK178">
        <v>1.97</v>
      </c>
      <c r="AL178">
        <v>8.5000000000000006E-2</v>
      </c>
      <c r="AM178">
        <v>3.53</v>
      </c>
      <c r="AN178">
        <v>0.435</v>
      </c>
      <c r="AO178">
        <v>1.68</v>
      </c>
      <c r="AP178">
        <v>3.4</v>
      </c>
      <c r="AQ178">
        <v>0.78</v>
      </c>
      <c r="AR178">
        <v>1.75</v>
      </c>
      <c r="AS178">
        <v>1.62</v>
      </c>
      <c r="AT178">
        <v>0.35799999999999998</v>
      </c>
      <c r="AU178">
        <v>861.67</v>
      </c>
    </row>
    <row r="179" spans="1:47">
      <c r="A179" s="39">
        <v>43810</v>
      </c>
      <c r="B179">
        <v>29.56</v>
      </c>
      <c r="C179">
        <v>13.34</v>
      </c>
      <c r="D179">
        <v>11.47</v>
      </c>
      <c r="E179">
        <v>18.39</v>
      </c>
      <c r="F179">
        <v>8.2799999999999994</v>
      </c>
      <c r="G179">
        <v>0.89500000000000002</v>
      </c>
      <c r="H179">
        <v>20.72</v>
      </c>
      <c r="I179">
        <v>1.869</v>
      </c>
      <c r="J179">
        <v>2.9329999999999998</v>
      </c>
      <c r="K179">
        <v>7.4</v>
      </c>
      <c r="L179">
        <v>9.7899999999999991</v>
      </c>
      <c r="M179" s="40">
        <v>18.600000000000001</v>
      </c>
      <c r="N179">
        <v>7.25</v>
      </c>
      <c r="O179">
        <v>7.3</v>
      </c>
      <c r="P179">
        <v>6.79</v>
      </c>
      <c r="Q179">
        <v>3.052</v>
      </c>
      <c r="R179">
        <v>3.49</v>
      </c>
      <c r="S179">
        <v>8.18</v>
      </c>
      <c r="T179">
        <v>3.5950000000000002</v>
      </c>
      <c r="U179">
        <v>2.15</v>
      </c>
      <c r="V179">
        <v>22</v>
      </c>
      <c r="W179">
        <v>8.25</v>
      </c>
      <c r="X179">
        <v>7.38</v>
      </c>
      <c r="Y179">
        <v>4.4800000000000004</v>
      </c>
      <c r="Z179">
        <v>25.8</v>
      </c>
      <c r="AA179">
        <v>7.1</v>
      </c>
      <c r="AB179">
        <v>5.35</v>
      </c>
      <c r="AC179">
        <v>1.4279999999999999</v>
      </c>
      <c r="AD179">
        <v>1.29</v>
      </c>
      <c r="AE179">
        <v>5.48</v>
      </c>
      <c r="AF179">
        <v>1.6140000000000001</v>
      </c>
      <c r="AG179">
        <v>0.38300000000000001</v>
      </c>
      <c r="AH179">
        <v>1.1040000000000001</v>
      </c>
      <c r="AI179">
        <v>6.75</v>
      </c>
      <c r="AJ179">
        <v>2.2200000000000002</v>
      </c>
      <c r="AK179">
        <v>2.02</v>
      </c>
      <c r="AL179">
        <v>8.7999999999999995E-2</v>
      </c>
      <c r="AM179">
        <v>3.51</v>
      </c>
      <c r="AN179">
        <v>0.46200000000000002</v>
      </c>
      <c r="AO179">
        <v>1.69</v>
      </c>
      <c r="AP179">
        <v>3.47</v>
      </c>
      <c r="AQ179">
        <v>0.79200000000000004</v>
      </c>
      <c r="AR179">
        <v>1.78</v>
      </c>
      <c r="AS179">
        <v>1.625</v>
      </c>
      <c r="AT179">
        <v>0.375</v>
      </c>
      <c r="AU179">
        <v>883.96</v>
      </c>
    </row>
    <row r="180" spans="1:47">
      <c r="A180" s="39">
        <v>43811</v>
      </c>
      <c r="B180">
        <v>29.41</v>
      </c>
      <c r="C180">
        <v>13.21</v>
      </c>
      <c r="D180">
        <v>11.72</v>
      </c>
      <c r="E180">
        <v>18.75</v>
      </c>
      <c r="F180">
        <v>8.25</v>
      </c>
      <c r="G180">
        <v>0.89400000000000002</v>
      </c>
      <c r="H180">
        <v>20.5</v>
      </c>
      <c r="I180">
        <v>1.87</v>
      </c>
      <c r="J180">
        <v>2.956</v>
      </c>
      <c r="K180">
        <v>7.2</v>
      </c>
      <c r="L180">
        <v>9.8149999999999995</v>
      </c>
      <c r="M180" s="40">
        <v>18.600000000000001</v>
      </c>
      <c r="N180">
        <v>7.25</v>
      </c>
      <c r="O180">
        <v>7.24</v>
      </c>
      <c r="P180">
        <v>6.78</v>
      </c>
      <c r="Q180">
        <v>3.024</v>
      </c>
      <c r="R180">
        <v>3.81</v>
      </c>
      <c r="S180">
        <v>8.07</v>
      </c>
      <c r="T180">
        <v>3.6150000000000002</v>
      </c>
      <c r="U180">
        <v>2.17</v>
      </c>
      <c r="V180">
        <v>21.9</v>
      </c>
      <c r="W180">
        <v>8.16</v>
      </c>
      <c r="X180">
        <v>7.38</v>
      </c>
      <c r="Y180">
        <v>4.53</v>
      </c>
      <c r="Z180">
        <v>25.6</v>
      </c>
      <c r="AA180">
        <v>7.1</v>
      </c>
      <c r="AB180">
        <v>5.38</v>
      </c>
      <c r="AC180">
        <v>1.45</v>
      </c>
      <c r="AD180">
        <v>1.29</v>
      </c>
      <c r="AE180">
        <v>5.4</v>
      </c>
      <c r="AF180">
        <v>1.6220000000000001</v>
      </c>
      <c r="AG180">
        <v>0.40899999999999997</v>
      </c>
      <c r="AH180">
        <v>1.1000000000000001</v>
      </c>
      <c r="AI180">
        <v>6.75</v>
      </c>
      <c r="AJ180">
        <v>2.2000000000000002</v>
      </c>
      <c r="AK180">
        <v>1.9650000000000001</v>
      </c>
      <c r="AL180">
        <v>8.7999999999999995E-2</v>
      </c>
      <c r="AM180">
        <v>3.46</v>
      </c>
      <c r="AN180">
        <v>0.45</v>
      </c>
      <c r="AO180">
        <v>1.67</v>
      </c>
      <c r="AP180">
        <v>3.51</v>
      </c>
      <c r="AQ180">
        <v>0.78900000000000003</v>
      </c>
      <c r="AR180">
        <v>1.68</v>
      </c>
      <c r="AS180">
        <v>1.635</v>
      </c>
      <c r="AT180">
        <v>0.376</v>
      </c>
      <c r="AU180">
        <v>885.21</v>
      </c>
    </row>
    <row r="181" spans="1:47">
      <c r="A181" s="39">
        <v>43812</v>
      </c>
      <c r="B181">
        <v>29.38</v>
      </c>
      <c r="C181">
        <v>13</v>
      </c>
      <c r="D181">
        <v>11.95</v>
      </c>
      <c r="E181">
        <v>19</v>
      </c>
      <c r="F181">
        <v>8.35</v>
      </c>
      <c r="G181">
        <v>0.9</v>
      </c>
      <c r="H181">
        <v>20.38</v>
      </c>
      <c r="I181">
        <v>1.8959999999999999</v>
      </c>
      <c r="J181">
        <v>2.9990000000000001</v>
      </c>
      <c r="K181">
        <v>7.18</v>
      </c>
      <c r="L181">
        <v>9.8000000000000007</v>
      </c>
      <c r="M181" s="40">
        <v>18.600000000000001</v>
      </c>
      <c r="N181">
        <v>7.6130000000000004</v>
      </c>
      <c r="O181">
        <v>7.29</v>
      </c>
      <c r="P181">
        <v>6.9</v>
      </c>
      <c r="Q181">
        <v>3.03</v>
      </c>
      <c r="R181">
        <v>3.92</v>
      </c>
      <c r="S181">
        <v>8.25</v>
      </c>
      <c r="T181">
        <v>3.59</v>
      </c>
      <c r="U181">
        <v>2.2149999999999999</v>
      </c>
      <c r="V181">
        <v>21.8</v>
      </c>
      <c r="W181">
        <v>8.11</v>
      </c>
      <c r="X181">
        <v>7.34</v>
      </c>
      <c r="Y181">
        <v>4.5549999999999997</v>
      </c>
      <c r="Z181">
        <v>25.5</v>
      </c>
      <c r="AA181">
        <v>7.14</v>
      </c>
      <c r="AB181">
        <v>5.51</v>
      </c>
      <c r="AC181">
        <v>1.45</v>
      </c>
      <c r="AD181">
        <v>1.3160000000000001</v>
      </c>
      <c r="AE181">
        <v>5.38</v>
      </c>
      <c r="AF181">
        <v>1.6439999999999999</v>
      </c>
      <c r="AG181">
        <v>0.42499999999999999</v>
      </c>
      <c r="AH181">
        <v>1.1160000000000001</v>
      </c>
      <c r="AI181">
        <v>6.75</v>
      </c>
      <c r="AJ181">
        <v>2.36</v>
      </c>
      <c r="AK181">
        <v>1.98</v>
      </c>
      <c r="AL181">
        <v>0.09</v>
      </c>
      <c r="AM181">
        <v>3.5</v>
      </c>
      <c r="AN181">
        <v>0.45700000000000002</v>
      </c>
      <c r="AO181">
        <v>1.68</v>
      </c>
      <c r="AP181">
        <v>3.46</v>
      </c>
      <c r="AQ181">
        <v>0.79500000000000004</v>
      </c>
      <c r="AR181">
        <v>1.67</v>
      </c>
      <c r="AS181">
        <v>1.66</v>
      </c>
      <c r="AT181">
        <v>0.38</v>
      </c>
      <c r="AU181">
        <v>891.08</v>
      </c>
    </row>
    <row r="182" spans="1:47">
      <c r="A182" s="39">
        <v>43815</v>
      </c>
      <c r="B182">
        <v>29.75</v>
      </c>
      <c r="C182">
        <v>12.92</v>
      </c>
      <c r="D182">
        <v>11.54</v>
      </c>
      <c r="E182">
        <v>18.7</v>
      </c>
      <c r="F182">
        <v>8.4</v>
      </c>
      <c r="G182">
        <v>0.873</v>
      </c>
      <c r="H182">
        <v>20.28</v>
      </c>
      <c r="I182">
        <v>1.8759999999999999</v>
      </c>
      <c r="J182">
        <v>2.895</v>
      </c>
      <c r="K182">
        <v>7.1</v>
      </c>
      <c r="L182">
        <v>9.6300000000000008</v>
      </c>
      <c r="M182" s="40">
        <v>18.2</v>
      </c>
      <c r="N182">
        <v>7.6520000000000001</v>
      </c>
      <c r="O182">
        <v>7.25</v>
      </c>
      <c r="P182">
        <v>6.88</v>
      </c>
      <c r="Q182">
        <v>2.976</v>
      </c>
      <c r="R182">
        <v>3.89</v>
      </c>
      <c r="S182">
        <v>8.15</v>
      </c>
      <c r="T182">
        <v>3.52</v>
      </c>
      <c r="U182">
        <v>2.2000000000000002</v>
      </c>
      <c r="V182">
        <v>22.05</v>
      </c>
      <c r="W182">
        <v>8.1</v>
      </c>
      <c r="X182">
        <v>7.34</v>
      </c>
      <c r="Y182">
        <v>4.5250000000000004</v>
      </c>
      <c r="Z182">
        <v>25.5</v>
      </c>
      <c r="AA182">
        <v>7.12</v>
      </c>
      <c r="AB182">
        <v>5.39</v>
      </c>
      <c r="AC182">
        <v>1.45</v>
      </c>
      <c r="AD182">
        <v>1.286</v>
      </c>
      <c r="AE182">
        <v>5.36</v>
      </c>
      <c r="AF182">
        <v>1.63</v>
      </c>
      <c r="AG182">
        <v>0.41899999999999998</v>
      </c>
      <c r="AH182">
        <v>1.1459999999999999</v>
      </c>
      <c r="AI182">
        <v>6.85</v>
      </c>
      <c r="AJ182">
        <v>2.31</v>
      </c>
      <c r="AK182">
        <v>1.9850000000000001</v>
      </c>
      <c r="AL182">
        <v>8.7999999999999995E-2</v>
      </c>
      <c r="AM182">
        <v>3.5</v>
      </c>
      <c r="AN182">
        <v>0.436</v>
      </c>
      <c r="AO182">
        <v>1.67</v>
      </c>
      <c r="AP182">
        <v>3.4</v>
      </c>
      <c r="AQ182">
        <v>0.78600000000000003</v>
      </c>
      <c r="AR182">
        <v>1.6559999999999999</v>
      </c>
      <c r="AS182">
        <v>1.595</v>
      </c>
      <c r="AT182">
        <v>0.36499999999999999</v>
      </c>
      <c r="AU182">
        <v>880.76</v>
      </c>
    </row>
    <row r="183" spans="1:47">
      <c r="A183" s="39">
        <v>43816</v>
      </c>
      <c r="B183">
        <v>29.5</v>
      </c>
      <c r="C183">
        <v>13.28</v>
      </c>
      <c r="D183">
        <v>12.07</v>
      </c>
      <c r="E183">
        <v>18.8</v>
      </c>
      <c r="F183">
        <v>8.3000000000000007</v>
      </c>
      <c r="G183">
        <v>0.86799999999999999</v>
      </c>
      <c r="H183">
        <v>20.6</v>
      </c>
      <c r="I183">
        <v>1.8759999999999999</v>
      </c>
      <c r="J183">
        <v>2.9119999999999999</v>
      </c>
      <c r="K183">
        <v>7.44</v>
      </c>
      <c r="L183">
        <v>9.9</v>
      </c>
      <c r="M183" s="40">
        <v>18.66</v>
      </c>
      <c r="N183">
        <v>7.6619999999999999</v>
      </c>
      <c r="O183">
        <v>7.5</v>
      </c>
      <c r="P183">
        <v>7</v>
      </c>
      <c r="Q183">
        <v>2.98</v>
      </c>
      <c r="R183">
        <v>4.1219999999999999</v>
      </c>
      <c r="S183">
        <v>8.26</v>
      </c>
      <c r="T183">
        <v>3.58</v>
      </c>
      <c r="U183">
        <v>2.36</v>
      </c>
      <c r="V183">
        <v>22.15</v>
      </c>
      <c r="W183">
        <v>8.33</v>
      </c>
      <c r="X183">
        <v>7.3</v>
      </c>
      <c r="Y183">
        <v>4.63</v>
      </c>
      <c r="Z183">
        <v>25.9</v>
      </c>
      <c r="AA183">
        <v>7.1</v>
      </c>
      <c r="AB183">
        <v>5.5</v>
      </c>
      <c r="AC183">
        <v>1.45</v>
      </c>
      <c r="AD183">
        <v>1.29</v>
      </c>
      <c r="AE183">
        <v>5.38</v>
      </c>
      <c r="AF183">
        <v>1.6240000000000001</v>
      </c>
      <c r="AG183">
        <v>0.42499999999999999</v>
      </c>
      <c r="AH183">
        <v>1.1679999999999999</v>
      </c>
      <c r="AI183">
        <v>7.1</v>
      </c>
      <c r="AJ183">
        <v>2.31</v>
      </c>
      <c r="AK183">
        <v>2.02</v>
      </c>
      <c r="AL183">
        <v>9.1999999999999998E-2</v>
      </c>
      <c r="AM183">
        <v>3.5</v>
      </c>
      <c r="AN183">
        <v>0.443</v>
      </c>
      <c r="AO183">
        <v>1.68</v>
      </c>
      <c r="AP183">
        <v>3.4</v>
      </c>
      <c r="AQ183">
        <v>0.79200000000000004</v>
      </c>
      <c r="AR183">
        <v>1.6679999999999999</v>
      </c>
      <c r="AS183">
        <v>1.55</v>
      </c>
      <c r="AT183">
        <v>0.36299999999999999</v>
      </c>
      <c r="AU183">
        <v>894.49</v>
      </c>
    </row>
    <row r="184" spans="1:47">
      <c r="A184" s="39">
        <v>43817</v>
      </c>
      <c r="B184">
        <v>30.2</v>
      </c>
      <c r="C184">
        <v>13.7</v>
      </c>
      <c r="D184">
        <v>11.97</v>
      </c>
      <c r="E184">
        <v>19.239999999999998</v>
      </c>
      <c r="F184">
        <v>8.43</v>
      </c>
      <c r="G184">
        <v>0.877</v>
      </c>
      <c r="H184">
        <v>20.36</v>
      </c>
      <c r="I184">
        <v>1.9059999999999999</v>
      </c>
      <c r="J184">
        <v>2.9550000000000001</v>
      </c>
      <c r="K184">
        <v>7.88</v>
      </c>
      <c r="L184">
        <v>9.9</v>
      </c>
      <c r="M184" s="40">
        <v>18.600000000000001</v>
      </c>
      <c r="N184">
        <v>7.7110000000000003</v>
      </c>
      <c r="O184">
        <v>7.6</v>
      </c>
      <c r="P184">
        <v>7.09</v>
      </c>
      <c r="Q184">
        <v>2.99</v>
      </c>
      <c r="R184">
        <v>4.07</v>
      </c>
      <c r="S184">
        <v>8.44</v>
      </c>
      <c r="T184">
        <v>3.625</v>
      </c>
      <c r="U184">
        <v>2.4300000000000002</v>
      </c>
      <c r="V184">
        <v>22.15</v>
      </c>
      <c r="W184">
        <v>8.34</v>
      </c>
      <c r="X184">
        <v>7.28</v>
      </c>
      <c r="Y184">
        <v>4.6500000000000004</v>
      </c>
      <c r="Z184">
        <v>26.1</v>
      </c>
      <c r="AA184">
        <v>7.12</v>
      </c>
      <c r="AB184">
        <v>5.67</v>
      </c>
      <c r="AC184">
        <v>1.45</v>
      </c>
      <c r="AD184">
        <v>1.304</v>
      </c>
      <c r="AE184">
        <v>5.32</v>
      </c>
      <c r="AF184">
        <v>1.66</v>
      </c>
      <c r="AG184">
        <v>0.39600000000000002</v>
      </c>
      <c r="AH184">
        <v>1.1399999999999999</v>
      </c>
      <c r="AI184">
        <v>7.35</v>
      </c>
      <c r="AJ184">
        <v>2.38</v>
      </c>
      <c r="AK184">
        <v>2.02</v>
      </c>
      <c r="AL184">
        <v>9.0999999999999998E-2</v>
      </c>
      <c r="AM184">
        <v>3.49</v>
      </c>
      <c r="AN184">
        <v>0.436</v>
      </c>
      <c r="AO184">
        <v>1.68</v>
      </c>
      <c r="AP184">
        <v>3.5</v>
      </c>
      <c r="AQ184">
        <v>0.83</v>
      </c>
      <c r="AR184">
        <v>1.8120000000000001</v>
      </c>
      <c r="AS184">
        <v>1.6</v>
      </c>
      <c r="AT184">
        <v>0.373</v>
      </c>
      <c r="AU184">
        <v>905.64</v>
      </c>
    </row>
    <row r="185" spans="1:47">
      <c r="A185" s="39">
        <v>43818</v>
      </c>
      <c r="B185">
        <v>29.77</v>
      </c>
      <c r="C185">
        <v>13.74</v>
      </c>
      <c r="D185">
        <v>11.84</v>
      </c>
      <c r="E185">
        <v>18.440000000000001</v>
      </c>
      <c r="F185">
        <v>8.5</v>
      </c>
      <c r="G185">
        <v>0.86799999999999999</v>
      </c>
      <c r="H185">
        <v>20.38</v>
      </c>
      <c r="I185">
        <v>1.9</v>
      </c>
      <c r="J185">
        <v>2.98</v>
      </c>
      <c r="K185">
        <v>7.97</v>
      </c>
      <c r="L185">
        <v>9.7949999999999999</v>
      </c>
      <c r="M185" s="40">
        <v>18.739999999999998</v>
      </c>
      <c r="N185">
        <v>7.73</v>
      </c>
      <c r="O185">
        <v>7.6</v>
      </c>
      <c r="P185">
        <v>7.17</v>
      </c>
      <c r="Q185">
        <v>2.94</v>
      </c>
      <c r="R185">
        <v>4.1479999999999997</v>
      </c>
      <c r="S185">
        <v>8.5</v>
      </c>
      <c r="T185">
        <v>3.63</v>
      </c>
      <c r="U185">
        <v>2.4</v>
      </c>
      <c r="V185">
        <v>21.75</v>
      </c>
      <c r="W185">
        <v>8.31</v>
      </c>
      <c r="X185">
        <v>7.38</v>
      </c>
      <c r="Y185">
        <v>4.6449999999999996</v>
      </c>
      <c r="Z185">
        <v>26.6</v>
      </c>
      <c r="AA185">
        <v>7.08</v>
      </c>
      <c r="AB185">
        <v>5.72</v>
      </c>
      <c r="AC185">
        <v>1.45</v>
      </c>
      <c r="AD185">
        <v>1.33</v>
      </c>
      <c r="AE185">
        <v>5.32</v>
      </c>
      <c r="AF185">
        <v>1.6619999999999999</v>
      </c>
      <c r="AG185">
        <v>0.38400000000000001</v>
      </c>
      <c r="AH185">
        <v>1.1279999999999999</v>
      </c>
      <c r="AI185">
        <v>7.5</v>
      </c>
      <c r="AJ185">
        <v>2.34</v>
      </c>
      <c r="AK185">
        <v>1.99</v>
      </c>
      <c r="AL185">
        <v>9.1999999999999998E-2</v>
      </c>
      <c r="AM185">
        <v>3.49</v>
      </c>
      <c r="AN185">
        <v>0.45400000000000001</v>
      </c>
      <c r="AO185">
        <v>1.7250000000000001</v>
      </c>
      <c r="AP185">
        <v>3.49</v>
      </c>
      <c r="AQ185">
        <v>0.81</v>
      </c>
      <c r="AR185">
        <v>1.9419999999999999</v>
      </c>
      <c r="AS185">
        <v>1.5649999999999999</v>
      </c>
      <c r="AT185">
        <v>0.36699999999999999</v>
      </c>
      <c r="AU185">
        <v>902.78</v>
      </c>
    </row>
    <row r="186" spans="1:47">
      <c r="A186" s="39">
        <v>43819</v>
      </c>
      <c r="B186">
        <v>29.57</v>
      </c>
      <c r="C186">
        <v>13.77</v>
      </c>
      <c r="D186">
        <v>11.31</v>
      </c>
      <c r="E186">
        <v>18.14</v>
      </c>
      <c r="F186">
        <v>8.39</v>
      </c>
      <c r="G186">
        <v>0.879</v>
      </c>
      <c r="H186">
        <v>20.239999999999998</v>
      </c>
      <c r="I186">
        <v>1.88</v>
      </c>
      <c r="J186">
        <v>2.907</v>
      </c>
      <c r="K186">
        <v>7.97</v>
      </c>
      <c r="L186">
        <v>9.6300000000000008</v>
      </c>
      <c r="M186" s="40">
        <v>18.62</v>
      </c>
      <c r="N186">
        <v>7.5540000000000003</v>
      </c>
      <c r="O186">
        <v>7.48</v>
      </c>
      <c r="P186">
        <v>6.92</v>
      </c>
      <c r="Q186">
        <v>2.84</v>
      </c>
      <c r="R186">
        <v>4.0999999999999996</v>
      </c>
      <c r="S186">
        <v>8.42</v>
      </c>
      <c r="T186">
        <v>3.625</v>
      </c>
      <c r="U186">
        <v>2.3250000000000002</v>
      </c>
      <c r="V186">
        <v>21.3</v>
      </c>
      <c r="W186">
        <v>8.16</v>
      </c>
      <c r="X186">
        <v>7.46</v>
      </c>
      <c r="Y186">
        <v>4.5</v>
      </c>
      <c r="Z186">
        <v>27.9</v>
      </c>
      <c r="AA186">
        <v>7.1</v>
      </c>
      <c r="AB186">
        <v>5.83</v>
      </c>
      <c r="AC186">
        <v>1.46</v>
      </c>
      <c r="AD186">
        <v>1.296</v>
      </c>
      <c r="AE186">
        <v>5.36</v>
      </c>
      <c r="AF186">
        <v>1.63</v>
      </c>
      <c r="AG186">
        <v>0.39400000000000002</v>
      </c>
      <c r="AH186">
        <v>1.1200000000000001</v>
      </c>
      <c r="AI186">
        <v>7.3</v>
      </c>
      <c r="AJ186">
        <v>2.2999999999999998</v>
      </c>
      <c r="AK186">
        <v>1.97</v>
      </c>
      <c r="AL186">
        <v>9.0999999999999998E-2</v>
      </c>
      <c r="AM186">
        <v>3.47</v>
      </c>
      <c r="AN186">
        <v>0.44600000000000001</v>
      </c>
      <c r="AO186">
        <v>1.68</v>
      </c>
      <c r="AP186">
        <v>3.52</v>
      </c>
      <c r="AQ186">
        <v>0.80600000000000005</v>
      </c>
      <c r="AR186">
        <v>1.9</v>
      </c>
      <c r="AS186">
        <v>1.58</v>
      </c>
      <c r="AT186">
        <v>0.36799999999999999</v>
      </c>
      <c r="AU186">
        <v>892.06</v>
      </c>
    </row>
    <row r="187" spans="1:47">
      <c r="A187" s="39">
        <v>43822</v>
      </c>
      <c r="B187">
        <v>30.18</v>
      </c>
      <c r="C187">
        <v>14.25</v>
      </c>
      <c r="D187">
        <v>11.72</v>
      </c>
      <c r="E187">
        <v>18.72</v>
      </c>
      <c r="F187">
        <v>8.65</v>
      </c>
      <c r="G187">
        <v>0.89</v>
      </c>
      <c r="H187">
        <v>20.7</v>
      </c>
      <c r="I187">
        <v>1.917</v>
      </c>
      <c r="J187">
        <v>2.9689999999999999</v>
      </c>
      <c r="K187">
        <v>8.11</v>
      </c>
      <c r="L187">
        <v>9.81</v>
      </c>
      <c r="M187" s="40">
        <v>18.82</v>
      </c>
      <c r="N187">
        <v>7.5250000000000004</v>
      </c>
      <c r="O187">
        <v>7.57</v>
      </c>
      <c r="P187">
        <v>7.22</v>
      </c>
      <c r="Q187">
        <v>2.94</v>
      </c>
      <c r="R187">
        <v>4.1440000000000001</v>
      </c>
      <c r="S187">
        <v>8.42</v>
      </c>
      <c r="T187">
        <v>3.66</v>
      </c>
      <c r="U187">
        <v>2.39</v>
      </c>
      <c r="V187">
        <v>21.3</v>
      </c>
      <c r="W187">
        <v>8.4</v>
      </c>
      <c r="X187">
        <v>7.92</v>
      </c>
      <c r="Y187">
        <v>4.53</v>
      </c>
      <c r="Z187">
        <v>27.9</v>
      </c>
      <c r="AA187">
        <v>7.2</v>
      </c>
      <c r="AB187">
        <v>5.78</v>
      </c>
      <c r="AC187">
        <v>1.484</v>
      </c>
      <c r="AD187">
        <v>1.3220000000000001</v>
      </c>
      <c r="AE187">
        <v>5.56</v>
      </c>
      <c r="AF187">
        <v>1.67</v>
      </c>
      <c r="AG187">
        <v>0.40600000000000003</v>
      </c>
      <c r="AH187">
        <v>1.1599999999999999</v>
      </c>
      <c r="AI187">
        <v>7.25</v>
      </c>
      <c r="AJ187">
        <v>2.4300000000000002</v>
      </c>
      <c r="AK187">
        <v>2.0299999999999998</v>
      </c>
      <c r="AL187">
        <v>9.4E-2</v>
      </c>
      <c r="AM187">
        <v>3.52</v>
      </c>
      <c r="AN187">
        <v>0.45100000000000001</v>
      </c>
      <c r="AO187">
        <v>1.7</v>
      </c>
      <c r="AP187">
        <v>3.69</v>
      </c>
      <c r="AQ187">
        <v>0.81100000000000005</v>
      </c>
      <c r="AR187">
        <v>1.9119999999999999</v>
      </c>
      <c r="AS187">
        <v>1.58</v>
      </c>
      <c r="AT187">
        <v>0.39</v>
      </c>
      <c r="AU187">
        <v>912.52</v>
      </c>
    </row>
    <row r="188" spans="1:47">
      <c r="A188" s="39">
        <v>43826</v>
      </c>
      <c r="B188">
        <v>30.3</v>
      </c>
      <c r="C188">
        <v>14.45</v>
      </c>
      <c r="D188">
        <v>11.64</v>
      </c>
      <c r="E188">
        <v>18.399999999999999</v>
      </c>
      <c r="F188">
        <v>8.8000000000000007</v>
      </c>
      <c r="G188">
        <v>0.92</v>
      </c>
      <c r="H188">
        <v>20.74</v>
      </c>
      <c r="I188">
        <v>1.917</v>
      </c>
      <c r="J188">
        <v>3.0219999999999998</v>
      </c>
      <c r="K188">
        <v>8.3000000000000007</v>
      </c>
      <c r="L188">
        <v>9.7899999999999991</v>
      </c>
      <c r="M188" s="40">
        <v>19.12</v>
      </c>
      <c r="N188">
        <v>7.5439999999999996</v>
      </c>
      <c r="O188">
        <v>7.6</v>
      </c>
      <c r="P188">
        <v>7.44</v>
      </c>
      <c r="Q188">
        <v>3.01</v>
      </c>
      <c r="R188">
        <v>4.24</v>
      </c>
      <c r="S188">
        <v>8.4</v>
      </c>
      <c r="T188">
        <v>3.71</v>
      </c>
      <c r="U188">
        <v>2.3849999999999998</v>
      </c>
      <c r="V188">
        <v>22.15</v>
      </c>
      <c r="W188">
        <v>8.4</v>
      </c>
      <c r="X188">
        <v>8.0399999999999991</v>
      </c>
      <c r="Y188">
        <v>4.57</v>
      </c>
      <c r="Z188">
        <v>27.6</v>
      </c>
      <c r="AA188">
        <v>7.32</v>
      </c>
      <c r="AB188">
        <v>5.85</v>
      </c>
      <c r="AC188">
        <v>1.468</v>
      </c>
      <c r="AD188">
        <v>1.3520000000000001</v>
      </c>
      <c r="AE188">
        <v>5.5</v>
      </c>
      <c r="AF188">
        <v>1.68</v>
      </c>
      <c r="AG188">
        <v>0.40500000000000003</v>
      </c>
      <c r="AH188">
        <v>1.1659999999999999</v>
      </c>
      <c r="AI188">
        <v>7.35</v>
      </c>
      <c r="AJ188">
        <v>2.44</v>
      </c>
      <c r="AK188">
        <v>2.02</v>
      </c>
      <c r="AL188">
        <v>9.1999999999999998E-2</v>
      </c>
      <c r="AM188">
        <v>3.48</v>
      </c>
      <c r="AN188">
        <v>0.45400000000000001</v>
      </c>
      <c r="AO188">
        <v>1.72</v>
      </c>
      <c r="AP188">
        <v>3.72</v>
      </c>
      <c r="AQ188">
        <v>0.82499999999999996</v>
      </c>
      <c r="AR188">
        <v>1.93</v>
      </c>
      <c r="AS188">
        <v>1.57</v>
      </c>
      <c r="AT188">
        <v>0.379</v>
      </c>
      <c r="AU188">
        <v>920.54</v>
      </c>
    </row>
    <row r="189" spans="1:47">
      <c r="A189" s="39">
        <v>43829</v>
      </c>
      <c r="B189">
        <v>30.38</v>
      </c>
      <c r="C189">
        <v>14.25</v>
      </c>
      <c r="D189">
        <v>11.72</v>
      </c>
      <c r="E189">
        <v>18.489999999999998</v>
      </c>
      <c r="F189">
        <v>8.69</v>
      </c>
      <c r="G189">
        <v>0.90900000000000003</v>
      </c>
      <c r="H189">
        <v>20.94</v>
      </c>
      <c r="I189">
        <v>1.905</v>
      </c>
      <c r="J189">
        <v>3</v>
      </c>
      <c r="K189">
        <v>8.14</v>
      </c>
      <c r="L189">
        <v>9.84</v>
      </c>
      <c r="M189" s="40">
        <v>19.2</v>
      </c>
      <c r="N189">
        <v>7.5049999999999999</v>
      </c>
      <c r="O189">
        <v>7.51</v>
      </c>
      <c r="P189">
        <v>7.58</v>
      </c>
      <c r="Q189">
        <v>2.992</v>
      </c>
      <c r="R189">
        <v>4.1639999999999997</v>
      </c>
      <c r="S189">
        <v>8.6</v>
      </c>
      <c r="T189">
        <v>3.69</v>
      </c>
      <c r="U189">
        <v>2.355</v>
      </c>
      <c r="V189">
        <v>22</v>
      </c>
      <c r="W189">
        <v>8.39</v>
      </c>
      <c r="X189">
        <v>7.78</v>
      </c>
      <c r="Y189">
        <v>4.6349999999999998</v>
      </c>
      <c r="Z189">
        <v>27</v>
      </c>
      <c r="AA189">
        <v>7.32</v>
      </c>
      <c r="AB189">
        <v>5.7</v>
      </c>
      <c r="AC189">
        <v>1.4339999999999999</v>
      </c>
      <c r="AD189">
        <v>1.3580000000000001</v>
      </c>
      <c r="AE189">
        <v>5.5</v>
      </c>
      <c r="AF189">
        <v>1.694</v>
      </c>
      <c r="AG189">
        <v>0.40200000000000002</v>
      </c>
      <c r="AH189">
        <v>1.1599999999999999</v>
      </c>
      <c r="AI189">
        <v>7.35</v>
      </c>
      <c r="AJ189">
        <v>2.38</v>
      </c>
      <c r="AK189">
        <v>2.02</v>
      </c>
      <c r="AL189">
        <v>9.1999999999999998E-2</v>
      </c>
      <c r="AM189">
        <v>3.46</v>
      </c>
      <c r="AN189">
        <v>0.45100000000000001</v>
      </c>
      <c r="AO189">
        <v>1.74</v>
      </c>
      <c r="AP189">
        <v>3.71</v>
      </c>
      <c r="AQ189">
        <v>0.81699999999999995</v>
      </c>
      <c r="AR189">
        <v>1.9279999999999999</v>
      </c>
      <c r="AS189">
        <v>1.66</v>
      </c>
      <c r="AT189">
        <v>0.371</v>
      </c>
      <c r="AU189">
        <v>917.79</v>
      </c>
    </row>
    <row r="190" spans="1:47">
      <c r="A190" s="39">
        <v>43830</v>
      </c>
      <c r="B190">
        <v>30.17</v>
      </c>
      <c r="C190">
        <v>14.26</v>
      </c>
      <c r="D190">
        <v>11.58</v>
      </c>
      <c r="E190">
        <v>18.55</v>
      </c>
      <c r="F190">
        <v>8.77</v>
      </c>
      <c r="G190">
        <v>0.92</v>
      </c>
      <c r="H190">
        <v>20.62</v>
      </c>
      <c r="I190">
        <v>1.923</v>
      </c>
      <c r="J190">
        <v>3.02</v>
      </c>
      <c r="K190">
        <v>8.23</v>
      </c>
      <c r="L190">
        <v>9.7799999999999994</v>
      </c>
      <c r="M190" s="40">
        <v>18.96</v>
      </c>
      <c r="N190">
        <v>7.5049999999999999</v>
      </c>
      <c r="O190">
        <v>7.55</v>
      </c>
      <c r="P190">
        <v>7.57</v>
      </c>
      <c r="Q190">
        <v>2.99</v>
      </c>
      <c r="R190">
        <v>4.13</v>
      </c>
      <c r="S190">
        <v>8.52</v>
      </c>
      <c r="T190">
        <v>3.61</v>
      </c>
      <c r="U190">
        <v>2.3199999999999998</v>
      </c>
      <c r="V190">
        <v>21.85</v>
      </c>
      <c r="W190">
        <v>8.4</v>
      </c>
      <c r="X190">
        <v>7.88</v>
      </c>
      <c r="Y190">
        <v>4.6349999999999998</v>
      </c>
      <c r="Z190">
        <v>27.6</v>
      </c>
      <c r="AA190">
        <v>7.32</v>
      </c>
      <c r="AB190">
        <v>5.79</v>
      </c>
      <c r="AC190">
        <v>1.468</v>
      </c>
      <c r="AD190">
        <v>1.3580000000000001</v>
      </c>
      <c r="AE190">
        <v>5.66</v>
      </c>
      <c r="AF190">
        <v>1.702</v>
      </c>
      <c r="AG190">
        <v>0.39500000000000002</v>
      </c>
      <c r="AH190">
        <v>1.1619999999999999</v>
      </c>
      <c r="AI190">
        <v>7.15</v>
      </c>
      <c r="AJ190">
        <v>2.4</v>
      </c>
      <c r="AK190">
        <v>1.9950000000000001</v>
      </c>
      <c r="AL190">
        <v>9.0999999999999998E-2</v>
      </c>
      <c r="AM190">
        <v>3.47</v>
      </c>
      <c r="AN190">
        <v>0.45400000000000001</v>
      </c>
      <c r="AO190">
        <v>1.74</v>
      </c>
      <c r="AP190">
        <v>3.73</v>
      </c>
      <c r="AQ190">
        <v>0.82599999999999996</v>
      </c>
      <c r="AR190">
        <v>1.91</v>
      </c>
      <c r="AS190">
        <v>1.63</v>
      </c>
      <c r="AT190">
        <v>0.36799999999999999</v>
      </c>
      <c r="AU190">
        <v>916.67</v>
      </c>
    </row>
    <row r="191" spans="1:47">
      <c r="A191" s="39">
        <v>43832</v>
      </c>
      <c r="B191">
        <v>30.3</v>
      </c>
      <c r="C191">
        <v>14.3</v>
      </c>
      <c r="D191">
        <v>11.79</v>
      </c>
      <c r="E191">
        <v>18.690000000000001</v>
      </c>
      <c r="F191">
        <v>8.7799999999999994</v>
      </c>
      <c r="G191">
        <v>0.91900000000000004</v>
      </c>
      <c r="H191">
        <v>21.24</v>
      </c>
      <c r="I191">
        <v>1.91</v>
      </c>
      <c r="J191">
        <v>3.0449999999999999</v>
      </c>
      <c r="K191">
        <v>8.4499999999999993</v>
      </c>
      <c r="L191">
        <v>9.94</v>
      </c>
      <c r="M191" s="40">
        <v>19.28</v>
      </c>
      <c r="N191">
        <v>7.76</v>
      </c>
      <c r="O191">
        <v>7.59</v>
      </c>
      <c r="P191">
        <v>7.84</v>
      </c>
      <c r="Q191">
        <v>3.0339999999999998</v>
      </c>
      <c r="R191">
        <v>4.3499999999999996</v>
      </c>
      <c r="S191">
        <v>8.7899999999999991</v>
      </c>
      <c r="T191">
        <v>3.75</v>
      </c>
      <c r="U191">
        <v>2.4049999999999998</v>
      </c>
      <c r="V191">
        <v>22.9</v>
      </c>
      <c r="W191">
        <v>8.48</v>
      </c>
      <c r="X191">
        <v>7.78</v>
      </c>
      <c r="Y191">
        <v>4.76</v>
      </c>
      <c r="Z191">
        <v>27.1</v>
      </c>
      <c r="AA191">
        <v>7.42</v>
      </c>
      <c r="AB191">
        <v>5.9</v>
      </c>
      <c r="AC191">
        <v>1.468</v>
      </c>
      <c r="AD191">
        <v>1.43</v>
      </c>
      <c r="AE191">
        <v>5.6</v>
      </c>
      <c r="AF191">
        <v>1.8180000000000001</v>
      </c>
      <c r="AG191">
        <v>0.41</v>
      </c>
      <c r="AH191">
        <v>1.1579999999999999</v>
      </c>
      <c r="AI191">
        <v>7.15</v>
      </c>
      <c r="AJ191">
        <v>2.4500000000000002</v>
      </c>
      <c r="AK191">
        <v>2.0099999999999998</v>
      </c>
      <c r="AL191">
        <v>9.7000000000000003E-2</v>
      </c>
      <c r="AM191">
        <v>3.59</v>
      </c>
      <c r="AN191">
        <v>0.50700000000000001</v>
      </c>
      <c r="AO191">
        <v>1.76</v>
      </c>
      <c r="AP191">
        <v>3.76</v>
      </c>
      <c r="AQ191">
        <v>0.87</v>
      </c>
      <c r="AR191">
        <v>1.954</v>
      </c>
      <c r="AS191">
        <v>1.7549999999999999</v>
      </c>
      <c r="AT191">
        <v>0.39100000000000001</v>
      </c>
      <c r="AU191">
        <v>930.71</v>
      </c>
    </row>
    <row r="192" spans="1:47">
      <c r="A192" s="39">
        <v>43833</v>
      </c>
      <c r="B192">
        <v>30.46</v>
      </c>
      <c r="C192">
        <v>14.1</v>
      </c>
      <c r="D192">
        <v>11.62</v>
      </c>
      <c r="E192">
        <v>18.64</v>
      </c>
      <c r="F192">
        <v>8.69</v>
      </c>
      <c r="G192">
        <v>0.9</v>
      </c>
      <c r="H192">
        <v>20.86</v>
      </c>
      <c r="I192">
        <v>1.88</v>
      </c>
      <c r="J192">
        <v>2.9449999999999998</v>
      </c>
      <c r="K192">
        <v>8.64</v>
      </c>
      <c r="L192">
        <v>9.8699999999999992</v>
      </c>
      <c r="M192" s="40">
        <v>19.3</v>
      </c>
      <c r="N192">
        <v>7.6420000000000003</v>
      </c>
      <c r="O192">
        <v>7.52</v>
      </c>
      <c r="P192">
        <v>7.73</v>
      </c>
      <c r="Q192">
        <v>2.99</v>
      </c>
      <c r="R192">
        <v>4.3259999999999996</v>
      </c>
      <c r="S192">
        <v>8.57</v>
      </c>
      <c r="T192">
        <v>3.65</v>
      </c>
      <c r="U192">
        <v>2.38</v>
      </c>
      <c r="V192">
        <v>22.45</v>
      </c>
      <c r="W192">
        <v>8.24</v>
      </c>
      <c r="X192">
        <v>7.66</v>
      </c>
      <c r="Y192">
        <v>4.7</v>
      </c>
      <c r="Z192">
        <v>26.7</v>
      </c>
      <c r="AA192">
        <v>7.28</v>
      </c>
      <c r="AB192">
        <v>5.7</v>
      </c>
      <c r="AC192">
        <v>1.468</v>
      </c>
      <c r="AD192">
        <v>1.4</v>
      </c>
      <c r="AE192">
        <v>5.52</v>
      </c>
      <c r="AF192">
        <v>1.788</v>
      </c>
      <c r="AG192">
        <v>0.39500000000000002</v>
      </c>
      <c r="AH192">
        <v>1.1459999999999999</v>
      </c>
      <c r="AI192">
        <v>7.25</v>
      </c>
      <c r="AJ192">
        <v>2.33</v>
      </c>
      <c r="AK192">
        <v>2.0099999999999998</v>
      </c>
      <c r="AL192">
        <v>9.5000000000000001E-2</v>
      </c>
      <c r="AM192">
        <v>3.6</v>
      </c>
      <c r="AN192">
        <v>0.49099999999999999</v>
      </c>
      <c r="AO192">
        <v>1.74</v>
      </c>
      <c r="AP192">
        <v>3.77</v>
      </c>
      <c r="AQ192">
        <v>0.85099999999999998</v>
      </c>
      <c r="AR192">
        <v>1.9</v>
      </c>
      <c r="AS192">
        <v>1.79</v>
      </c>
      <c r="AT192">
        <v>0.38800000000000001</v>
      </c>
      <c r="AU192">
        <v>920.09</v>
      </c>
    </row>
    <row r="193" spans="1:47">
      <c r="A193" s="39">
        <v>43837</v>
      </c>
      <c r="B193">
        <v>30.68</v>
      </c>
      <c r="C193">
        <v>14.13</v>
      </c>
      <c r="D193">
        <v>11.83</v>
      </c>
      <c r="E193">
        <v>18.37</v>
      </c>
      <c r="F193">
        <v>8.5500000000000007</v>
      </c>
      <c r="G193">
        <v>0.89</v>
      </c>
      <c r="H193">
        <v>20.66</v>
      </c>
      <c r="I193">
        <v>1.88</v>
      </c>
      <c r="J193">
        <v>2.97</v>
      </c>
      <c r="K193">
        <v>8.8000000000000007</v>
      </c>
      <c r="L193">
        <v>9.9550000000000001</v>
      </c>
      <c r="M193" s="40">
        <v>19.5</v>
      </c>
      <c r="N193">
        <v>7.7110000000000003</v>
      </c>
      <c r="O193">
        <v>7.46</v>
      </c>
      <c r="P193">
        <v>7.72</v>
      </c>
      <c r="Q193">
        <v>3.06</v>
      </c>
      <c r="R193">
        <v>4.3099999999999996</v>
      </c>
      <c r="S193">
        <v>8.6</v>
      </c>
      <c r="T193">
        <v>3.6749999999999998</v>
      </c>
      <c r="U193">
        <v>2.5</v>
      </c>
      <c r="V193">
        <v>22.95</v>
      </c>
      <c r="W193">
        <v>8.31</v>
      </c>
      <c r="X193">
        <v>7.72</v>
      </c>
      <c r="Y193">
        <v>4.7649999999999997</v>
      </c>
      <c r="Z193">
        <v>26.6</v>
      </c>
      <c r="AA193">
        <v>7.32</v>
      </c>
      <c r="AB193">
        <v>5.76</v>
      </c>
      <c r="AC193">
        <v>1.468</v>
      </c>
      <c r="AD193">
        <v>1.3779999999999999</v>
      </c>
      <c r="AE193">
        <v>5.54</v>
      </c>
      <c r="AF193">
        <v>1.84</v>
      </c>
      <c r="AG193">
        <v>0.39400000000000002</v>
      </c>
      <c r="AH193">
        <v>1.1679999999999999</v>
      </c>
      <c r="AI193">
        <v>7.4</v>
      </c>
      <c r="AJ193">
        <v>2.38</v>
      </c>
      <c r="AK193">
        <v>2.0099999999999998</v>
      </c>
      <c r="AL193">
        <v>0.1</v>
      </c>
      <c r="AM193">
        <v>3.55</v>
      </c>
      <c r="AN193">
        <v>0.496</v>
      </c>
      <c r="AO193">
        <v>1.74</v>
      </c>
      <c r="AP193">
        <v>3.78</v>
      </c>
      <c r="AQ193">
        <v>0.85</v>
      </c>
      <c r="AR193">
        <v>1.8440000000000001</v>
      </c>
      <c r="AS193">
        <v>1.76</v>
      </c>
      <c r="AT193">
        <v>0.39300000000000002</v>
      </c>
      <c r="AU193">
        <v>924.69</v>
      </c>
    </row>
    <row r="194" spans="1:47">
      <c r="A194" s="39">
        <v>43838</v>
      </c>
      <c r="B194">
        <v>30.9</v>
      </c>
      <c r="C194">
        <v>13.98</v>
      </c>
      <c r="D194">
        <v>11.75</v>
      </c>
      <c r="E194">
        <v>18.190000000000001</v>
      </c>
      <c r="F194">
        <v>8.4600000000000009</v>
      </c>
      <c r="G194">
        <v>0.84099999999999997</v>
      </c>
      <c r="H194">
        <v>20.56</v>
      </c>
      <c r="I194">
        <v>1.8560000000000001</v>
      </c>
      <c r="J194">
        <v>2.83</v>
      </c>
      <c r="K194">
        <v>8.75</v>
      </c>
      <c r="L194">
        <v>9.76</v>
      </c>
      <c r="M194" s="40">
        <v>19.399999999999999</v>
      </c>
      <c r="N194">
        <v>7.5339999999999998</v>
      </c>
      <c r="O194">
        <v>7.36</v>
      </c>
      <c r="P194">
        <v>7.75</v>
      </c>
      <c r="Q194">
        <v>3</v>
      </c>
      <c r="R194">
        <v>4.2560000000000002</v>
      </c>
      <c r="S194">
        <v>8.61</v>
      </c>
      <c r="T194">
        <v>3.64</v>
      </c>
      <c r="U194">
        <v>2.46</v>
      </c>
      <c r="V194">
        <v>22.75</v>
      </c>
      <c r="W194">
        <v>8.3800000000000008</v>
      </c>
      <c r="X194">
        <v>7.9</v>
      </c>
      <c r="Y194">
        <v>4.68</v>
      </c>
      <c r="Z194">
        <v>26.5</v>
      </c>
      <c r="AA194">
        <v>7.2</v>
      </c>
      <c r="AB194">
        <v>5.84</v>
      </c>
      <c r="AC194">
        <v>1.45</v>
      </c>
      <c r="AD194">
        <v>1.3979999999999999</v>
      </c>
      <c r="AE194">
        <v>5.54</v>
      </c>
      <c r="AF194">
        <v>1.784</v>
      </c>
      <c r="AG194">
        <v>0.4</v>
      </c>
      <c r="AH194">
        <v>1.1439999999999999</v>
      </c>
      <c r="AI194">
        <v>7.4</v>
      </c>
      <c r="AJ194">
        <v>2.41</v>
      </c>
      <c r="AK194">
        <v>1.9950000000000001</v>
      </c>
      <c r="AL194">
        <v>0.105</v>
      </c>
      <c r="AM194">
        <v>3.55</v>
      </c>
      <c r="AN194">
        <v>0.504</v>
      </c>
      <c r="AO194">
        <v>1.73</v>
      </c>
      <c r="AP194">
        <v>3.7</v>
      </c>
      <c r="AQ194">
        <v>0.82599999999999996</v>
      </c>
      <c r="AR194">
        <v>1.8640000000000001</v>
      </c>
      <c r="AS194">
        <v>1.74</v>
      </c>
      <c r="AT194">
        <v>0.38400000000000001</v>
      </c>
      <c r="AU194">
        <v>914.17</v>
      </c>
    </row>
    <row r="195" spans="1:47">
      <c r="A195" s="39">
        <v>43839</v>
      </c>
      <c r="B195">
        <v>30.82</v>
      </c>
      <c r="C195">
        <v>13.94</v>
      </c>
      <c r="D195">
        <v>12.239000000000001</v>
      </c>
      <c r="E195">
        <v>18.32</v>
      </c>
      <c r="F195">
        <v>8.4700000000000006</v>
      </c>
      <c r="G195">
        <v>0.871</v>
      </c>
      <c r="H195">
        <v>20.64</v>
      </c>
      <c r="I195">
        <v>1.89</v>
      </c>
      <c r="J195">
        <v>2.8719999999999999</v>
      </c>
      <c r="K195">
        <v>8.74</v>
      </c>
      <c r="L195">
        <v>9.81</v>
      </c>
      <c r="M195" s="40">
        <v>19.420000000000002</v>
      </c>
      <c r="N195">
        <v>7.5250000000000004</v>
      </c>
      <c r="O195">
        <v>7.4</v>
      </c>
      <c r="P195">
        <v>7.88</v>
      </c>
      <c r="Q195">
        <v>3.1779999999999999</v>
      </c>
      <c r="R195">
        <v>4.3600000000000003</v>
      </c>
      <c r="S195">
        <v>8.81</v>
      </c>
      <c r="T195">
        <v>3.74</v>
      </c>
      <c r="U195">
        <v>2.46</v>
      </c>
      <c r="V195">
        <v>22.55</v>
      </c>
      <c r="W195">
        <v>8.4700000000000006</v>
      </c>
      <c r="X195">
        <v>8.08</v>
      </c>
      <c r="Y195">
        <v>4.7699999999999996</v>
      </c>
      <c r="Z195">
        <v>27.3</v>
      </c>
      <c r="AA195">
        <v>7.56</v>
      </c>
      <c r="AB195">
        <v>5.9</v>
      </c>
      <c r="AC195">
        <v>1.466</v>
      </c>
      <c r="AD195">
        <v>1.4019999999999999</v>
      </c>
      <c r="AE195">
        <v>5.44</v>
      </c>
      <c r="AF195">
        <v>1.89</v>
      </c>
      <c r="AG195">
        <v>0.39300000000000002</v>
      </c>
      <c r="AH195">
        <v>1.1379999999999999</v>
      </c>
      <c r="AI195">
        <v>8</v>
      </c>
      <c r="AJ195">
        <v>2.4900000000000002</v>
      </c>
      <c r="AK195">
        <v>2.0699999999999998</v>
      </c>
      <c r="AL195">
        <v>0.105</v>
      </c>
      <c r="AM195">
        <v>3.55</v>
      </c>
      <c r="AN195">
        <v>0.53700000000000003</v>
      </c>
      <c r="AO195">
        <v>1.7749999999999999</v>
      </c>
      <c r="AP195">
        <v>3.84</v>
      </c>
      <c r="AQ195">
        <v>0.83299999999999996</v>
      </c>
      <c r="AR195">
        <v>1.83</v>
      </c>
      <c r="AS195">
        <v>1.72</v>
      </c>
      <c r="AT195">
        <v>0.38400000000000001</v>
      </c>
      <c r="AU195">
        <v>926.06</v>
      </c>
    </row>
    <row r="196" spans="1:47">
      <c r="A196" s="39">
        <v>43840</v>
      </c>
      <c r="B196">
        <v>31.42</v>
      </c>
      <c r="C196">
        <v>13.79</v>
      </c>
      <c r="D196">
        <v>12.308999999999999</v>
      </c>
      <c r="E196">
        <v>18.350000000000001</v>
      </c>
      <c r="F196">
        <v>8.33</v>
      </c>
      <c r="G196">
        <v>0.87</v>
      </c>
      <c r="H196">
        <v>20.6</v>
      </c>
      <c r="I196">
        <v>1.87</v>
      </c>
      <c r="J196">
        <v>2.851</v>
      </c>
      <c r="K196">
        <v>8.65</v>
      </c>
      <c r="L196">
        <v>9.75</v>
      </c>
      <c r="M196" s="40">
        <v>19.2</v>
      </c>
      <c r="N196">
        <v>7.6130000000000004</v>
      </c>
      <c r="O196">
        <v>7.25</v>
      </c>
      <c r="P196">
        <v>7.78</v>
      </c>
      <c r="Q196">
        <v>3.206</v>
      </c>
      <c r="R196">
        <v>4.2919999999999998</v>
      </c>
      <c r="S196">
        <v>8.7799999999999994</v>
      </c>
      <c r="T196">
        <v>3.68</v>
      </c>
      <c r="U196">
        <v>2.4</v>
      </c>
      <c r="V196">
        <v>22.9</v>
      </c>
      <c r="W196">
        <v>8.6</v>
      </c>
      <c r="X196">
        <v>8.1199999999999992</v>
      </c>
      <c r="Y196">
        <v>4.78</v>
      </c>
      <c r="Z196">
        <v>27</v>
      </c>
      <c r="AA196">
        <v>7.54</v>
      </c>
      <c r="AB196">
        <v>5.88</v>
      </c>
      <c r="AC196">
        <v>1.458</v>
      </c>
      <c r="AD196">
        <v>1.3839999999999999</v>
      </c>
      <c r="AE196">
        <v>5.38</v>
      </c>
      <c r="AF196">
        <v>1.88</v>
      </c>
      <c r="AG196">
        <v>0.39500000000000002</v>
      </c>
      <c r="AH196">
        <v>1.1779999999999999</v>
      </c>
      <c r="AI196">
        <v>7.7</v>
      </c>
      <c r="AJ196">
        <v>2.46</v>
      </c>
      <c r="AK196">
        <v>2.12</v>
      </c>
      <c r="AL196">
        <v>0.10299999999999999</v>
      </c>
      <c r="AM196">
        <v>3.61</v>
      </c>
      <c r="AN196">
        <v>0.53700000000000003</v>
      </c>
      <c r="AO196">
        <v>1.82</v>
      </c>
      <c r="AP196">
        <v>3.89</v>
      </c>
      <c r="AQ196">
        <v>0.82199999999999995</v>
      </c>
      <c r="AR196">
        <v>1.8580000000000001</v>
      </c>
      <c r="AS196">
        <v>1.67</v>
      </c>
      <c r="AT196">
        <v>0.38400000000000001</v>
      </c>
      <c r="AU196">
        <v>923.63</v>
      </c>
    </row>
    <row r="197" spans="1:47">
      <c r="A197" s="39">
        <v>43843</v>
      </c>
      <c r="B197">
        <v>30.75</v>
      </c>
      <c r="C197">
        <v>13.81</v>
      </c>
      <c r="D197">
        <v>12.05</v>
      </c>
      <c r="E197">
        <v>18.21</v>
      </c>
      <c r="F197">
        <v>8.33</v>
      </c>
      <c r="G197">
        <v>0.85299999999999998</v>
      </c>
      <c r="H197">
        <v>20.76</v>
      </c>
      <c r="I197">
        <v>1.843</v>
      </c>
      <c r="J197">
        <v>2.82</v>
      </c>
      <c r="K197">
        <v>8.5399999999999991</v>
      </c>
      <c r="L197">
        <v>9.81</v>
      </c>
      <c r="M197" s="40">
        <v>19.399999999999999</v>
      </c>
      <c r="N197">
        <v>7.6909999999999998</v>
      </c>
      <c r="O197">
        <v>7.22</v>
      </c>
      <c r="P197">
        <v>7.74</v>
      </c>
      <c r="Q197">
        <v>3.302</v>
      </c>
      <c r="R197">
        <v>4.2220000000000004</v>
      </c>
      <c r="S197">
        <v>8.83</v>
      </c>
      <c r="T197">
        <v>3.66</v>
      </c>
      <c r="U197">
        <v>2.37</v>
      </c>
      <c r="V197">
        <v>22.55</v>
      </c>
      <c r="W197">
        <v>8.6</v>
      </c>
      <c r="X197">
        <v>8.06</v>
      </c>
      <c r="Y197">
        <v>4.8099999999999996</v>
      </c>
      <c r="Z197">
        <v>26.8</v>
      </c>
      <c r="AA197">
        <v>7.4</v>
      </c>
      <c r="AB197">
        <v>5.77</v>
      </c>
      <c r="AC197">
        <v>1.45</v>
      </c>
      <c r="AD197">
        <v>1.4019999999999999</v>
      </c>
      <c r="AE197">
        <v>5.42</v>
      </c>
      <c r="AF197">
        <v>1.8360000000000001</v>
      </c>
      <c r="AG197">
        <v>0.39600000000000002</v>
      </c>
      <c r="AH197">
        <v>1.194</v>
      </c>
      <c r="AI197">
        <v>7.7</v>
      </c>
      <c r="AJ197">
        <v>2.41</v>
      </c>
      <c r="AK197">
        <v>2.08</v>
      </c>
      <c r="AL197">
        <v>0.109</v>
      </c>
      <c r="AM197">
        <v>3.62</v>
      </c>
      <c r="AN197">
        <v>0.55900000000000005</v>
      </c>
      <c r="AO197">
        <v>1.845</v>
      </c>
      <c r="AP197">
        <v>3.86</v>
      </c>
      <c r="AQ197">
        <v>0.82299999999999995</v>
      </c>
      <c r="AR197">
        <v>1.75</v>
      </c>
      <c r="AS197">
        <v>1.67</v>
      </c>
      <c r="AT197">
        <v>0.38100000000000001</v>
      </c>
      <c r="AU197">
        <v>919.39</v>
      </c>
    </row>
    <row r="198" spans="1:47">
      <c r="A198" s="39">
        <v>43844</v>
      </c>
      <c r="B198">
        <v>31.55</v>
      </c>
      <c r="C198">
        <v>13.9</v>
      </c>
      <c r="D198">
        <v>12.07</v>
      </c>
      <c r="E198">
        <v>18.010000000000002</v>
      </c>
      <c r="F198">
        <v>8.39</v>
      </c>
      <c r="G198">
        <v>0.86</v>
      </c>
      <c r="H198">
        <v>20.48</v>
      </c>
      <c r="I198">
        <v>1.8149999999999999</v>
      </c>
      <c r="J198">
        <v>2.88</v>
      </c>
      <c r="K198">
        <v>8.44</v>
      </c>
      <c r="L198">
        <v>9.93</v>
      </c>
      <c r="M198" s="40">
        <v>19</v>
      </c>
      <c r="N198">
        <v>7.8280000000000003</v>
      </c>
      <c r="O198">
        <v>7.54</v>
      </c>
      <c r="P198">
        <v>7.85</v>
      </c>
      <c r="Q198">
        <v>3.3</v>
      </c>
      <c r="R198">
        <v>4.2439999999999998</v>
      </c>
      <c r="S198">
        <v>8.75</v>
      </c>
      <c r="T198">
        <v>3.7</v>
      </c>
      <c r="U198">
        <v>2.38</v>
      </c>
      <c r="V198">
        <v>22.6</v>
      </c>
      <c r="W198">
        <v>8.65</v>
      </c>
      <c r="X198">
        <v>8.1</v>
      </c>
      <c r="Y198">
        <v>4.78</v>
      </c>
      <c r="Z198">
        <v>26.8</v>
      </c>
      <c r="AA198">
        <v>7.44</v>
      </c>
      <c r="AB198">
        <v>5.76</v>
      </c>
      <c r="AC198">
        <v>1.44</v>
      </c>
      <c r="AD198">
        <v>1.4259999999999999</v>
      </c>
      <c r="AE198">
        <v>5.44</v>
      </c>
      <c r="AF198">
        <v>1.8560000000000001</v>
      </c>
      <c r="AG198">
        <v>0.38500000000000001</v>
      </c>
      <c r="AH198">
        <v>1.196</v>
      </c>
      <c r="AI198">
        <v>7.7</v>
      </c>
      <c r="AJ198">
        <v>2.39</v>
      </c>
      <c r="AK198">
        <v>2.09</v>
      </c>
      <c r="AL198">
        <v>0.108</v>
      </c>
      <c r="AM198">
        <v>3.66</v>
      </c>
      <c r="AN198">
        <v>0.57299999999999995</v>
      </c>
      <c r="AO198">
        <v>1.7949999999999999</v>
      </c>
      <c r="AP198">
        <v>3.84</v>
      </c>
      <c r="AQ198">
        <v>0.88300000000000001</v>
      </c>
      <c r="AR198">
        <v>1.8</v>
      </c>
      <c r="AS198">
        <v>1.68</v>
      </c>
      <c r="AT198">
        <v>0.38400000000000001</v>
      </c>
      <c r="AU198">
        <v>923.69</v>
      </c>
    </row>
    <row r="199" spans="1:47">
      <c r="A199" s="39">
        <v>43845</v>
      </c>
      <c r="B199">
        <v>32.200000000000003</v>
      </c>
      <c r="C199">
        <v>13.7</v>
      </c>
      <c r="D199">
        <v>12.09</v>
      </c>
      <c r="E199">
        <v>18</v>
      </c>
      <c r="F199">
        <v>8.4</v>
      </c>
      <c r="G199">
        <v>0.9</v>
      </c>
      <c r="H199">
        <v>20.3</v>
      </c>
      <c r="I199">
        <v>1.86</v>
      </c>
      <c r="J199">
        <v>2.96</v>
      </c>
      <c r="K199">
        <v>8.4499999999999993</v>
      </c>
      <c r="L199">
        <v>9.9</v>
      </c>
      <c r="M199" s="40">
        <v>18.899999999999999</v>
      </c>
      <c r="N199">
        <v>7.9660000000000002</v>
      </c>
      <c r="O199">
        <v>7.59</v>
      </c>
      <c r="P199">
        <v>7.79</v>
      </c>
      <c r="Q199">
        <v>3.29</v>
      </c>
      <c r="R199">
        <v>4.2060000000000004</v>
      </c>
      <c r="S199">
        <v>8.75</v>
      </c>
      <c r="T199">
        <v>3.7450000000000001</v>
      </c>
      <c r="U199">
        <v>2.4</v>
      </c>
      <c r="V199">
        <v>22.85</v>
      </c>
      <c r="W199">
        <v>8.68</v>
      </c>
      <c r="X199">
        <v>8.1199999999999992</v>
      </c>
      <c r="Y199">
        <v>4.8</v>
      </c>
      <c r="Z199">
        <v>26.9</v>
      </c>
      <c r="AA199">
        <v>7.7</v>
      </c>
      <c r="AB199">
        <v>5.73</v>
      </c>
      <c r="AC199">
        <v>1.44</v>
      </c>
      <c r="AD199">
        <v>1.46</v>
      </c>
      <c r="AE199">
        <v>5.5</v>
      </c>
      <c r="AF199">
        <v>1.8540000000000001</v>
      </c>
      <c r="AG199">
        <v>0.38200000000000001</v>
      </c>
      <c r="AH199">
        <v>1.194</v>
      </c>
      <c r="AI199">
        <v>8.0500000000000007</v>
      </c>
      <c r="AJ199">
        <v>2.38</v>
      </c>
      <c r="AK199">
        <v>2.11</v>
      </c>
      <c r="AL199">
        <v>0.107</v>
      </c>
      <c r="AM199">
        <v>3.66</v>
      </c>
      <c r="AN199">
        <v>0.58199999999999996</v>
      </c>
      <c r="AO199">
        <v>1.84</v>
      </c>
      <c r="AP199">
        <v>3.98</v>
      </c>
      <c r="AQ199">
        <v>0.9</v>
      </c>
      <c r="AR199">
        <v>1.8</v>
      </c>
      <c r="AS199">
        <v>1.71</v>
      </c>
      <c r="AT199">
        <v>0.38600000000000001</v>
      </c>
      <c r="AU199">
        <v>928.66</v>
      </c>
    </row>
    <row r="200" spans="1:47">
      <c r="A200" s="39">
        <v>43846</v>
      </c>
      <c r="B200">
        <v>32.24</v>
      </c>
      <c r="C200">
        <v>13.8</v>
      </c>
      <c r="D200">
        <v>11.33</v>
      </c>
      <c r="E200">
        <v>18.48</v>
      </c>
      <c r="F200">
        <v>8.36</v>
      </c>
      <c r="G200">
        <v>0.90200000000000002</v>
      </c>
      <c r="H200">
        <v>20.5</v>
      </c>
      <c r="I200">
        <v>1.871</v>
      </c>
      <c r="J200">
        <v>3</v>
      </c>
      <c r="K200">
        <v>8.5</v>
      </c>
      <c r="L200">
        <v>9.93</v>
      </c>
      <c r="M200" s="40">
        <v>19.3</v>
      </c>
      <c r="N200">
        <v>8.1120000000000001</v>
      </c>
      <c r="O200">
        <v>7.61</v>
      </c>
      <c r="P200">
        <v>7.8</v>
      </c>
      <c r="Q200">
        <v>3.3</v>
      </c>
      <c r="R200">
        <v>4.2300000000000004</v>
      </c>
      <c r="S200">
        <v>8.73</v>
      </c>
      <c r="T200">
        <v>3.83</v>
      </c>
      <c r="U200">
        <v>2.4500000000000002</v>
      </c>
      <c r="V200">
        <v>22.95</v>
      </c>
      <c r="W200">
        <v>8.69</v>
      </c>
      <c r="X200">
        <v>8.1</v>
      </c>
      <c r="Y200">
        <v>4.8600000000000003</v>
      </c>
      <c r="Z200">
        <v>26.8</v>
      </c>
      <c r="AA200">
        <v>7.7</v>
      </c>
      <c r="AB200">
        <v>5.74</v>
      </c>
      <c r="AC200">
        <v>1.44</v>
      </c>
      <c r="AD200">
        <v>1.46</v>
      </c>
      <c r="AE200">
        <v>5.54</v>
      </c>
      <c r="AF200">
        <v>1.8879999999999999</v>
      </c>
      <c r="AG200">
        <v>0.379</v>
      </c>
      <c r="AH200">
        <v>1.198</v>
      </c>
      <c r="AI200">
        <v>8.0500000000000007</v>
      </c>
      <c r="AJ200">
        <v>2.42</v>
      </c>
      <c r="AK200">
        <v>2.11</v>
      </c>
      <c r="AL200">
        <v>0.109</v>
      </c>
      <c r="AM200">
        <v>3.66</v>
      </c>
      <c r="AN200">
        <v>0.56799999999999995</v>
      </c>
      <c r="AO200">
        <v>1.82</v>
      </c>
      <c r="AP200">
        <v>3.97</v>
      </c>
      <c r="AQ200">
        <v>0.88600000000000001</v>
      </c>
      <c r="AR200">
        <v>1.76</v>
      </c>
      <c r="AS200">
        <v>1.69</v>
      </c>
      <c r="AT200">
        <v>0.38600000000000001</v>
      </c>
      <c r="AU200">
        <v>932.13</v>
      </c>
    </row>
    <row r="201" spans="1:47">
      <c r="A201" s="39">
        <v>43847</v>
      </c>
      <c r="B201">
        <v>32.47</v>
      </c>
      <c r="C201">
        <v>13.8</v>
      </c>
      <c r="D201">
        <v>11.43</v>
      </c>
      <c r="E201">
        <v>18.690000000000001</v>
      </c>
      <c r="F201">
        <v>8.41</v>
      </c>
      <c r="G201">
        <v>0.9</v>
      </c>
      <c r="H201">
        <v>20.52</v>
      </c>
      <c r="I201">
        <v>1.871</v>
      </c>
      <c r="J201">
        <v>3.0059999999999998</v>
      </c>
      <c r="K201">
        <v>8.43</v>
      </c>
      <c r="L201">
        <v>10.1</v>
      </c>
      <c r="M201" s="40">
        <v>19.059999999999999</v>
      </c>
      <c r="N201">
        <v>8.1120000000000001</v>
      </c>
      <c r="O201">
        <v>7.5</v>
      </c>
      <c r="P201">
        <v>7.86</v>
      </c>
      <c r="Q201">
        <v>3.2839999999999998</v>
      </c>
      <c r="R201">
        <v>4.25</v>
      </c>
      <c r="S201">
        <v>8.66</v>
      </c>
      <c r="T201">
        <v>3.86</v>
      </c>
      <c r="U201">
        <v>2.4700000000000002</v>
      </c>
      <c r="V201">
        <v>22.8</v>
      </c>
      <c r="W201">
        <v>8.8000000000000007</v>
      </c>
      <c r="X201">
        <v>8.26</v>
      </c>
      <c r="Y201">
        <v>4.84</v>
      </c>
      <c r="Z201">
        <v>26.8</v>
      </c>
      <c r="AA201">
        <v>7.94</v>
      </c>
      <c r="AB201">
        <v>5.84</v>
      </c>
      <c r="AC201">
        <v>1.444</v>
      </c>
      <c r="AD201">
        <v>1.458</v>
      </c>
      <c r="AE201">
        <v>5.5</v>
      </c>
      <c r="AF201">
        <v>1.8740000000000001</v>
      </c>
      <c r="AG201">
        <v>0.38</v>
      </c>
      <c r="AH201">
        <v>1.2</v>
      </c>
      <c r="AI201">
        <v>8</v>
      </c>
      <c r="AJ201">
        <v>2.4</v>
      </c>
      <c r="AK201">
        <v>2.08</v>
      </c>
      <c r="AL201">
        <v>0.107</v>
      </c>
      <c r="AM201">
        <v>3.6</v>
      </c>
      <c r="AN201">
        <v>0.57299999999999995</v>
      </c>
      <c r="AO201">
        <v>1.81</v>
      </c>
      <c r="AP201">
        <v>3.96</v>
      </c>
      <c r="AQ201">
        <v>0.875</v>
      </c>
      <c r="AR201">
        <v>1.762</v>
      </c>
      <c r="AS201">
        <v>1.68</v>
      </c>
      <c r="AT201">
        <v>0.38</v>
      </c>
      <c r="AU201">
        <v>934.22</v>
      </c>
    </row>
    <row r="202" spans="1:47">
      <c r="A202" s="39">
        <v>43850</v>
      </c>
      <c r="B202">
        <v>32.700000000000003</v>
      </c>
      <c r="C202">
        <v>13.8</v>
      </c>
      <c r="D202">
        <v>11.44</v>
      </c>
      <c r="E202">
        <v>19.18</v>
      </c>
      <c r="F202">
        <v>8.5</v>
      </c>
      <c r="G202">
        <v>0.92400000000000004</v>
      </c>
      <c r="H202">
        <v>20.5</v>
      </c>
      <c r="I202">
        <v>1.87</v>
      </c>
      <c r="J202">
        <v>3.0259999999999998</v>
      </c>
      <c r="K202">
        <v>8.4</v>
      </c>
      <c r="L202">
        <v>10.33</v>
      </c>
      <c r="M202" s="40">
        <v>19.02</v>
      </c>
      <c r="N202">
        <v>8.1029999999999998</v>
      </c>
      <c r="O202">
        <v>7.49</v>
      </c>
      <c r="P202">
        <v>7.9</v>
      </c>
      <c r="Q202">
        <v>3.2879999999999998</v>
      </c>
      <c r="R202">
        <v>4.2220000000000004</v>
      </c>
      <c r="S202">
        <v>8.94</v>
      </c>
      <c r="T202">
        <v>3.88</v>
      </c>
      <c r="U202">
        <v>2.4750000000000001</v>
      </c>
      <c r="V202">
        <v>23</v>
      </c>
      <c r="W202">
        <v>8.9499999999999993</v>
      </c>
      <c r="X202">
        <v>8.26</v>
      </c>
      <c r="Y202">
        <v>4.9400000000000004</v>
      </c>
      <c r="Z202">
        <v>26.8</v>
      </c>
      <c r="AA202">
        <v>7.76</v>
      </c>
      <c r="AB202">
        <v>5.78</v>
      </c>
      <c r="AC202">
        <v>1.43</v>
      </c>
      <c r="AD202">
        <v>1.47</v>
      </c>
      <c r="AE202">
        <v>5.5</v>
      </c>
      <c r="AF202">
        <v>1.9019999999999999</v>
      </c>
      <c r="AG202">
        <v>0.38100000000000001</v>
      </c>
      <c r="AH202">
        <v>1.1819999999999999</v>
      </c>
      <c r="AI202">
        <v>7.7</v>
      </c>
      <c r="AJ202">
        <v>2.39</v>
      </c>
      <c r="AK202">
        <v>2.09</v>
      </c>
      <c r="AL202">
        <v>0.108</v>
      </c>
      <c r="AM202">
        <v>3.65</v>
      </c>
      <c r="AN202">
        <v>0.55800000000000005</v>
      </c>
      <c r="AO202">
        <v>1.8</v>
      </c>
      <c r="AP202">
        <v>3.95</v>
      </c>
      <c r="AQ202">
        <v>0.90200000000000002</v>
      </c>
      <c r="AR202">
        <v>1.8</v>
      </c>
      <c r="AS202">
        <v>1.69</v>
      </c>
      <c r="AT202">
        <v>0.4</v>
      </c>
      <c r="AU202">
        <v>940.2</v>
      </c>
    </row>
    <row r="203" spans="1:47">
      <c r="A203" s="39">
        <v>43851</v>
      </c>
      <c r="B203">
        <v>32.700000000000003</v>
      </c>
      <c r="C203">
        <v>13.72</v>
      </c>
      <c r="D203">
        <v>11.53</v>
      </c>
      <c r="E203">
        <v>19.25</v>
      </c>
      <c r="F203">
        <v>8.49</v>
      </c>
      <c r="G203">
        <v>0.91</v>
      </c>
      <c r="H203">
        <v>20.36</v>
      </c>
      <c r="I203">
        <v>1.855</v>
      </c>
      <c r="J203">
        <v>3.028</v>
      </c>
      <c r="K203">
        <v>8.35</v>
      </c>
      <c r="L203">
        <v>10.33</v>
      </c>
      <c r="M203" s="40">
        <v>19</v>
      </c>
      <c r="N203">
        <v>8.0730000000000004</v>
      </c>
      <c r="O203">
        <v>7.46</v>
      </c>
      <c r="P203">
        <v>8.35</v>
      </c>
      <c r="Q203">
        <v>3.31</v>
      </c>
      <c r="R203">
        <v>4.24</v>
      </c>
      <c r="S203">
        <v>9.1999999999999993</v>
      </c>
      <c r="T203">
        <v>3.9049999999999998</v>
      </c>
      <c r="U203">
        <v>2.48</v>
      </c>
      <c r="V203">
        <v>22.75</v>
      </c>
      <c r="W203">
        <v>9.0399999999999991</v>
      </c>
      <c r="X203">
        <v>8.32</v>
      </c>
      <c r="Y203">
        <v>5</v>
      </c>
      <c r="Z203">
        <v>26.9</v>
      </c>
      <c r="AA203">
        <v>7.86</v>
      </c>
      <c r="AB203">
        <v>5.8</v>
      </c>
      <c r="AC203">
        <v>1.448</v>
      </c>
      <c r="AD203">
        <v>1.46</v>
      </c>
      <c r="AE203">
        <v>5.6</v>
      </c>
      <c r="AF203">
        <v>1.91</v>
      </c>
      <c r="AG203">
        <v>0.38700000000000001</v>
      </c>
      <c r="AH203">
        <v>1.17</v>
      </c>
      <c r="AI203">
        <v>7.7</v>
      </c>
      <c r="AJ203">
        <v>2.4</v>
      </c>
      <c r="AK203">
        <v>2.0699999999999998</v>
      </c>
      <c r="AL203">
        <v>0.108</v>
      </c>
      <c r="AM203">
        <v>3.67</v>
      </c>
      <c r="AN203">
        <v>0.53700000000000003</v>
      </c>
      <c r="AO203">
        <v>1.8</v>
      </c>
      <c r="AP203">
        <v>3.9</v>
      </c>
      <c r="AQ203">
        <v>0.89900000000000002</v>
      </c>
      <c r="AR203">
        <v>1.798</v>
      </c>
      <c r="AS203">
        <v>1.69</v>
      </c>
      <c r="AT203">
        <v>0.39900000000000002</v>
      </c>
      <c r="AU203">
        <v>942.27</v>
      </c>
    </row>
    <row r="204" spans="1:47">
      <c r="A204" s="39">
        <v>43852</v>
      </c>
      <c r="B204">
        <v>32.54</v>
      </c>
      <c r="C204">
        <v>13.88</v>
      </c>
      <c r="D204">
        <v>11.77</v>
      </c>
      <c r="E204">
        <v>19.399999999999999</v>
      </c>
      <c r="F204">
        <v>8.4600000000000009</v>
      </c>
      <c r="G204">
        <v>0.9</v>
      </c>
      <c r="H204">
        <v>20.28</v>
      </c>
      <c r="I204">
        <v>1.8520000000000001</v>
      </c>
      <c r="J204">
        <v>3.0489999999999999</v>
      </c>
      <c r="K204">
        <v>8.3000000000000007</v>
      </c>
      <c r="L204">
        <v>10.220000000000001</v>
      </c>
      <c r="M204" s="40">
        <v>19.079999999999998</v>
      </c>
      <c r="N204">
        <v>8.1219999999999999</v>
      </c>
      <c r="O204">
        <v>7.49</v>
      </c>
      <c r="P204">
        <v>8.3000000000000007</v>
      </c>
      <c r="Q204">
        <v>3.29</v>
      </c>
      <c r="R204">
        <v>4.194</v>
      </c>
      <c r="S204">
        <v>9.14</v>
      </c>
      <c r="T204">
        <v>3.9</v>
      </c>
      <c r="U204">
        <v>2.4500000000000002</v>
      </c>
      <c r="V204">
        <v>22.55</v>
      </c>
      <c r="W204">
        <v>8.94</v>
      </c>
      <c r="X204">
        <v>8.52</v>
      </c>
      <c r="Y204">
        <v>5.01</v>
      </c>
      <c r="Z204">
        <v>26.9</v>
      </c>
      <c r="AA204">
        <v>8.06</v>
      </c>
      <c r="AB204">
        <v>5.78</v>
      </c>
      <c r="AC204">
        <v>1.44</v>
      </c>
      <c r="AD204">
        <v>1.478</v>
      </c>
      <c r="AE204">
        <v>5.52</v>
      </c>
      <c r="AF204">
        <v>1.968</v>
      </c>
      <c r="AG204">
        <v>0.39</v>
      </c>
      <c r="AH204">
        <v>1.1619999999999999</v>
      </c>
      <c r="AI204">
        <v>7.95</v>
      </c>
      <c r="AJ204">
        <v>2.41</v>
      </c>
      <c r="AK204">
        <v>2.04</v>
      </c>
      <c r="AL204">
        <v>0.11</v>
      </c>
      <c r="AM204">
        <v>3.79</v>
      </c>
      <c r="AN204">
        <v>0.58499999999999996</v>
      </c>
      <c r="AO204">
        <v>1.81</v>
      </c>
      <c r="AP204">
        <v>4</v>
      </c>
      <c r="AQ204">
        <v>0.90500000000000003</v>
      </c>
      <c r="AR204">
        <v>1.81</v>
      </c>
      <c r="AS204">
        <v>1.675</v>
      </c>
      <c r="AT204">
        <v>0.39500000000000002</v>
      </c>
      <c r="AU204">
        <v>942.92</v>
      </c>
    </row>
    <row r="205" spans="1:47">
      <c r="A205" s="39">
        <v>43853</v>
      </c>
      <c r="B205">
        <v>32.69</v>
      </c>
      <c r="C205">
        <v>13.78</v>
      </c>
      <c r="D205">
        <v>11.69</v>
      </c>
      <c r="E205">
        <v>19.27</v>
      </c>
      <c r="F205">
        <v>8.35</v>
      </c>
      <c r="G205">
        <v>0.91400000000000003</v>
      </c>
      <c r="H205">
        <v>20.28</v>
      </c>
      <c r="I205">
        <v>1.855</v>
      </c>
      <c r="J205">
        <v>3.02</v>
      </c>
      <c r="K205">
        <v>8.3000000000000007</v>
      </c>
      <c r="L205">
        <v>10.07</v>
      </c>
      <c r="M205" s="40">
        <v>19</v>
      </c>
      <c r="N205">
        <v>8.0239999999999991</v>
      </c>
      <c r="O205">
        <v>7.53</v>
      </c>
      <c r="P205">
        <v>8.24</v>
      </c>
      <c r="Q205">
        <v>3.26</v>
      </c>
      <c r="R205">
        <v>4.1959999999999997</v>
      </c>
      <c r="S205">
        <v>9.0399999999999991</v>
      </c>
      <c r="T205">
        <v>3.88</v>
      </c>
      <c r="U205">
        <v>2.4300000000000002</v>
      </c>
      <c r="V205">
        <v>22.5</v>
      </c>
      <c r="W205">
        <v>8.9</v>
      </c>
      <c r="X205">
        <v>8.4600000000000009</v>
      </c>
      <c r="Y205">
        <v>4.9649999999999999</v>
      </c>
      <c r="Z205">
        <v>26.9</v>
      </c>
      <c r="AA205">
        <v>8.0399999999999991</v>
      </c>
      <c r="AB205">
        <v>5.8</v>
      </c>
      <c r="AC205">
        <v>1.45</v>
      </c>
      <c r="AD205">
        <v>1.468</v>
      </c>
      <c r="AE205">
        <v>5.5</v>
      </c>
      <c r="AF205">
        <v>1.91</v>
      </c>
      <c r="AG205">
        <v>0.38</v>
      </c>
      <c r="AH205">
        <v>1.1659999999999999</v>
      </c>
      <c r="AI205">
        <v>8.1</v>
      </c>
      <c r="AJ205">
        <v>2.38</v>
      </c>
      <c r="AK205">
        <v>2.0699999999999998</v>
      </c>
      <c r="AL205">
        <v>0.109</v>
      </c>
      <c r="AM205">
        <v>3.8</v>
      </c>
      <c r="AN205">
        <v>0.55000000000000004</v>
      </c>
      <c r="AO205">
        <v>1.82</v>
      </c>
      <c r="AP205">
        <v>3.98</v>
      </c>
      <c r="AQ205">
        <v>0.88200000000000001</v>
      </c>
      <c r="AR205">
        <v>1.81</v>
      </c>
      <c r="AS205">
        <v>1.6850000000000001</v>
      </c>
      <c r="AT205">
        <v>0.38900000000000001</v>
      </c>
      <c r="AU205">
        <v>939.17</v>
      </c>
    </row>
    <row r="206" spans="1:47">
      <c r="A206" s="39">
        <v>43854</v>
      </c>
      <c r="B206">
        <v>32.97</v>
      </c>
      <c r="C206">
        <v>13.77</v>
      </c>
      <c r="D206">
        <v>11.71</v>
      </c>
      <c r="E206">
        <v>19.46</v>
      </c>
      <c r="F206">
        <v>8.4600000000000009</v>
      </c>
      <c r="G206">
        <v>0.90800000000000003</v>
      </c>
      <c r="H206">
        <v>20.3</v>
      </c>
      <c r="I206">
        <v>1.855</v>
      </c>
      <c r="J206">
        <v>3.0449999999999999</v>
      </c>
      <c r="K206">
        <v>8.4700000000000006</v>
      </c>
      <c r="L206">
        <v>10.15</v>
      </c>
      <c r="M206" s="40">
        <v>19.3</v>
      </c>
      <c r="N206">
        <v>8.1319999999999997</v>
      </c>
      <c r="O206">
        <v>7.67</v>
      </c>
      <c r="P206">
        <v>8.44</v>
      </c>
      <c r="Q206">
        <v>3.33</v>
      </c>
      <c r="R206">
        <v>4.3280000000000003</v>
      </c>
      <c r="S206">
        <v>9.01</v>
      </c>
      <c r="T206">
        <v>3.99</v>
      </c>
      <c r="U206">
        <v>2.48</v>
      </c>
      <c r="V206">
        <v>22.75</v>
      </c>
      <c r="W206">
        <v>9.02</v>
      </c>
      <c r="X206">
        <v>8.8800000000000008</v>
      </c>
      <c r="Y206">
        <v>5.05</v>
      </c>
      <c r="Z206">
        <v>27.8</v>
      </c>
      <c r="AA206">
        <v>8.08</v>
      </c>
      <c r="AB206">
        <v>5.86</v>
      </c>
      <c r="AC206">
        <v>1.458</v>
      </c>
      <c r="AD206">
        <v>1.51</v>
      </c>
      <c r="AE206">
        <v>5.66</v>
      </c>
      <c r="AF206">
        <v>1.9239999999999999</v>
      </c>
      <c r="AG206">
        <v>0.39</v>
      </c>
      <c r="AH206">
        <v>1.1659999999999999</v>
      </c>
      <c r="AI206">
        <v>8</v>
      </c>
      <c r="AJ206">
        <v>2.38</v>
      </c>
      <c r="AK206">
        <v>2.09</v>
      </c>
      <c r="AL206">
        <v>0.11899999999999999</v>
      </c>
      <c r="AM206">
        <v>3.82</v>
      </c>
      <c r="AN206">
        <v>0.6</v>
      </c>
      <c r="AO206">
        <v>1.835</v>
      </c>
      <c r="AP206">
        <v>4.0199999999999996</v>
      </c>
      <c r="AQ206">
        <v>0.90100000000000002</v>
      </c>
      <c r="AR206">
        <v>1.85</v>
      </c>
      <c r="AS206">
        <v>1.77</v>
      </c>
      <c r="AT206">
        <v>0.39500000000000002</v>
      </c>
      <c r="AU206">
        <v>948.64</v>
      </c>
    </row>
    <row r="207" spans="1:47">
      <c r="A207" s="39">
        <v>43857</v>
      </c>
      <c r="B207">
        <v>32.69</v>
      </c>
      <c r="C207">
        <v>13.7</v>
      </c>
      <c r="D207">
        <v>11.59</v>
      </c>
      <c r="E207">
        <v>18.920000000000002</v>
      </c>
      <c r="F207">
        <v>8.2799999999999994</v>
      </c>
      <c r="G207">
        <v>0.878</v>
      </c>
      <c r="H207">
        <v>20.399999999999999</v>
      </c>
      <c r="I207">
        <v>1.8360000000000001</v>
      </c>
      <c r="J207">
        <v>2.9689999999999999</v>
      </c>
      <c r="K207">
        <v>8.2799999999999994</v>
      </c>
      <c r="L207">
        <v>9.9049999999999994</v>
      </c>
      <c r="M207" s="40">
        <v>19</v>
      </c>
      <c r="N207">
        <v>8.1519999999999992</v>
      </c>
      <c r="O207">
        <v>7.6</v>
      </c>
      <c r="P207">
        <v>8.5399999999999991</v>
      </c>
      <c r="Q207">
        <v>3.25</v>
      </c>
      <c r="R207">
        <v>4.3</v>
      </c>
      <c r="S207">
        <v>8.9</v>
      </c>
      <c r="T207">
        <v>3.895</v>
      </c>
      <c r="U207">
        <v>2.4649999999999999</v>
      </c>
      <c r="V207">
        <v>23</v>
      </c>
      <c r="W207">
        <v>8.85</v>
      </c>
      <c r="X207">
        <v>8.9600000000000009</v>
      </c>
      <c r="Y207">
        <v>4.9450000000000003</v>
      </c>
      <c r="Z207">
        <v>27.8</v>
      </c>
      <c r="AA207">
        <v>7.86</v>
      </c>
      <c r="AB207">
        <v>5.67</v>
      </c>
      <c r="AC207">
        <v>1.4419999999999999</v>
      </c>
      <c r="AD207">
        <v>1.466</v>
      </c>
      <c r="AE207">
        <v>5.62</v>
      </c>
      <c r="AF207">
        <v>1.8919999999999999</v>
      </c>
      <c r="AG207">
        <v>0.38</v>
      </c>
      <c r="AH207">
        <v>1.1639999999999999</v>
      </c>
      <c r="AI207">
        <v>8</v>
      </c>
      <c r="AJ207">
        <v>2.35</v>
      </c>
      <c r="AK207">
        <v>2.0699999999999998</v>
      </c>
      <c r="AL207">
        <v>0.115</v>
      </c>
      <c r="AM207">
        <v>3.79</v>
      </c>
      <c r="AN207">
        <v>0.61</v>
      </c>
      <c r="AO207">
        <v>1.81</v>
      </c>
      <c r="AP207">
        <v>3.99</v>
      </c>
      <c r="AQ207">
        <v>0.89400000000000002</v>
      </c>
      <c r="AR207">
        <v>1.8320000000000001</v>
      </c>
      <c r="AS207">
        <v>1.78</v>
      </c>
      <c r="AT207">
        <v>0.38700000000000001</v>
      </c>
      <c r="AU207">
        <v>936.25</v>
      </c>
    </row>
    <row r="208" spans="1:47">
      <c r="A208" s="39">
        <v>43858</v>
      </c>
      <c r="B208">
        <v>32.96</v>
      </c>
      <c r="C208">
        <v>13.51</v>
      </c>
      <c r="D208">
        <v>11.3</v>
      </c>
      <c r="E208">
        <v>18.73</v>
      </c>
      <c r="F208">
        <v>8.32</v>
      </c>
      <c r="G208">
        <v>0.86</v>
      </c>
      <c r="H208">
        <v>20.22</v>
      </c>
      <c r="I208">
        <v>1.8340000000000001</v>
      </c>
      <c r="J208">
        <v>2.9449999999999998</v>
      </c>
      <c r="K208">
        <v>8.36</v>
      </c>
      <c r="L208">
        <v>9.81</v>
      </c>
      <c r="M208" s="40">
        <v>18.940000000000001</v>
      </c>
      <c r="N208">
        <v>8.1519999999999992</v>
      </c>
      <c r="O208">
        <v>7.6</v>
      </c>
      <c r="P208">
        <v>8.8000000000000007</v>
      </c>
      <c r="Q208">
        <v>3.2360000000000002</v>
      </c>
      <c r="R208">
        <v>4.3</v>
      </c>
      <c r="S208">
        <v>9</v>
      </c>
      <c r="T208">
        <v>3.895</v>
      </c>
      <c r="U208">
        <v>2.4550000000000001</v>
      </c>
      <c r="V208">
        <v>22.75</v>
      </c>
      <c r="W208">
        <v>8.85</v>
      </c>
      <c r="X208">
        <v>9.2200000000000006</v>
      </c>
      <c r="Y208">
        <v>4.915</v>
      </c>
      <c r="Z208">
        <v>27.7</v>
      </c>
      <c r="AA208">
        <v>7.98</v>
      </c>
      <c r="AB208">
        <v>5.69</v>
      </c>
      <c r="AC208">
        <v>1.45</v>
      </c>
      <c r="AD208">
        <v>1.488</v>
      </c>
      <c r="AE208">
        <v>5.52</v>
      </c>
      <c r="AF208">
        <v>1.87</v>
      </c>
      <c r="AG208">
        <v>0.38400000000000001</v>
      </c>
      <c r="AH208">
        <v>1.1579999999999999</v>
      </c>
      <c r="AI208">
        <v>8.0500000000000007</v>
      </c>
      <c r="AJ208">
        <v>2.34</v>
      </c>
      <c r="AK208">
        <v>2.0499999999999998</v>
      </c>
      <c r="AL208">
        <v>0.114</v>
      </c>
      <c r="AM208">
        <v>3.74</v>
      </c>
      <c r="AN208">
        <v>0.59</v>
      </c>
      <c r="AO208">
        <v>1.82</v>
      </c>
      <c r="AP208">
        <v>4.1500000000000004</v>
      </c>
      <c r="AQ208">
        <v>0.88100000000000001</v>
      </c>
      <c r="AR208">
        <v>1.8680000000000001</v>
      </c>
      <c r="AS208">
        <v>1.7549999999999999</v>
      </c>
      <c r="AT208">
        <v>0.38100000000000001</v>
      </c>
      <c r="AU208">
        <v>933.43</v>
      </c>
    </row>
    <row r="209" spans="1:47">
      <c r="A209" s="39">
        <v>43859</v>
      </c>
      <c r="B209">
        <v>32.83</v>
      </c>
      <c r="C209">
        <v>13.5</v>
      </c>
      <c r="D209">
        <v>11.22</v>
      </c>
      <c r="E209">
        <v>18.649999999999999</v>
      </c>
      <c r="F209">
        <v>8.34</v>
      </c>
      <c r="G209">
        <v>0.86299999999999999</v>
      </c>
      <c r="H209">
        <v>20.02</v>
      </c>
      <c r="I209">
        <v>1.8520000000000001</v>
      </c>
      <c r="J209">
        <v>2.9750000000000001</v>
      </c>
      <c r="K209">
        <v>8.32</v>
      </c>
      <c r="L209">
        <v>9.8000000000000007</v>
      </c>
      <c r="M209" s="40">
        <v>18.82</v>
      </c>
      <c r="N209">
        <v>8.1029999999999998</v>
      </c>
      <c r="O209">
        <v>7.64</v>
      </c>
      <c r="P209">
        <v>8.5399999999999991</v>
      </c>
      <c r="Q209">
        <v>3.2240000000000002</v>
      </c>
      <c r="R209">
        <v>4.3</v>
      </c>
      <c r="S209">
        <v>9.0299999999999994</v>
      </c>
      <c r="T209">
        <v>3.88</v>
      </c>
      <c r="U209">
        <v>2.4350000000000001</v>
      </c>
      <c r="V209">
        <v>22.8</v>
      </c>
      <c r="W209">
        <v>8.85</v>
      </c>
      <c r="X209">
        <v>9.24</v>
      </c>
      <c r="Y209">
        <v>4.88</v>
      </c>
      <c r="Z209">
        <v>27.4</v>
      </c>
      <c r="AA209">
        <v>8.2200000000000006</v>
      </c>
      <c r="AB209">
        <v>5.65</v>
      </c>
      <c r="AC209">
        <v>1.452</v>
      </c>
      <c r="AD209">
        <v>1.488</v>
      </c>
      <c r="AE209">
        <v>5.5</v>
      </c>
      <c r="AF209">
        <v>1.8540000000000001</v>
      </c>
      <c r="AG209">
        <v>0.38</v>
      </c>
      <c r="AH209">
        <v>1.1599999999999999</v>
      </c>
      <c r="AI209">
        <v>8.1999999999999993</v>
      </c>
      <c r="AJ209">
        <v>2.31</v>
      </c>
      <c r="AK209">
        <v>2.04</v>
      </c>
      <c r="AL209">
        <v>0.114</v>
      </c>
      <c r="AM209">
        <v>3.73</v>
      </c>
      <c r="AN209">
        <v>0.57099999999999995</v>
      </c>
      <c r="AO209">
        <v>1.82</v>
      </c>
      <c r="AP209">
        <v>4.16</v>
      </c>
      <c r="AQ209">
        <v>0.89700000000000002</v>
      </c>
      <c r="AR209">
        <v>2.105</v>
      </c>
      <c r="AS209">
        <v>1.78</v>
      </c>
      <c r="AT209">
        <v>0.38600000000000001</v>
      </c>
      <c r="AU209">
        <v>931.21</v>
      </c>
    </row>
    <row r="210" spans="1:47">
      <c r="A210" s="39">
        <v>43860</v>
      </c>
      <c r="B210">
        <v>33.08</v>
      </c>
      <c r="C210">
        <v>13.46</v>
      </c>
      <c r="D210">
        <v>11.24</v>
      </c>
      <c r="E210">
        <v>18.399999999999999</v>
      </c>
      <c r="F210">
        <v>8.17</v>
      </c>
      <c r="G210">
        <v>0.84299999999999997</v>
      </c>
      <c r="H210">
        <v>20</v>
      </c>
      <c r="I210">
        <v>1.8260000000000001</v>
      </c>
      <c r="J210">
        <v>2.9169999999999998</v>
      </c>
      <c r="K210">
        <v>8.16</v>
      </c>
      <c r="L210">
        <v>9.5549999999999997</v>
      </c>
      <c r="M210" s="40">
        <v>19.04</v>
      </c>
      <c r="N210">
        <v>7.9560000000000004</v>
      </c>
      <c r="O210">
        <v>7.48</v>
      </c>
      <c r="P210">
        <v>8.36</v>
      </c>
      <c r="Q210">
        <v>3.2120000000000002</v>
      </c>
      <c r="R210">
        <v>4.21</v>
      </c>
      <c r="S210">
        <v>8.94</v>
      </c>
      <c r="T210">
        <v>3.8</v>
      </c>
      <c r="U210">
        <v>2.375</v>
      </c>
      <c r="V210">
        <v>22.1</v>
      </c>
      <c r="W210">
        <v>8.65</v>
      </c>
      <c r="X210">
        <v>9.08</v>
      </c>
      <c r="Y210">
        <v>4.78</v>
      </c>
      <c r="Z210">
        <v>26.7</v>
      </c>
      <c r="AA210">
        <v>7.92</v>
      </c>
      <c r="AB210">
        <v>5.59</v>
      </c>
      <c r="AC210">
        <v>1.45</v>
      </c>
      <c r="AD210">
        <v>1.48</v>
      </c>
      <c r="AE210">
        <v>5.48</v>
      </c>
      <c r="AF210">
        <v>1.794</v>
      </c>
      <c r="AG210">
        <v>0.373</v>
      </c>
      <c r="AH210">
        <v>1.1359999999999999</v>
      </c>
      <c r="AI210">
        <v>7.95</v>
      </c>
      <c r="AJ210">
        <v>2.3199999999999998</v>
      </c>
      <c r="AK210">
        <v>2.0299999999999998</v>
      </c>
      <c r="AL210">
        <v>0.108</v>
      </c>
      <c r="AM210">
        <v>3.7</v>
      </c>
      <c r="AN210">
        <v>0.57199999999999995</v>
      </c>
      <c r="AO210">
        <v>1.8049999999999999</v>
      </c>
      <c r="AP210">
        <v>4.08</v>
      </c>
      <c r="AQ210">
        <v>0.86599999999999999</v>
      </c>
      <c r="AR210">
        <v>2.0350000000000001</v>
      </c>
      <c r="AS210">
        <v>1.75</v>
      </c>
      <c r="AT210">
        <v>0.377</v>
      </c>
      <c r="AU210">
        <v>921.21</v>
      </c>
    </row>
    <row r="211" spans="1:47">
      <c r="A211" s="39">
        <v>43861</v>
      </c>
      <c r="B211">
        <v>33.15</v>
      </c>
      <c r="C211">
        <v>13.5</v>
      </c>
      <c r="D211">
        <v>11.24</v>
      </c>
      <c r="E211">
        <v>18.37</v>
      </c>
      <c r="F211">
        <v>7.91</v>
      </c>
      <c r="G211">
        <v>0.83399999999999996</v>
      </c>
      <c r="H211">
        <v>19.2</v>
      </c>
      <c r="I211">
        <v>1.8140000000000001</v>
      </c>
      <c r="J211">
        <v>2.8839999999999999</v>
      </c>
      <c r="K211">
        <v>8.09</v>
      </c>
      <c r="L211">
        <v>9.2799999999999994</v>
      </c>
      <c r="M211" s="40">
        <v>18.72</v>
      </c>
      <c r="N211">
        <v>7.9749999999999996</v>
      </c>
      <c r="O211">
        <v>7.44</v>
      </c>
      <c r="P211">
        <v>8.1999999999999993</v>
      </c>
      <c r="Q211">
        <v>3.222</v>
      </c>
      <c r="R211">
        <v>4.1900000000000004</v>
      </c>
      <c r="S211">
        <v>8.9</v>
      </c>
      <c r="T211">
        <v>3.62</v>
      </c>
      <c r="U211">
        <v>2.3149999999999999</v>
      </c>
      <c r="V211">
        <v>21.65</v>
      </c>
      <c r="W211">
        <v>8.3800000000000008</v>
      </c>
      <c r="X211">
        <v>8.84</v>
      </c>
      <c r="Y211">
        <v>4.68</v>
      </c>
      <c r="Z211">
        <v>26.5</v>
      </c>
      <c r="AA211">
        <v>7.7</v>
      </c>
      <c r="AB211">
        <v>5.7</v>
      </c>
      <c r="AC211">
        <v>1.44</v>
      </c>
      <c r="AD211">
        <v>1.4079999999999999</v>
      </c>
      <c r="AE211">
        <v>5.42</v>
      </c>
      <c r="AF211">
        <v>1.71</v>
      </c>
      <c r="AG211">
        <v>0.36499999999999999</v>
      </c>
      <c r="AH211">
        <v>1.1100000000000001</v>
      </c>
      <c r="AI211">
        <v>7.85</v>
      </c>
      <c r="AJ211">
        <v>2.29</v>
      </c>
      <c r="AK211">
        <v>1.9950000000000001</v>
      </c>
      <c r="AL211">
        <v>0.10299999999999999</v>
      </c>
      <c r="AM211">
        <v>3.73</v>
      </c>
      <c r="AN211">
        <v>0.54300000000000004</v>
      </c>
      <c r="AO211">
        <v>1.79</v>
      </c>
      <c r="AP211">
        <v>3.95</v>
      </c>
      <c r="AQ211">
        <v>0.83599999999999997</v>
      </c>
      <c r="AR211">
        <v>1.92</v>
      </c>
      <c r="AS211">
        <v>1.63</v>
      </c>
      <c r="AT211">
        <v>0.36699999999999999</v>
      </c>
      <c r="AU211">
        <v>910.9</v>
      </c>
    </row>
    <row r="212" spans="1:47">
      <c r="A212" s="39">
        <v>43864</v>
      </c>
      <c r="B212">
        <v>32.96</v>
      </c>
      <c r="C212">
        <v>13.58</v>
      </c>
      <c r="D212">
        <v>11.25</v>
      </c>
      <c r="E212">
        <v>18.399999999999999</v>
      </c>
      <c r="F212">
        <v>7.86</v>
      </c>
      <c r="G212">
        <v>0.80800000000000005</v>
      </c>
      <c r="H212">
        <v>18.649999999999999</v>
      </c>
      <c r="I212">
        <v>1.7909999999999999</v>
      </c>
      <c r="J212">
        <v>2.9180000000000001</v>
      </c>
      <c r="K212">
        <v>7.93</v>
      </c>
      <c r="L212">
        <v>9.2050000000000001</v>
      </c>
      <c r="M212" s="40">
        <v>18.22</v>
      </c>
      <c r="N212">
        <v>7.9749999999999996</v>
      </c>
      <c r="O212">
        <v>7.44</v>
      </c>
      <c r="P212">
        <v>8.01</v>
      </c>
      <c r="Q212">
        <v>3.1920000000000002</v>
      </c>
      <c r="R212">
        <v>4.1100000000000003</v>
      </c>
      <c r="S212">
        <v>8.9</v>
      </c>
      <c r="T212">
        <v>3.55</v>
      </c>
      <c r="U212">
        <v>2.31</v>
      </c>
      <c r="V212">
        <v>21.95</v>
      </c>
      <c r="W212">
        <v>8.25</v>
      </c>
      <c r="X212">
        <v>8.8000000000000007</v>
      </c>
      <c r="Y212">
        <v>4.68</v>
      </c>
      <c r="Z212">
        <v>26.3</v>
      </c>
      <c r="AA212">
        <v>7.68</v>
      </c>
      <c r="AB212">
        <v>5.57</v>
      </c>
      <c r="AC212">
        <v>1.44</v>
      </c>
      <c r="AD212">
        <v>1.3879999999999999</v>
      </c>
      <c r="AE212">
        <v>5.44</v>
      </c>
      <c r="AF212">
        <v>1.738</v>
      </c>
      <c r="AG212">
        <v>0.36399999999999999</v>
      </c>
      <c r="AH212">
        <v>1.0840000000000001</v>
      </c>
      <c r="AI212">
        <v>7.8</v>
      </c>
      <c r="AJ212">
        <v>2.29</v>
      </c>
      <c r="AK212">
        <v>1.95</v>
      </c>
      <c r="AL212">
        <v>0.106</v>
      </c>
      <c r="AM212">
        <v>3.7</v>
      </c>
      <c r="AN212">
        <v>0.53800000000000003</v>
      </c>
      <c r="AO212">
        <v>1.7749999999999999</v>
      </c>
      <c r="AP212">
        <v>3.83</v>
      </c>
      <c r="AQ212">
        <v>0.82799999999999996</v>
      </c>
      <c r="AR212">
        <v>1.982</v>
      </c>
      <c r="AS212">
        <v>1.635</v>
      </c>
      <c r="AT212">
        <v>0.36899999999999999</v>
      </c>
      <c r="AU212">
        <v>903.47</v>
      </c>
    </row>
    <row r="213" spans="1:47">
      <c r="A213" s="39">
        <v>43865</v>
      </c>
      <c r="B213">
        <v>33.200000000000003</v>
      </c>
      <c r="C213">
        <v>13.86</v>
      </c>
      <c r="D213">
        <v>11.34</v>
      </c>
      <c r="E213">
        <v>18.47</v>
      </c>
      <c r="F213">
        <v>7.9</v>
      </c>
      <c r="G213">
        <v>0.82499999999999996</v>
      </c>
      <c r="H213">
        <v>19.04</v>
      </c>
      <c r="I213">
        <v>1.782</v>
      </c>
      <c r="J213">
        <v>2.93</v>
      </c>
      <c r="K213">
        <v>8.1199999999999992</v>
      </c>
      <c r="L213">
        <v>9.35</v>
      </c>
      <c r="M213" s="40">
        <v>18.46</v>
      </c>
      <c r="N213">
        <v>8.1609999999999996</v>
      </c>
      <c r="O213">
        <v>7.53</v>
      </c>
      <c r="P213">
        <v>8.1999999999999993</v>
      </c>
      <c r="Q213">
        <v>3.24</v>
      </c>
      <c r="R213">
        <v>4.26</v>
      </c>
      <c r="S213">
        <v>8.92</v>
      </c>
      <c r="T213">
        <v>3.6850000000000001</v>
      </c>
      <c r="U213">
        <v>2.39</v>
      </c>
      <c r="V213">
        <v>21.9</v>
      </c>
      <c r="W213">
        <v>8.27</v>
      </c>
      <c r="X213">
        <v>9.1199999999999992</v>
      </c>
      <c r="Y213">
        <v>4.7699999999999996</v>
      </c>
      <c r="Z213">
        <v>27.2</v>
      </c>
      <c r="AA213">
        <v>7.96</v>
      </c>
      <c r="AB213">
        <v>5.75</v>
      </c>
      <c r="AC213">
        <v>1.45</v>
      </c>
      <c r="AD213">
        <v>1.44</v>
      </c>
      <c r="AE213">
        <v>5.4</v>
      </c>
      <c r="AF213">
        <v>1.774</v>
      </c>
      <c r="AG213">
        <v>0.375</v>
      </c>
      <c r="AH213">
        <v>1.08</v>
      </c>
      <c r="AI213">
        <v>8.1999999999999993</v>
      </c>
      <c r="AJ213">
        <v>2.31</v>
      </c>
      <c r="AK213">
        <v>1.9850000000000001</v>
      </c>
      <c r="AL213">
        <v>0.11</v>
      </c>
      <c r="AM213">
        <v>3.72</v>
      </c>
      <c r="AN213">
        <v>0.54900000000000004</v>
      </c>
      <c r="AO213">
        <v>1.7849999999999999</v>
      </c>
      <c r="AP213">
        <v>3.9</v>
      </c>
      <c r="AQ213">
        <v>0.84499999999999997</v>
      </c>
      <c r="AR213">
        <v>2</v>
      </c>
      <c r="AS213">
        <v>1.66</v>
      </c>
      <c r="AT213">
        <v>0.376</v>
      </c>
      <c r="AU213">
        <v>916.75</v>
      </c>
    </row>
    <row r="214" spans="1:47">
      <c r="A214" s="39">
        <v>43866</v>
      </c>
      <c r="B214">
        <v>33.270000000000003</v>
      </c>
      <c r="C214">
        <v>13.89</v>
      </c>
      <c r="D214">
        <v>11.52</v>
      </c>
      <c r="E214">
        <v>18.440000000000001</v>
      </c>
      <c r="F214">
        <v>8</v>
      </c>
      <c r="G214">
        <v>0.82899999999999996</v>
      </c>
      <c r="H214">
        <v>19.170000000000002</v>
      </c>
      <c r="I214">
        <v>1.75</v>
      </c>
      <c r="J214">
        <v>2.9420000000000002</v>
      </c>
      <c r="K214">
        <v>8.1</v>
      </c>
      <c r="L214">
        <v>9.4499999999999993</v>
      </c>
      <c r="M214" s="40">
        <v>18.440000000000001</v>
      </c>
      <c r="N214">
        <v>8.2889999999999997</v>
      </c>
      <c r="O214">
        <v>7.56</v>
      </c>
      <c r="P214">
        <v>8.3800000000000008</v>
      </c>
      <c r="Q214">
        <v>3.26</v>
      </c>
      <c r="R214">
        <v>4.26</v>
      </c>
      <c r="S214">
        <v>9.0299999999999994</v>
      </c>
      <c r="T214">
        <v>3.7</v>
      </c>
      <c r="U214">
        <v>2.38</v>
      </c>
      <c r="V214">
        <v>21.9</v>
      </c>
      <c r="W214">
        <v>8.4</v>
      </c>
      <c r="X214">
        <v>9.18</v>
      </c>
      <c r="Y214">
        <v>4.8</v>
      </c>
      <c r="Z214">
        <v>27.5</v>
      </c>
      <c r="AA214">
        <v>8.14</v>
      </c>
      <c r="AB214">
        <v>5.83</v>
      </c>
      <c r="AC214">
        <v>1.44</v>
      </c>
      <c r="AD214">
        <v>1.45</v>
      </c>
      <c r="AE214">
        <v>5.42</v>
      </c>
      <c r="AF214">
        <v>1.764</v>
      </c>
      <c r="AG214">
        <v>0.377</v>
      </c>
      <c r="AH214">
        <v>1.0900000000000001</v>
      </c>
      <c r="AI214">
        <v>8</v>
      </c>
      <c r="AJ214">
        <v>2.4</v>
      </c>
      <c r="AK214">
        <v>1.99</v>
      </c>
      <c r="AL214">
        <v>0.11</v>
      </c>
      <c r="AM214">
        <v>3.72</v>
      </c>
      <c r="AN214">
        <v>0.57999999999999996</v>
      </c>
      <c r="AO214">
        <v>1.7649999999999999</v>
      </c>
      <c r="AP214">
        <v>3.92</v>
      </c>
      <c r="AQ214">
        <v>0.84</v>
      </c>
      <c r="AR214">
        <v>1.964</v>
      </c>
      <c r="AS214">
        <v>1.7</v>
      </c>
      <c r="AT214">
        <v>0.372</v>
      </c>
      <c r="AU214">
        <v>920.99</v>
      </c>
    </row>
    <row r="215" spans="1:47">
      <c r="A215" s="39">
        <v>43867</v>
      </c>
      <c r="B215">
        <v>33.36</v>
      </c>
      <c r="C215">
        <v>14</v>
      </c>
      <c r="D215">
        <v>11.47</v>
      </c>
      <c r="E215">
        <v>18.510000000000002</v>
      </c>
      <c r="F215">
        <v>7.93</v>
      </c>
      <c r="G215">
        <v>0.82699999999999996</v>
      </c>
      <c r="H215">
        <v>19.2</v>
      </c>
      <c r="I215">
        <v>1.77</v>
      </c>
      <c r="J215">
        <v>2.9380000000000002</v>
      </c>
      <c r="K215">
        <v>8.1</v>
      </c>
      <c r="L215">
        <v>9.5</v>
      </c>
      <c r="M215" s="40">
        <v>18.72</v>
      </c>
      <c r="N215">
        <v>8.4060000000000006</v>
      </c>
      <c r="O215">
        <v>7.53</v>
      </c>
      <c r="P215">
        <v>8.3000000000000007</v>
      </c>
      <c r="Q215">
        <v>3.1819999999999999</v>
      </c>
      <c r="R215">
        <v>4.2699999999999996</v>
      </c>
      <c r="S215">
        <v>8.9</v>
      </c>
      <c r="T215">
        <v>3.7349999999999999</v>
      </c>
      <c r="U215">
        <v>2.395</v>
      </c>
      <c r="V215">
        <v>21.75</v>
      </c>
      <c r="W215">
        <v>8.39</v>
      </c>
      <c r="X215">
        <v>9.1199999999999992</v>
      </c>
      <c r="Y215">
        <v>4.7300000000000004</v>
      </c>
      <c r="Z215">
        <v>27.7</v>
      </c>
      <c r="AA215">
        <v>8.1</v>
      </c>
      <c r="AB215">
        <v>5.81</v>
      </c>
      <c r="AC215">
        <v>1.462</v>
      </c>
      <c r="AD215">
        <v>1.45</v>
      </c>
      <c r="AE215">
        <v>5.46</v>
      </c>
      <c r="AF215">
        <v>1.77</v>
      </c>
      <c r="AG215">
        <v>0.375</v>
      </c>
      <c r="AH215">
        <v>1.0860000000000001</v>
      </c>
      <c r="AI215">
        <v>8</v>
      </c>
      <c r="AJ215">
        <v>2.4</v>
      </c>
      <c r="AK215">
        <v>1.9750000000000001</v>
      </c>
      <c r="AL215">
        <v>0.11</v>
      </c>
      <c r="AM215">
        <v>3.72</v>
      </c>
      <c r="AN215">
        <v>0.60399999999999998</v>
      </c>
      <c r="AO215">
        <v>1.79</v>
      </c>
      <c r="AP215">
        <v>3.85</v>
      </c>
      <c r="AQ215">
        <v>0.84899999999999998</v>
      </c>
      <c r="AR215">
        <v>1.988</v>
      </c>
      <c r="AS215">
        <v>1.6950000000000001</v>
      </c>
      <c r="AT215">
        <v>0.371</v>
      </c>
      <c r="AU215">
        <v>921.45</v>
      </c>
    </row>
    <row r="216" spans="1:47">
      <c r="A216" s="39">
        <v>43868</v>
      </c>
      <c r="B216">
        <v>32.909999999999997</v>
      </c>
      <c r="C216">
        <v>14.28</v>
      </c>
      <c r="D216">
        <v>11.53</v>
      </c>
      <c r="E216">
        <v>18.64</v>
      </c>
      <c r="F216">
        <v>7.9</v>
      </c>
      <c r="G216">
        <v>0.79800000000000004</v>
      </c>
      <c r="H216">
        <v>19.100000000000001</v>
      </c>
      <c r="I216">
        <v>1.71</v>
      </c>
      <c r="J216">
        <v>2.8479999999999999</v>
      </c>
      <c r="K216">
        <v>8</v>
      </c>
      <c r="L216">
        <v>9.3000000000000007</v>
      </c>
      <c r="M216" s="40">
        <v>18.68</v>
      </c>
      <c r="N216">
        <v>8.23</v>
      </c>
      <c r="O216">
        <v>7.4</v>
      </c>
      <c r="P216">
        <v>8.3000000000000007</v>
      </c>
      <c r="Q216">
        <v>3</v>
      </c>
      <c r="R216">
        <v>4.2</v>
      </c>
      <c r="S216">
        <v>8.84</v>
      </c>
      <c r="T216">
        <v>3.63</v>
      </c>
      <c r="U216">
        <v>2.375</v>
      </c>
      <c r="V216">
        <v>21.5</v>
      </c>
      <c r="W216">
        <v>8.5500000000000007</v>
      </c>
      <c r="X216">
        <v>9</v>
      </c>
      <c r="Y216">
        <v>4.6399999999999997</v>
      </c>
      <c r="Z216">
        <v>27.7</v>
      </c>
      <c r="AA216">
        <v>8.08</v>
      </c>
      <c r="AB216">
        <v>5.7</v>
      </c>
      <c r="AC216">
        <v>1.462</v>
      </c>
      <c r="AD216">
        <v>1.43</v>
      </c>
      <c r="AE216">
        <v>5.46</v>
      </c>
      <c r="AF216">
        <v>1.722</v>
      </c>
      <c r="AG216">
        <v>0.36699999999999999</v>
      </c>
      <c r="AH216">
        <v>1.0620000000000001</v>
      </c>
      <c r="AI216">
        <v>7.9</v>
      </c>
      <c r="AJ216">
        <v>2.39</v>
      </c>
      <c r="AK216">
        <v>1.98</v>
      </c>
      <c r="AL216">
        <v>0.108</v>
      </c>
      <c r="AM216">
        <v>3.74</v>
      </c>
      <c r="AN216">
        <v>0.58399999999999996</v>
      </c>
      <c r="AO216">
        <v>1.7749999999999999</v>
      </c>
      <c r="AP216">
        <v>3.85</v>
      </c>
      <c r="AQ216">
        <v>0.82099999999999995</v>
      </c>
      <c r="AR216">
        <v>1.94</v>
      </c>
      <c r="AS216">
        <v>1.6850000000000001</v>
      </c>
      <c r="AT216">
        <v>0.36</v>
      </c>
      <c r="AU216">
        <v>910.91</v>
      </c>
    </row>
    <row r="217" spans="1:47">
      <c r="A217" s="39">
        <v>43871</v>
      </c>
      <c r="B217">
        <v>33.01</v>
      </c>
      <c r="C217">
        <v>13.81</v>
      </c>
      <c r="D217">
        <v>11.41</v>
      </c>
      <c r="E217">
        <v>18.77</v>
      </c>
      <c r="F217">
        <v>7.78</v>
      </c>
      <c r="G217">
        <v>0.78500000000000003</v>
      </c>
      <c r="H217">
        <v>18.7</v>
      </c>
      <c r="I217">
        <v>1.7110000000000001</v>
      </c>
      <c r="J217">
        <v>2.84</v>
      </c>
      <c r="K217">
        <v>8</v>
      </c>
      <c r="L217">
        <v>9.1999999999999993</v>
      </c>
      <c r="M217" s="40">
        <v>18.239999999999998</v>
      </c>
      <c r="N217">
        <v>8.3079999999999998</v>
      </c>
      <c r="O217">
        <v>7.32</v>
      </c>
      <c r="P217">
        <v>8.2200000000000006</v>
      </c>
      <c r="Q217">
        <v>2.98</v>
      </c>
      <c r="R217">
        <v>4.0999999999999996</v>
      </c>
      <c r="S217">
        <v>9</v>
      </c>
      <c r="T217">
        <v>3.645</v>
      </c>
      <c r="U217">
        <v>2.42</v>
      </c>
      <c r="V217">
        <v>21.3</v>
      </c>
      <c r="W217">
        <v>8.41</v>
      </c>
      <c r="X217">
        <v>9.1</v>
      </c>
      <c r="Y217">
        <v>4.5599999999999996</v>
      </c>
      <c r="Z217">
        <v>27.7</v>
      </c>
      <c r="AA217">
        <v>8.1199999999999992</v>
      </c>
      <c r="AB217">
        <v>5.69</v>
      </c>
      <c r="AC217">
        <v>1.462</v>
      </c>
      <c r="AD217">
        <v>1.4019999999999999</v>
      </c>
      <c r="AE217">
        <v>5.6</v>
      </c>
      <c r="AF217">
        <v>1.722</v>
      </c>
      <c r="AG217">
        <v>0.36</v>
      </c>
      <c r="AH217">
        <v>1.046</v>
      </c>
      <c r="AI217">
        <v>7.7</v>
      </c>
      <c r="AJ217">
        <v>2.39</v>
      </c>
      <c r="AK217">
        <v>1.98</v>
      </c>
      <c r="AL217">
        <v>0.11</v>
      </c>
      <c r="AM217">
        <v>3.72</v>
      </c>
      <c r="AN217">
        <v>0.58399999999999996</v>
      </c>
      <c r="AO217">
        <v>1.8</v>
      </c>
      <c r="AP217">
        <v>3.92</v>
      </c>
      <c r="AQ217">
        <v>0.81100000000000005</v>
      </c>
      <c r="AR217">
        <v>1.976</v>
      </c>
      <c r="AS217">
        <v>1.66</v>
      </c>
      <c r="AT217">
        <v>0.372</v>
      </c>
      <c r="AU217">
        <v>902.98</v>
      </c>
    </row>
    <row r="218" spans="1:47">
      <c r="A218" s="39">
        <v>43872</v>
      </c>
      <c r="B218">
        <v>33.24</v>
      </c>
      <c r="C218">
        <v>13.87</v>
      </c>
      <c r="D218">
        <v>11.46</v>
      </c>
      <c r="E218">
        <v>19.03</v>
      </c>
      <c r="F218">
        <v>7.83</v>
      </c>
      <c r="G218">
        <v>0.79500000000000004</v>
      </c>
      <c r="H218">
        <v>19.03</v>
      </c>
      <c r="I218">
        <v>1.8069999999999999</v>
      </c>
      <c r="J218">
        <v>2.92</v>
      </c>
      <c r="K218">
        <v>7.97</v>
      </c>
      <c r="L218">
        <v>9.5</v>
      </c>
      <c r="M218" s="40">
        <v>18.18</v>
      </c>
      <c r="N218">
        <v>8.4060000000000006</v>
      </c>
      <c r="O218">
        <v>7.41</v>
      </c>
      <c r="P218">
        <v>8.3000000000000007</v>
      </c>
      <c r="Q218">
        <v>3.14</v>
      </c>
      <c r="R218">
        <v>4.1399999999999997</v>
      </c>
      <c r="S218">
        <v>9.0399999999999991</v>
      </c>
      <c r="T218">
        <v>3.6850000000000001</v>
      </c>
      <c r="U218">
        <v>2.4500000000000002</v>
      </c>
      <c r="V218">
        <v>21.5</v>
      </c>
      <c r="W218">
        <v>8.5</v>
      </c>
      <c r="X218">
        <v>9.3800000000000008</v>
      </c>
      <c r="Y218">
        <v>4.6550000000000002</v>
      </c>
      <c r="Z218">
        <v>28</v>
      </c>
      <c r="AA218">
        <v>8.1</v>
      </c>
      <c r="AB218">
        <v>5.77</v>
      </c>
      <c r="AC218">
        <v>1.458</v>
      </c>
      <c r="AD218">
        <v>1.4339999999999999</v>
      </c>
      <c r="AE218">
        <v>5.68</v>
      </c>
      <c r="AF218">
        <v>1.754</v>
      </c>
      <c r="AG218">
        <v>0.36899999999999999</v>
      </c>
      <c r="AH218">
        <v>1.06</v>
      </c>
      <c r="AI218">
        <v>8.0500000000000007</v>
      </c>
      <c r="AJ218">
        <v>2.38</v>
      </c>
      <c r="AK218">
        <v>2</v>
      </c>
      <c r="AL218">
        <v>0.126</v>
      </c>
      <c r="AM218">
        <v>3.72</v>
      </c>
      <c r="AN218">
        <v>0.57999999999999996</v>
      </c>
      <c r="AO218">
        <v>1.7549999999999999</v>
      </c>
      <c r="AP218">
        <v>3.98</v>
      </c>
      <c r="AQ218">
        <v>0.83299999999999996</v>
      </c>
      <c r="AR218">
        <v>2.0049999999999999</v>
      </c>
      <c r="AS218">
        <v>1.66</v>
      </c>
      <c r="AT218">
        <v>0.37</v>
      </c>
      <c r="AU218">
        <v>917</v>
      </c>
    </row>
    <row r="219" spans="1:47">
      <c r="A219" s="39">
        <v>43873</v>
      </c>
      <c r="B219">
        <v>33.21</v>
      </c>
      <c r="C219">
        <v>13.71</v>
      </c>
      <c r="D219">
        <v>11.9</v>
      </c>
      <c r="E219">
        <v>18.5</v>
      </c>
      <c r="F219">
        <v>7.88</v>
      </c>
      <c r="G219">
        <v>0.8</v>
      </c>
      <c r="H219">
        <v>18.7</v>
      </c>
      <c r="I219">
        <v>1.8540000000000001</v>
      </c>
      <c r="J219">
        <v>2.9470000000000001</v>
      </c>
      <c r="K219">
        <v>7.97</v>
      </c>
      <c r="L219">
        <v>9.4</v>
      </c>
      <c r="M219" s="40">
        <v>18.059999999999999</v>
      </c>
      <c r="N219">
        <v>8.3480000000000008</v>
      </c>
      <c r="O219">
        <v>7.52</v>
      </c>
      <c r="P219">
        <v>8.14</v>
      </c>
      <c r="Q219">
        <v>3.18</v>
      </c>
      <c r="R219">
        <v>4.1920000000000002</v>
      </c>
      <c r="S219">
        <v>9.0299999999999994</v>
      </c>
      <c r="T219">
        <v>3.68</v>
      </c>
      <c r="U219">
        <v>2.54</v>
      </c>
      <c r="V219">
        <v>21.4</v>
      </c>
      <c r="W219">
        <v>8.5</v>
      </c>
      <c r="X219">
        <v>9.6999999999999993</v>
      </c>
      <c r="Y219">
        <v>4.63</v>
      </c>
      <c r="Z219">
        <v>27.8</v>
      </c>
      <c r="AA219">
        <v>8.1199999999999992</v>
      </c>
      <c r="AB219">
        <v>5.84</v>
      </c>
      <c r="AC219">
        <v>1.452</v>
      </c>
      <c r="AD219">
        <v>1.4139999999999999</v>
      </c>
      <c r="AE219">
        <v>5.56</v>
      </c>
      <c r="AF219">
        <v>1.76</v>
      </c>
      <c r="AG219">
        <v>0.37</v>
      </c>
      <c r="AH219">
        <v>1.048</v>
      </c>
      <c r="AI219">
        <v>8.0500000000000007</v>
      </c>
      <c r="AJ219">
        <v>2.39</v>
      </c>
      <c r="AK219">
        <v>1.9850000000000001</v>
      </c>
      <c r="AL219">
        <v>0.124</v>
      </c>
      <c r="AM219">
        <v>3.78</v>
      </c>
      <c r="AN219">
        <v>0.58799999999999997</v>
      </c>
      <c r="AO219">
        <v>1.7749999999999999</v>
      </c>
      <c r="AP219">
        <v>4.0999999999999996</v>
      </c>
      <c r="AQ219">
        <v>0.84399999999999997</v>
      </c>
      <c r="AR219">
        <v>2</v>
      </c>
      <c r="AS219">
        <v>1.65</v>
      </c>
      <c r="AT219">
        <v>0.371</v>
      </c>
      <c r="AU219">
        <v>917.56</v>
      </c>
    </row>
    <row r="220" spans="1:47">
      <c r="A220" s="39">
        <v>43874</v>
      </c>
      <c r="B220">
        <v>34.1</v>
      </c>
      <c r="C220">
        <v>13.86</v>
      </c>
      <c r="D220">
        <v>11.9</v>
      </c>
      <c r="E220">
        <v>19.100000000000001</v>
      </c>
      <c r="F220">
        <v>7.82</v>
      </c>
      <c r="G220">
        <v>0.79400000000000004</v>
      </c>
      <c r="H220">
        <v>18.98</v>
      </c>
      <c r="I220">
        <v>1.825</v>
      </c>
      <c r="J220">
        <v>2.89</v>
      </c>
      <c r="K220">
        <v>8.1999999999999993</v>
      </c>
      <c r="L220">
        <v>9.1999999999999993</v>
      </c>
      <c r="M220" s="40">
        <v>18.18</v>
      </c>
      <c r="N220">
        <v>8.4260000000000002</v>
      </c>
      <c r="O220">
        <v>7.42</v>
      </c>
      <c r="P220">
        <v>8.1999999999999993</v>
      </c>
      <c r="Q220">
        <v>3.11</v>
      </c>
      <c r="R220">
        <v>4.1920000000000002</v>
      </c>
      <c r="S220">
        <v>8.98</v>
      </c>
      <c r="T220">
        <v>3.6349999999999998</v>
      </c>
      <c r="U220">
        <v>2.605</v>
      </c>
      <c r="V220">
        <v>21.7</v>
      </c>
      <c r="W220">
        <v>8.6199999999999992</v>
      </c>
      <c r="X220">
        <v>9.4600000000000009</v>
      </c>
      <c r="Y220">
        <v>4.5999999999999996</v>
      </c>
      <c r="Z220">
        <v>28</v>
      </c>
      <c r="AA220">
        <v>8.08</v>
      </c>
      <c r="AB220">
        <v>5.8</v>
      </c>
      <c r="AC220">
        <v>1.46</v>
      </c>
      <c r="AD220">
        <v>1.42</v>
      </c>
      <c r="AE220">
        <v>5.56</v>
      </c>
      <c r="AF220">
        <v>1.71</v>
      </c>
      <c r="AG220">
        <v>0.36299999999999999</v>
      </c>
      <c r="AH220">
        <v>1.05</v>
      </c>
      <c r="AI220">
        <v>8</v>
      </c>
      <c r="AJ220">
        <v>2.5</v>
      </c>
      <c r="AK220">
        <v>1.9750000000000001</v>
      </c>
      <c r="AL220">
        <v>0.11899999999999999</v>
      </c>
      <c r="AM220">
        <v>3.8</v>
      </c>
      <c r="AN220">
        <v>0.57199999999999995</v>
      </c>
      <c r="AO220">
        <v>1.75</v>
      </c>
      <c r="AP220">
        <v>4.16</v>
      </c>
      <c r="AQ220">
        <v>0.83</v>
      </c>
      <c r="AR220">
        <v>2.09</v>
      </c>
      <c r="AS220">
        <v>1.7</v>
      </c>
      <c r="AT220">
        <v>0.36799999999999999</v>
      </c>
      <c r="AU220">
        <v>920.24</v>
      </c>
    </row>
    <row r="221" spans="1:47">
      <c r="A221" s="39">
        <v>43875</v>
      </c>
      <c r="B221">
        <v>34.24</v>
      </c>
      <c r="C221">
        <v>13.8</v>
      </c>
      <c r="D221">
        <v>11.98</v>
      </c>
      <c r="E221">
        <v>18.7</v>
      </c>
      <c r="F221">
        <v>7.8</v>
      </c>
      <c r="G221">
        <v>0.80900000000000005</v>
      </c>
      <c r="H221">
        <v>18.899999999999999</v>
      </c>
      <c r="I221">
        <v>1.8149999999999999</v>
      </c>
      <c r="J221">
        <v>2.92</v>
      </c>
      <c r="K221">
        <v>8.2899999999999991</v>
      </c>
      <c r="L221">
        <v>9.24</v>
      </c>
      <c r="M221" s="40">
        <v>18.02</v>
      </c>
      <c r="N221">
        <v>8.4949999999999992</v>
      </c>
      <c r="O221">
        <v>7.53</v>
      </c>
      <c r="P221">
        <v>8.25</v>
      </c>
      <c r="Q221">
        <v>3.1059999999999999</v>
      </c>
      <c r="R221">
        <v>4.2060000000000004</v>
      </c>
      <c r="S221">
        <v>9</v>
      </c>
      <c r="T221">
        <v>3.68</v>
      </c>
      <c r="U221">
        <v>2.69</v>
      </c>
      <c r="V221">
        <v>21.9</v>
      </c>
      <c r="W221">
        <v>8.5399999999999991</v>
      </c>
      <c r="X221">
        <v>9.32</v>
      </c>
      <c r="Y221">
        <v>4.6349999999999998</v>
      </c>
      <c r="Z221">
        <v>28</v>
      </c>
      <c r="AA221">
        <v>8.18</v>
      </c>
      <c r="AB221">
        <v>5.86</v>
      </c>
      <c r="AC221">
        <v>1.4359999999999999</v>
      </c>
      <c r="AD221">
        <v>1.41</v>
      </c>
      <c r="AE221">
        <v>5.58</v>
      </c>
      <c r="AF221">
        <v>1.726</v>
      </c>
      <c r="AG221">
        <v>0.36399999999999999</v>
      </c>
      <c r="AH221">
        <v>1.03</v>
      </c>
      <c r="AI221">
        <v>8.0500000000000007</v>
      </c>
      <c r="AJ221">
        <v>2.48</v>
      </c>
      <c r="AK221">
        <v>1.97</v>
      </c>
      <c r="AL221">
        <v>0.11899999999999999</v>
      </c>
      <c r="AM221">
        <v>3.77</v>
      </c>
      <c r="AN221">
        <v>0.56899999999999995</v>
      </c>
      <c r="AO221">
        <v>1.78</v>
      </c>
      <c r="AP221">
        <v>4.1399999999999997</v>
      </c>
      <c r="AQ221">
        <v>0.82899999999999996</v>
      </c>
      <c r="AR221">
        <v>2.125</v>
      </c>
      <c r="AS221">
        <v>1.71</v>
      </c>
      <c r="AT221">
        <v>0.36599999999999999</v>
      </c>
      <c r="AU221">
        <v>922.3</v>
      </c>
    </row>
    <row r="222" spans="1:47">
      <c r="A222" s="39">
        <v>43878</v>
      </c>
      <c r="B222">
        <v>34.200000000000003</v>
      </c>
      <c r="C222">
        <v>13.8</v>
      </c>
      <c r="D222">
        <v>12</v>
      </c>
      <c r="E222">
        <v>18.649999999999999</v>
      </c>
      <c r="F222">
        <v>7.93</v>
      </c>
      <c r="G222">
        <v>0.80800000000000005</v>
      </c>
      <c r="H222">
        <v>18.829999999999998</v>
      </c>
      <c r="I222">
        <v>1.7869999999999999</v>
      </c>
      <c r="J222">
        <v>2.8759999999999999</v>
      </c>
      <c r="K222">
        <v>8.31</v>
      </c>
      <c r="L222">
        <v>9.16</v>
      </c>
      <c r="M222" s="40">
        <v>18.04</v>
      </c>
      <c r="N222">
        <v>8.5730000000000004</v>
      </c>
      <c r="O222">
        <v>7.49</v>
      </c>
      <c r="P222">
        <v>8.25</v>
      </c>
      <c r="Q222">
        <v>3.09</v>
      </c>
      <c r="R222">
        <v>4.2</v>
      </c>
      <c r="S222">
        <v>8.9</v>
      </c>
      <c r="T222">
        <v>3.7</v>
      </c>
      <c r="U222">
        <v>2.7</v>
      </c>
      <c r="V222">
        <v>21.7</v>
      </c>
      <c r="W222">
        <v>8.51</v>
      </c>
      <c r="X222">
        <v>9.08</v>
      </c>
      <c r="Y222">
        <v>4.6349999999999998</v>
      </c>
      <c r="Z222">
        <v>27.5</v>
      </c>
      <c r="AA222">
        <v>8</v>
      </c>
      <c r="AB222">
        <v>5.73</v>
      </c>
      <c r="AC222">
        <v>1.44</v>
      </c>
      <c r="AD222">
        <v>1.4159999999999999</v>
      </c>
      <c r="AE222">
        <v>5.6</v>
      </c>
      <c r="AF222">
        <v>1.722</v>
      </c>
      <c r="AG222">
        <v>0.35699999999999998</v>
      </c>
      <c r="AH222">
        <v>1.04</v>
      </c>
      <c r="AI222">
        <v>8</v>
      </c>
      <c r="AJ222">
        <v>2.38</v>
      </c>
      <c r="AK222">
        <v>1.98</v>
      </c>
      <c r="AL222">
        <v>0.121</v>
      </c>
      <c r="AM222">
        <v>3.73</v>
      </c>
      <c r="AN222">
        <v>0.58199999999999996</v>
      </c>
      <c r="AO222">
        <v>1.75</v>
      </c>
      <c r="AP222">
        <v>4.22</v>
      </c>
      <c r="AQ222">
        <v>0.82399999999999995</v>
      </c>
      <c r="AR222">
        <v>2.15</v>
      </c>
      <c r="AS222">
        <v>1.75</v>
      </c>
      <c r="AT222">
        <v>0.36099999999999999</v>
      </c>
      <c r="AU222">
        <v>919.77</v>
      </c>
    </row>
    <row r="223" spans="1:47">
      <c r="A223" s="39">
        <v>43879</v>
      </c>
      <c r="B223">
        <v>34.15</v>
      </c>
      <c r="C223">
        <v>13.8</v>
      </c>
      <c r="D223">
        <v>11.91</v>
      </c>
      <c r="E223">
        <v>18.579999999999998</v>
      </c>
      <c r="F223">
        <v>7.8</v>
      </c>
      <c r="G223">
        <v>0.78500000000000003</v>
      </c>
      <c r="H223">
        <v>18.739999999999998</v>
      </c>
      <c r="I223">
        <v>1.7450000000000001</v>
      </c>
      <c r="J223">
        <v>2.7749999999999999</v>
      </c>
      <c r="K223">
        <v>8.25</v>
      </c>
      <c r="L223">
        <v>9</v>
      </c>
      <c r="M223" s="40">
        <v>17.88</v>
      </c>
      <c r="N223">
        <v>8.5440000000000005</v>
      </c>
      <c r="O223">
        <v>7.57</v>
      </c>
      <c r="P223">
        <v>8.17</v>
      </c>
      <c r="Q223">
        <v>3.0659999999999998</v>
      </c>
      <c r="R223">
        <v>4.1779999999999999</v>
      </c>
      <c r="S223">
        <v>8.77</v>
      </c>
      <c r="T223">
        <v>3.63</v>
      </c>
      <c r="U223">
        <v>2.72</v>
      </c>
      <c r="V223">
        <v>21.6</v>
      </c>
      <c r="W223">
        <v>8.44</v>
      </c>
      <c r="X223">
        <v>9.1</v>
      </c>
      <c r="Y223">
        <v>4.63</v>
      </c>
      <c r="Z223">
        <v>27.7</v>
      </c>
      <c r="AA223">
        <v>8</v>
      </c>
      <c r="AB223">
        <v>5.74</v>
      </c>
      <c r="AC223">
        <v>1.44</v>
      </c>
      <c r="AD223">
        <v>1.3839999999999999</v>
      </c>
      <c r="AE223">
        <v>5.58</v>
      </c>
      <c r="AF223">
        <v>1.68</v>
      </c>
      <c r="AG223">
        <v>0.35499999999999998</v>
      </c>
      <c r="AH223">
        <v>1.004</v>
      </c>
      <c r="AI223">
        <v>8</v>
      </c>
      <c r="AJ223">
        <v>2.38</v>
      </c>
      <c r="AK223">
        <v>1.94</v>
      </c>
      <c r="AL223">
        <v>0.125</v>
      </c>
      <c r="AM223">
        <v>3.67</v>
      </c>
      <c r="AN223">
        <v>0.56599999999999995</v>
      </c>
      <c r="AO223">
        <v>1.78</v>
      </c>
      <c r="AP223">
        <v>4.1900000000000004</v>
      </c>
      <c r="AQ223">
        <v>0.82</v>
      </c>
      <c r="AR223">
        <v>2.0750000000000002</v>
      </c>
      <c r="AS223">
        <v>1.68</v>
      </c>
      <c r="AT223">
        <v>0.36</v>
      </c>
      <c r="AU223">
        <v>911.82</v>
      </c>
    </row>
    <row r="224" spans="1:47">
      <c r="A224" s="39">
        <v>43880</v>
      </c>
      <c r="B224">
        <v>34.200000000000003</v>
      </c>
      <c r="C224">
        <v>14.12</v>
      </c>
      <c r="D224">
        <v>12.09</v>
      </c>
      <c r="E224">
        <v>18.5</v>
      </c>
      <c r="F224">
        <v>7.75</v>
      </c>
      <c r="G224">
        <v>0.78800000000000003</v>
      </c>
      <c r="H224">
        <v>18.899999999999999</v>
      </c>
      <c r="I224">
        <v>1.7769999999999999</v>
      </c>
      <c r="J224">
        <v>2.78</v>
      </c>
      <c r="K224">
        <v>8.42</v>
      </c>
      <c r="L224">
        <v>9.0250000000000004</v>
      </c>
      <c r="M224" s="40">
        <v>17.8</v>
      </c>
      <c r="N224">
        <v>8.6319999999999997</v>
      </c>
      <c r="O224">
        <v>7.54</v>
      </c>
      <c r="P224">
        <v>8.19</v>
      </c>
      <c r="Q224">
        <v>3.06</v>
      </c>
      <c r="R224">
        <v>4.2</v>
      </c>
      <c r="S224">
        <v>8.75</v>
      </c>
      <c r="T224">
        <v>3.61</v>
      </c>
      <c r="U224">
        <v>2.7050000000000001</v>
      </c>
      <c r="V224">
        <v>21.45</v>
      </c>
      <c r="W224">
        <v>8.52</v>
      </c>
      <c r="X224">
        <v>8.9600000000000009</v>
      </c>
      <c r="Y224">
        <v>4.6900000000000004</v>
      </c>
      <c r="Z224">
        <v>27.4</v>
      </c>
      <c r="AA224">
        <v>8.02</v>
      </c>
      <c r="AB224">
        <v>5.74</v>
      </c>
      <c r="AC224">
        <v>1.464</v>
      </c>
      <c r="AD224">
        <v>1.3939999999999999</v>
      </c>
      <c r="AE224">
        <v>5.56</v>
      </c>
      <c r="AF224">
        <v>1.68</v>
      </c>
      <c r="AG224">
        <v>0.35399999999999998</v>
      </c>
      <c r="AH224">
        <v>1.03</v>
      </c>
      <c r="AI224">
        <v>8</v>
      </c>
      <c r="AJ224">
        <v>2.58</v>
      </c>
      <c r="AK224">
        <v>1.94</v>
      </c>
      <c r="AL224">
        <v>0.121</v>
      </c>
      <c r="AM224">
        <v>3.68</v>
      </c>
      <c r="AN224">
        <v>0.55600000000000005</v>
      </c>
      <c r="AO224">
        <v>1.77</v>
      </c>
      <c r="AP224">
        <v>4.22</v>
      </c>
      <c r="AQ224">
        <v>0.81200000000000006</v>
      </c>
      <c r="AR224">
        <v>2.1</v>
      </c>
      <c r="AS224">
        <v>1.7150000000000001</v>
      </c>
      <c r="AT224">
        <v>0.36299999999999999</v>
      </c>
      <c r="AU224">
        <v>916.8</v>
      </c>
    </row>
    <row r="225" spans="1:47">
      <c r="A225" s="39">
        <v>43881</v>
      </c>
      <c r="B225">
        <v>33.590000000000003</v>
      </c>
      <c r="C225">
        <v>14.11</v>
      </c>
      <c r="D225">
        <v>12.11</v>
      </c>
      <c r="E225">
        <v>17.96</v>
      </c>
      <c r="F225">
        <v>7.8</v>
      </c>
      <c r="G225">
        <v>0.78300000000000003</v>
      </c>
      <c r="H225">
        <v>18.77</v>
      </c>
      <c r="I225">
        <v>1.75</v>
      </c>
      <c r="J225">
        <v>2.718</v>
      </c>
      <c r="K225">
        <v>8.4</v>
      </c>
      <c r="L225">
        <v>8.9849999999999994</v>
      </c>
      <c r="M225" s="40">
        <v>17.8</v>
      </c>
      <c r="N225">
        <v>8.7200000000000006</v>
      </c>
      <c r="O225">
        <v>7.67</v>
      </c>
      <c r="P225">
        <v>8.3000000000000007</v>
      </c>
      <c r="Q225">
        <v>3.0379999999999998</v>
      </c>
      <c r="R225">
        <v>4.22</v>
      </c>
      <c r="S225">
        <v>8.8000000000000007</v>
      </c>
      <c r="T225">
        <v>3.585</v>
      </c>
      <c r="U225">
        <v>2.73</v>
      </c>
      <c r="V225">
        <v>21.5</v>
      </c>
      <c r="W225">
        <v>8.69</v>
      </c>
      <c r="X225">
        <v>8.9</v>
      </c>
      <c r="Y225">
        <v>4.6500000000000004</v>
      </c>
      <c r="Z225">
        <v>27.4</v>
      </c>
      <c r="AA225">
        <v>8.02</v>
      </c>
      <c r="AB225">
        <v>5.71</v>
      </c>
      <c r="AC225">
        <v>1.48</v>
      </c>
      <c r="AD225">
        <v>1.3819999999999999</v>
      </c>
      <c r="AE225">
        <v>5.5</v>
      </c>
      <c r="AF225">
        <v>1.7</v>
      </c>
      <c r="AG225">
        <v>0.35099999999999998</v>
      </c>
      <c r="AH225">
        <v>1.018</v>
      </c>
      <c r="AI225">
        <v>8</v>
      </c>
      <c r="AJ225">
        <v>2.59</v>
      </c>
      <c r="AK225">
        <v>1.97</v>
      </c>
      <c r="AL225">
        <v>0.124</v>
      </c>
      <c r="AM225">
        <v>3.75</v>
      </c>
      <c r="AN225">
        <v>0.56499999999999995</v>
      </c>
      <c r="AO225">
        <v>1.74</v>
      </c>
      <c r="AP225">
        <v>4.2</v>
      </c>
      <c r="AQ225">
        <v>0.80800000000000005</v>
      </c>
      <c r="AR225">
        <v>2.13</v>
      </c>
      <c r="AS225">
        <v>1.675</v>
      </c>
      <c r="AT225">
        <v>0.36199999999999999</v>
      </c>
      <c r="AU225">
        <v>913.08</v>
      </c>
    </row>
    <row r="226" spans="1:47">
      <c r="A226" s="39">
        <v>43882</v>
      </c>
      <c r="B226">
        <v>33.42</v>
      </c>
      <c r="C226">
        <v>13.91</v>
      </c>
      <c r="D226">
        <v>11.95</v>
      </c>
      <c r="E226">
        <v>17.350000000000001</v>
      </c>
      <c r="F226">
        <v>7.75</v>
      </c>
      <c r="G226">
        <v>0.74</v>
      </c>
      <c r="H226">
        <v>18.579999999999998</v>
      </c>
      <c r="I226">
        <v>1.6990000000000001</v>
      </c>
      <c r="J226">
        <v>2.62</v>
      </c>
      <c r="K226">
        <v>8.2100000000000009</v>
      </c>
      <c r="L226">
        <v>8.8049999999999997</v>
      </c>
      <c r="M226" s="40">
        <v>17.34</v>
      </c>
      <c r="N226">
        <v>8.6709999999999994</v>
      </c>
      <c r="O226">
        <v>7.57</v>
      </c>
      <c r="P226">
        <v>8.11</v>
      </c>
      <c r="Q226">
        <v>2.9</v>
      </c>
      <c r="R226">
        <v>4.1180000000000003</v>
      </c>
      <c r="S226">
        <v>8.51</v>
      </c>
      <c r="T226">
        <v>3.48</v>
      </c>
      <c r="U226">
        <v>2.665</v>
      </c>
      <c r="V226">
        <v>21.4</v>
      </c>
      <c r="W226">
        <v>8.4499999999999993</v>
      </c>
      <c r="X226">
        <v>8.6999999999999993</v>
      </c>
      <c r="Y226">
        <v>4.5999999999999996</v>
      </c>
      <c r="Z226">
        <v>27.4</v>
      </c>
      <c r="AA226">
        <v>7.88</v>
      </c>
      <c r="AB226">
        <v>5.59</v>
      </c>
      <c r="AC226">
        <v>1.454</v>
      </c>
      <c r="AD226">
        <v>1.35</v>
      </c>
      <c r="AE226">
        <v>5.42</v>
      </c>
      <c r="AF226">
        <v>1.6359999999999999</v>
      </c>
      <c r="AG226">
        <v>0.33500000000000002</v>
      </c>
      <c r="AH226">
        <v>1</v>
      </c>
      <c r="AI226">
        <v>8.0500000000000007</v>
      </c>
      <c r="AJ226">
        <v>2.52</v>
      </c>
      <c r="AK226">
        <v>1.94</v>
      </c>
      <c r="AL226">
        <v>0.11899999999999999</v>
      </c>
      <c r="AM226">
        <v>3.66</v>
      </c>
      <c r="AN226">
        <v>0.55400000000000005</v>
      </c>
      <c r="AO226">
        <v>1.7250000000000001</v>
      </c>
      <c r="AP226">
        <v>4.18</v>
      </c>
      <c r="AQ226">
        <v>0.79800000000000004</v>
      </c>
      <c r="AR226">
        <v>2.02</v>
      </c>
      <c r="AS226">
        <v>1.65</v>
      </c>
      <c r="AT226">
        <v>0.34899999999999998</v>
      </c>
      <c r="AU226">
        <v>893.03</v>
      </c>
    </row>
    <row r="227" spans="1:47">
      <c r="A227" s="39">
        <v>43885</v>
      </c>
      <c r="B227">
        <v>32.549999999999997</v>
      </c>
      <c r="C227">
        <v>13.31</v>
      </c>
      <c r="D227">
        <v>10.96</v>
      </c>
      <c r="E227">
        <v>15.6</v>
      </c>
      <c r="F227">
        <v>7.07</v>
      </c>
      <c r="G227">
        <v>0.65100000000000002</v>
      </c>
      <c r="H227">
        <v>17.75</v>
      </c>
      <c r="I227">
        <v>1.5349999999999999</v>
      </c>
      <c r="J227">
        <v>2.3719999999999999</v>
      </c>
      <c r="K227">
        <v>7.3</v>
      </c>
      <c r="L227">
        <v>7.98</v>
      </c>
      <c r="M227" s="40">
        <v>15.66</v>
      </c>
      <c r="N227">
        <v>7.9660000000000002</v>
      </c>
      <c r="O227">
        <v>7.03</v>
      </c>
      <c r="P227">
        <v>7.01</v>
      </c>
      <c r="Q227">
        <v>2.4700000000000002</v>
      </c>
      <c r="R227">
        <v>3.52</v>
      </c>
      <c r="S227">
        <v>8.09</v>
      </c>
      <c r="T227">
        <v>3.04</v>
      </c>
      <c r="U227">
        <v>2.4300000000000002</v>
      </c>
      <c r="V227">
        <v>19.34</v>
      </c>
      <c r="W227">
        <v>7.5</v>
      </c>
      <c r="X227">
        <v>8.0399999999999991</v>
      </c>
      <c r="Y227">
        <v>4.3499999999999996</v>
      </c>
      <c r="Z227">
        <v>25.6</v>
      </c>
      <c r="AA227">
        <v>7.3</v>
      </c>
      <c r="AB227">
        <v>5.2</v>
      </c>
      <c r="AC227">
        <v>1.4319999999999999</v>
      </c>
      <c r="AD227">
        <v>1.1599999999999999</v>
      </c>
      <c r="AE227">
        <v>4.99</v>
      </c>
      <c r="AF227">
        <v>1.43</v>
      </c>
      <c r="AG227">
        <v>0.28499999999999998</v>
      </c>
      <c r="AH227">
        <v>0.91800000000000004</v>
      </c>
      <c r="AI227">
        <v>7.65</v>
      </c>
      <c r="AJ227">
        <v>2.1800000000000002</v>
      </c>
      <c r="AK227">
        <v>1.82</v>
      </c>
      <c r="AL227">
        <v>9.9000000000000005E-2</v>
      </c>
      <c r="AM227">
        <v>3.47</v>
      </c>
      <c r="AN227">
        <v>0.47599999999999998</v>
      </c>
      <c r="AO227">
        <v>1.63</v>
      </c>
      <c r="AP227">
        <v>3.8</v>
      </c>
      <c r="AQ227">
        <v>0.65</v>
      </c>
      <c r="AR227">
        <v>1.75</v>
      </c>
      <c r="AS227">
        <v>1.365</v>
      </c>
      <c r="AT227">
        <v>0.28000000000000003</v>
      </c>
      <c r="AU227">
        <v>818.35</v>
      </c>
    </row>
    <row r="228" spans="1:47">
      <c r="A228" s="39">
        <v>43886</v>
      </c>
      <c r="B228">
        <v>31.5</v>
      </c>
      <c r="C228">
        <v>13.6</v>
      </c>
      <c r="D228">
        <v>11.27</v>
      </c>
      <c r="E228">
        <v>16.399999999999999</v>
      </c>
      <c r="F228">
        <v>7.1</v>
      </c>
      <c r="G228">
        <v>0.7</v>
      </c>
      <c r="H228">
        <v>17.55</v>
      </c>
      <c r="I228">
        <v>1.5960000000000001</v>
      </c>
      <c r="J228">
        <v>2.4790000000000001</v>
      </c>
      <c r="K228">
        <v>7.48</v>
      </c>
      <c r="L228">
        <v>8</v>
      </c>
      <c r="M228" s="40">
        <v>15.3</v>
      </c>
      <c r="N228">
        <v>8.2789999999999999</v>
      </c>
      <c r="O228">
        <v>7.57</v>
      </c>
      <c r="P228">
        <v>7.37</v>
      </c>
      <c r="Q228">
        <v>2.59</v>
      </c>
      <c r="R228">
        <v>3.8079999999999998</v>
      </c>
      <c r="S228">
        <v>7.86</v>
      </c>
      <c r="T228">
        <v>3.13</v>
      </c>
      <c r="U228">
        <v>2.4750000000000001</v>
      </c>
      <c r="V228">
        <v>19.3</v>
      </c>
      <c r="W228">
        <v>7.63</v>
      </c>
      <c r="X228">
        <v>8.32</v>
      </c>
      <c r="Y228">
        <v>4.46</v>
      </c>
      <c r="Z228">
        <v>25.5</v>
      </c>
      <c r="AA228">
        <v>7.3</v>
      </c>
      <c r="AB228">
        <v>5.3</v>
      </c>
      <c r="AC228">
        <v>1.46</v>
      </c>
      <c r="AD228">
        <v>1.19</v>
      </c>
      <c r="AE228">
        <v>4.95</v>
      </c>
      <c r="AF228">
        <v>1.4279999999999999</v>
      </c>
      <c r="AG228">
        <v>0.28999999999999998</v>
      </c>
      <c r="AH228">
        <v>0.94399999999999995</v>
      </c>
      <c r="AI228">
        <v>7.9</v>
      </c>
      <c r="AJ228">
        <v>2.2799999999999998</v>
      </c>
      <c r="AK228">
        <v>1.8</v>
      </c>
      <c r="AL228">
        <v>0.10100000000000001</v>
      </c>
      <c r="AM228">
        <v>3.44</v>
      </c>
      <c r="AN228">
        <v>0.504</v>
      </c>
      <c r="AO228">
        <v>1.635</v>
      </c>
      <c r="AP228">
        <v>3.89</v>
      </c>
      <c r="AQ228">
        <v>0.66200000000000003</v>
      </c>
      <c r="AR228">
        <v>1.8480000000000001</v>
      </c>
      <c r="AS228">
        <v>1.41</v>
      </c>
      <c r="AT228">
        <v>0.24</v>
      </c>
      <c r="AU228">
        <v>833.81</v>
      </c>
    </row>
    <row r="229" spans="1:47">
      <c r="A229" s="39">
        <v>43887</v>
      </c>
      <c r="B229">
        <v>31.35</v>
      </c>
      <c r="C229">
        <v>13.4</v>
      </c>
      <c r="D229">
        <v>11.12</v>
      </c>
      <c r="E229">
        <v>15.57</v>
      </c>
      <c r="F229">
        <v>7</v>
      </c>
      <c r="G229">
        <v>0.67600000000000005</v>
      </c>
      <c r="H229">
        <v>16.86</v>
      </c>
      <c r="I229">
        <v>1.502</v>
      </c>
      <c r="J229">
        <v>2.4289999999999998</v>
      </c>
      <c r="K229">
        <v>7.32</v>
      </c>
      <c r="L229">
        <v>7.79</v>
      </c>
      <c r="M229" s="40">
        <v>14.7</v>
      </c>
      <c r="N229">
        <v>7.9459999999999997</v>
      </c>
      <c r="O229">
        <v>7.26</v>
      </c>
      <c r="P229">
        <v>7.02</v>
      </c>
      <c r="Q229">
        <v>2.46</v>
      </c>
      <c r="R229">
        <v>3.75</v>
      </c>
      <c r="S229">
        <v>7.92</v>
      </c>
      <c r="T229">
        <v>3.0550000000000002</v>
      </c>
      <c r="U229">
        <v>2.4300000000000002</v>
      </c>
      <c r="V229">
        <v>18.68</v>
      </c>
      <c r="W229">
        <v>7.16</v>
      </c>
      <c r="X229">
        <v>7.96</v>
      </c>
      <c r="Y229">
        <v>4.2649999999999997</v>
      </c>
      <c r="Z229">
        <v>24.8</v>
      </c>
      <c r="AA229">
        <v>6.98</v>
      </c>
      <c r="AB229">
        <v>5.17</v>
      </c>
      <c r="AC229">
        <v>1.452</v>
      </c>
      <c r="AD229">
        <v>1.1439999999999999</v>
      </c>
      <c r="AE229">
        <v>4.95</v>
      </c>
      <c r="AF229">
        <v>1.3660000000000001</v>
      </c>
      <c r="AG229">
        <v>0.27</v>
      </c>
      <c r="AH229">
        <v>1.028</v>
      </c>
      <c r="AI229">
        <v>7.55</v>
      </c>
      <c r="AJ229">
        <v>2.5</v>
      </c>
      <c r="AK229">
        <v>1.835</v>
      </c>
      <c r="AL229">
        <v>9.7000000000000003E-2</v>
      </c>
      <c r="AM229">
        <v>3.39</v>
      </c>
      <c r="AN229">
        <v>0.49399999999999999</v>
      </c>
      <c r="AO229">
        <v>1.575</v>
      </c>
      <c r="AP229">
        <v>3.94</v>
      </c>
      <c r="AQ229">
        <v>0.65</v>
      </c>
      <c r="AR229">
        <v>1.83</v>
      </c>
      <c r="AS229">
        <v>1.395</v>
      </c>
      <c r="AT229">
        <v>0.245</v>
      </c>
      <c r="AU229">
        <v>811.34</v>
      </c>
    </row>
    <row r="230" spans="1:47">
      <c r="A230" s="39">
        <v>43888</v>
      </c>
      <c r="B230">
        <v>30.66</v>
      </c>
      <c r="C230">
        <v>13.12</v>
      </c>
      <c r="D230">
        <v>10.52</v>
      </c>
      <c r="E230">
        <v>14.6</v>
      </c>
      <c r="F230">
        <v>6.61</v>
      </c>
      <c r="G230">
        <v>0.61399999999999999</v>
      </c>
      <c r="H230">
        <v>16.100000000000001</v>
      </c>
      <c r="I230">
        <v>1.3640000000000001</v>
      </c>
      <c r="J230">
        <v>2.218</v>
      </c>
      <c r="K230">
        <v>7</v>
      </c>
      <c r="L230">
        <v>7.36</v>
      </c>
      <c r="M230" s="40">
        <v>14.36</v>
      </c>
      <c r="N230">
        <v>7.73</v>
      </c>
      <c r="O230">
        <v>6.85</v>
      </c>
      <c r="P230">
        <v>6.72</v>
      </c>
      <c r="Q230">
        <v>2.2200000000000002</v>
      </c>
      <c r="R230">
        <v>3.31</v>
      </c>
      <c r="S230">
        <v>7.88</v>
      </c>
      <c r="T230">
        <v>2.89</v>
      </c>
      <c r="U230">
        <v>2.2400000000000002</v>
      </c>
      <c r="V230">
        <v>17.7</v>
      </c>
      <c r="W230">
        <v>6.57</v>
      </c>
      <c r="X230">
        <v>7.62</v>
      </c>
      <c r="Y230">
        <v>3.8650000000000002</v>
      </c>
      <c r="Z230">
        <v>24.5</v>
      </c>
      <c r="AA230">
        <v>6.64</v>
      </c>
      <c r="AB230">
        <v>5</v>
      </c>
      <c r="AC230">
        <v>1.44</v>
      </c>
      <c r="AD230">
        <v>1.1140000000000001</v>
      </c>
      <c r="AE230">
        <v>4.8899999999999997</v>
      </c>
      <c r="AF230">
        <v>1.25</v>
      </c>
      <c r="AG230">
        <v>0.23</v>
      </c>
      <c r="AH230">
        <v>0.94699999999999995</v>
      </c>
      <c r="AI230">
        <v>7.4</v>
      </c>
      <c r="AJ230">
        <v>2.31</v>
      </c>
      <c r="AK230">
        <v>1.68</v>
      </c>
      <c r="AL230">
        <v>8.5000000000000006E-2</v>
      </c>
      <c r="AM230">
        <v>3.39</v>
      </c>
      <c r="AN230">
        <v>0.45500000000000002</v>
      </c>
      <c r="AO230">
        <v>1.55</v>
      </c>
      <c r="AP230">
        <v>3.68</v>
      </c>
      <c r="AQ230">
        <v>0.58199999999999996</v>
      </c>
      <c r="AR230">
        <v>1.71</v>
      </c>
      <c r="AS230">
        <v>1.2</v>
      </c>
      <c r="AT230">
        <v>0.216</v>
      </c>
      <c r="AU230">
        <v>768.83</v>
      </c>
    </row>
    <row r="231" spans="1:47">
      <c r="A231" s="39">
        <v>43889</v>
      </c>
      <c r="B231">
        <v>28.4</v>
      </c>
      <c r="C231">
        <v>12.82</v>
      </c>
      <c r="D231">
        <v>9.6999999999999993</v>
      </c>
      <c r="E231">
        <v>14.22</v>
      </c>
      <c r="F231">
        <v>6.25</v>
      </c>
      <c r="G231">
        <v>0.56599999999999995</v>
      </c>
      <c r="H231">
        <v>14.8</v>
      </c>
      <c r="I231">
        <v>1.2869999999999999</v>
      </c>
      <c r="J231">
        <v>2</v>
      </c>
      <c r="K231">
        <v>7.07</v>
      </c>
      <c r="L231">
        <v>6.81</v>
      </c>
      <c r="M231" s="40">
        <v>12.78</v>
      </c>
      <c r="N231">
        <v>7.3869999999999996</v>
      </c>
      <c r="O231">
        <v>6.4</v>
      </c>
      <c r="P231">
        <v>6.04</v>
      </c>
      <c r="Q231">
        <v>1.984</v>
      </c>
      <c r="R231">
        <v>2.9540000000000002</v>
      </c>
      <c r="S231">
        <v>7.21</v>
      </c>
      <c r="T231">
        <v>2.63</v>
      </c>
      <c r="U231">
        <v>2.14</v>
      </c>
      <c r="V231">
        <v>16.38</v>
      </c>
      <c r="W231">
        <v>6.3</v>
      </c>
      <c r="X231">
        <v>7.1</v>
      </c>
      <c r="Y231">
        <v>3.6</v>
      </c>
      <c r="Z231">
        <v>22.1</v>
      </c>
      <c r="AA231">
        <v>6.5</v>
      </c>
      <c r="AB231">
        <v>4.9000000000000004</v>
      </c>
      <c r="AC231">
        <v>1.45</v>
      </c>
      <c r="AD231">
        <v>1.0940000000000001</v>
      </c>
      <c r="AE231">
        <v>4.6399999999999997</v>
      </c>
      <c r="AF231">
        <v>1.21</v>
      </c>
      <c r="AG231">
        <v>0.20399999999999999</v>
      </c>
      <c r="AH231">
        <v>0.9</v>
      </c>
      <c r="AI231">
        <v>7.15</v>
      </c>
      <c r="AJ231">
        <v>2.37</v>
      </c>
      <c r="AK231">
        <v>1.63</v>
      </c>
      <c r="AL231">
        <v>8.1000000000000003E-2</v>
      </c>
      <c r="AM231">
        <v>3.2</v>
      </c>
      <c r="AN231">
        <v>0.41299999999999998</v>
      </c>
      <c r="AO231">
        <v>1.45</v>
      </c>
      <c r="AP231">
        <v>3.42</v>
      </c>
      <c r="AQ231">
        <v>0.53800000000000003</v>
      </c>
      <c r="AR231">
        <v>1.62</v>
      </c>
      <c r="AS231">
        <v>1.18</v>
      </c>
      <c r="AT231">
        <v>0.20899999999999999</v>
      </c>
      <c r="AU231">
        <v>720.35</v>
      </c>
    </row>
    <row r="232" spans="1:47">
      <c r="A232" s="39">
        <v>43893</v>
      </c>
      <c r="B232">
        <v>29.67</v>
      </c>
      <c r="C232">
        <v>12.8</v>
      </c>
      <c r="D232">
        <v>10.07</v>
      </c>
      <c r="E232">
        <v>16.7</v>
      </c>
      <c r="F232">
        <v>6.85</v>
      </c>
      <c r="G232">
        <v>0.63500000000000001</v>
      </c>
      <c r="H232">
        <v>16.16</v>
      </c>
      <c r="I232">
        <v>1.45</v>
      </c>
      <c r="J232">
        <v>2.1739999999999999</v>
      </c>
      <c r="K232">
        <v>7.3</v>
      </c>
      <c r="L232">
        <v>7.43</v>
      </c>
      <c r="M232" s="40">
        <v>13.3</v>
      </c>
      <c r="N232">
        <v>7.9850000000000003</v>
      </c>
      <c r="O232">
        <v>6.81</v>
      </c>
      <c r="P232">
        <v>6.76</v>
      </c>
      <c r="Q232">
        <v>2.16</v>
      </c>
      <c r="R232">
        <v>3.25</v>
      </c>
      <c r="S232">
        <v>7.27</v>
      </c>
      <c r="T232">
        <v>2.835</v>
      </c>
      <c r="U232">
        <v>2.3250000000000002</v>
      </c>
      <c r="V232">
        <v>17.52</v>
      </c>
      <c r="W232">
        <v>6.5</v>
      </c>
      <c r="X232">
        <v>7.66</v>
      </c>
      <c r="Y232">
        <v>3.76</v>
      </c>
      <c r="Z232">
        <v>22.6</v>
      </c>
      <c r="AA232">
        <v>6.92</v>
      </c>
      <c r="AB232">
        <v>4.7</v>
      </c>
      <c r="AC232">
        <v>1.454</v>
      </c>
      <c r="AD232">
        <v>1.1379999999999999</v>
      </c>
      <c r="AE232">
        <v>4.93</v>
      </c>
      <c r="AF232">
        <v>1.22</v>
      </c>
      <c r="AG232">
        <v>0.255</v>
      </c>
      <c r="AH232">
        <v>0.95499999999999996</v>
      </c>
      <c r="AI232">
        <v>7.15</v>
      </c>
      <c r="AJ232">
        <v>2.37</v>
      </c>
      <c r="AK232">
        <v>1.63</v>
      </c>
      <c r="AL232">
        <v>8.6999999999999994E-2</v>
      </c>
      <c r="AM232">
        <v>3.28</v>
      </c>
      <c r="AN232">
        <v>0.44400000000000001</v>
      </c>
      <c r="AO232">
        <v>1.4950000000000001</v>
      </c>
      <c r="AP232">
        <v>3.53</v>
      </c>
      <c r="AQ232">
        <v>0.56999999999999995</v>
      </c>
      <c r="AR232">
        <v>1.786</v>
      </c>
      <c r="AS232">
        <v>1.2050000000000001</v>
      </c>
      <c r="AT232">
        <v>0.215</v>
      </c>
      <c r="AU232">
        <v>766.32</v>
      </c>
    </row>
    <row r="233" spans="1:47">
      <c r="A233" s="39">
        <v>43894</v>
      </c>
      <c r="B233">
        <v>29.81</v>
      </c>
      <c r="C233">
        <v>12.75</v>
      </c>
      <c r="D233">
        <v>10.3</v>
      </c>
      <c r="E233">
        <v>17.079999999999998</v>
      </c>
      <c r="F233">
        <v>6.81</v>
      </c>
      <c r="G233">
        <v>0.63300000000000001</v>
      </c>
      <c r="H233">
        <v>16.52</v>
      </c>
      <c r="I233">
        <v>1.407</v>
      </c>
      <c r="J233">
        <v>2.14</v>
      </c>
      <c r="K233">
        <v>7.27</v>
      </c>
      <c r="L233">
        <v>7.64</v>
      </c>
      <c r="M233" s="40">
        <v>13.24</v>
      </c>
      <c r="N233">
        <v>8.23</v>
      </c>
      <c r="O233">
        <v>6.75</v>
      </c>
      <c r="P233">
        <v>7.1</v>
      </c>
      <c r="Q233">
        <v>2.09</v>
      </c>
      <c r="R233">
        <v>3.28</v>
      </c>
      <c r="S233">
        <v>7.4</v>
      </c>
      <c r="T233">
        <v>2.835</v>
      </c>
      <c r="U233">
        <v>2.37</v>
      </c>
      <c r="V233">
        <v>18.68</v>
      </c>
      <c r="W233">
        <v>6.6</v>
      </c>
      <c r="X233">
        <v>7.88</v>
      </c>
      <c r="Y233">
        <v>3.9</v>
      </c>
      <c r="Z233">
        <v>23.5</v>
      </c>
      <c r="AA233">
        <v>6.68</v>
      </c>
      <c r="AB233">
        <v>4.68</v>
      </c>
      <c r="AC233">
        <v>1.45</v>
      </c>
      <c r="AD233">
        <v>1.1060000000000001</v>
      </c>
      <c r="AE233">
        <v>4.91</v>
      </c>
      <c r="AF233">
        <v>1.1779999999999999</v>
      </c>
      <c r="AG233">
        <v>0.27</v>
      </c>
      <c r="AH233">
        <v>0.94399999999999995</v>
      </c>
      <c r="AI233">
        <v>7.4</v>
      </c>
      <c r="AJ233">
        <v>2.25</v>
      </c>
      <c r="AK233">
        <v>1.73</v>
      </c>
      <c r="AL233">
        <v>8.5999999999999993E-2</v>
      </c>
      <c r="AM233">
        <v>3.24</v>
      </c>
      <c r="AN233">
        <v>0.45500000000000002</v>
      </c>
      <c r="AO233">
        <v>1.5</v>
      </c>
      <c r="AP233">
        <v>3.46</v>
      </c>
      <c r="AQ233">
        <v>0.58099999999999996</v>
      </c>
      <c r="AR233">
        <v>1.712</v>
      </c>
      <c r="AS233">
        <v>1.23</v>
      </c>
      <c r="AT233">
        <v>0.21</v>
      </c>
      <c r="AU233">
        <v>770.54</v>
      </c>
    </row>
    <row r="234" spans="1:47">
      <c r="A234" s="39">
        <v>43895</v>
      </c>
      <c r="B234">
        <v>29.04</v>
      </c>
      <c r="C234">
        <v>12.34</v>
      </c>
      <c r="D234">
        <v>10.19</v>
      </c>
      <c r="E234">
        <v>15.44</v>
      </c>
      <c r="F234">
        <v>6.31</v>
      </c>
      <c r="G234">
        <v>0.59799999999999998</v>
      </c>
      <c r="H234">
        <v>15.8</v>
      </c>
      <c r="I234">
        <v>1.26</v>
      </c>
      <c r="J234">
        <v>1.9930000000000001</v>
      </c>
      <c r="K234">
        <v>6.7</v>
      </c>
      <c r="L234">
        <v>7.15</v>
      </c>
      <c r="M234" s="40">
        <v>13.04</v>
      </c>
      <c r="N234">
        <v>8.08</v>
      </c>
      <c r="O234">
        <v>6.5</v>
      </c>
      <c r="P234">
        <v>6.54</v>
      </c>
      <c r="Q234">
        <v>1.9219999999999999</v>
      </c>
      <c r="R234">
        <v>3.0779999999999998</v>
      </c>
      <c r="S234">
        <v>7.53</v>
      </c>
      <c r="T234">
        <v>2.58</v>
      </c>
      <c r="U234">
        <v>2.2349999999999999</v>
      </c>
      <c r="V234">
        <v>17.399999999999999</v>
      </c>
      <c r="W234">
        <v>5.96</v>
      </c>
      <c r="X234">
        <v>7.48</v>
      </c>
      <c r="Y234">
        <v>3.7</v>
      </c>
      <c r="Z234">
        <v>22.6</v>
      </c>
      <c r="AA234">
        <v>5.92</v>
      </c>
      <c r="AB234">
        <v>4.3</v>
      </c>
      <c r="AC234">
        <v>1.452</v>
      </c>
      <c r="AD234">
        <v>1.02</v>
      </c>
      <c r="AE234">
        <v>4.8</v>
      </c>
      <c r="AF234">
        <v>0.82499999999999996</v>
      </c>
      <c r="AG234">
        <v>0.24099999999999999</v>
      </c>
      <c r="AH234">
        <v>0.89800000000000002</v>
      </c>
      <c r="AI234">
        <v>7</v>
      </c>
      <c r="AJ234">
        <v>2.14</v>
      </c>
      <c r="AK234">
        <v>1.645</v>
      </c>
      <c r="AL234">
        <v>7.6999999999999999E-2</v>
      </c>
      <c r="AM234">
        <v>3.19</v>
      </c>
      <c r="AN234">
        <v>0.4</v>
      </c>
      <c r="AO234">
        <v>1.52</v>
      </c>
      <c r="AP234">
        <v>3.24</v>
      </c>
      <c r="AQ234">
        <v>0.51700000000000002</v>
      </c>
      <c r="AR234">
        <v>1.5980000000000001</v>
      </c>
      <c r="AS234">
        <v>1.1200000000000001</v>
      </c>
      <c r="AT234">
        <v>0.17</v>
      </c>
      <c r="AU234">
        <v>728.17</v>
      </c>
    </row>
    <row r="235" spans="1:47">
      <c r="A235" s="39">
        <v>43896</v>
      </c>
      <c r="B235">
        <v>28.18</v>
      </c>
      <c r="C235">
        <v>11.89</v>
      </c>
      <c r="D235">
        <v>9.6050000000000004</v>
      </c>
      <c r="E235">
        <v>14.65</v>
      </c>
      <c r="F235">
        <v>6.02</v>
      </c>
      <c r="G235">
        <v>0.52</v>
      </c>
      <c r="H235">
        <v>14.5</v>
      </c>
      <c r="I235">
        <v>1.0720000000000001</v>
      </c>
      <c r="J235">
        <v>1.7829999999999999</v>
      </c>
      <c r="K235">
        <v>6.36</v>
      </c>
      <c r="L235">
        <v>6.88</v>
      </c>
      <c r="M235" s="40">
        <v>12.2</v>
      </c>
      <c r="N235">
        <v>7.85</v>
      </c>
      <c r="O235">
        <v>6.25</v>
      </c>
      <c r="P235">
        <v>5.88</v>
      </c>
      <c r="Q235">
        <v>1.782</v>
      </c>
      <c r="R235">
        <v>2.64</v>
      </c>
      <c r="S235">
        <v>7.04</v>
      </c>
      <c r="T235">
        <v>2.54</v>
      </c>
      <c r="U235">
        <v>2.17</v>
      </c>
      <c r="V235">
        <v>17.2</v>
      </c>
      <c r="W235">
        <v>5.6</v>
      </c>
      <c r="X235">
        <v>7.16</v>
      </c>
      <c r="Y235">
        <v>3.61</v>
      </c>
      <c r="Z235">
        <v>23</v>
      </c>
      <c r="AA235">
        <v>5.98</v>
      </c>
      <c r="AB235">
        <v>4.09</v>
      </c>
      <c r="AC235">
        <v>1.452</v>
      </c>
      <c r="AD235">
        <v>0.94</v>
      </c>
      <c r="AE235">
        <v>4.4800000000000004</v>
      </c>
      <c r="AF235">
        <v>0.80400000000000005</v>
      </c>
      <c r="AG235">
        <v>0.25</v>
      </c>
      <c r="AH235">
        <v>0.82499999999999996</v>
      </c>
      <c r="AI235">
        <v>6.9</v>
      </c>
      <c r="AJ235">
        <v>1.95</v>
      </c>
      <c r="AK235">
        <v>1.5449999999999999</v>
      </c>
      <c r="AL235">
        <v>7.4999999999999997E-2</v>
      </c>
      <c r="AM235">
        <v>3.04</v>
      </c>
      <c r="AN235">
        <v>0.378</v>
      </c>
      <c r="AO235">
        <v>1.42</v>
      </c>
      <c r="AP235">
        <v>2.9</v>
      </c>
      <c r="AQ235">
        <v>0.47499999999999998</v>
      </c>
      <c r="AR235">
        <v>1.532</v>
      </c>
      <c r="AS235">
        <v>1.05</v>
      </c>
      <c r="AT235">
        <v>0.17</v>
      </c>
      <c r="AU235">
        <v>684.74</v>
      </c>
    </row>
    <row r="236" spans="1:47">
      <c r="A236" s="39">
        <v>43899</v>
      </c>
      <c r="B236">
        <v>25.67</v>
      </c>
      <c r="C236">
        <v>11.25</v>
      </c>
      <c r="D236">
        <v>8.6</v>
      </c>
      <c r="E236">
        <v>14.21</v>
      </c>
      <c r="F236">
        <v>4.96</v>
      </c>
      <c r="G236">
        <v>0.441</v>
      </c>
      <c r="H236">
        <v>12.16</v>
      </c>
      <c r="I236">
        <v>0.90500000000000003</v>
      </c>
      <c r="J236">
        <v>1.42</v>
      </c>
      <c r="K236">
        <v>5.52</v>
      </c>
      <c r="L236">
        <v>5.7</v>
      </c>
      <c r="M236" s="40">
        <v>9.7899999999999991</v>
      </c>
      <c r="N236">
        <v>6.73</v>
      </c>
      <c r="O236">
        <v>5.5</v>
      </c>
      <c r="P236">
        <v>4.3</v>
      </c>
      <c r="Q236">
        <v>1.446</v>
      </c>
      <c r="R236">
        <v>2</v>
      </c>
      <c r="S236">
        <v>6.48</v>
      </c>
      <c r="T236">
        <v>2.04</v>
      </c>
      <c r="U236">
        <v>1.85</v>
      </c>
      <c r="V236">
        <v>15.7</v>
      </c>
      <c r="W236">
        <v>4.32</v>
      </c>
      <c r="X236">
        <v>5.9</v>
      </c>
      <c r="Y236">
        <v>3</v>
      </c>
      <c r="Z236">
        <v>20.7</v>
      </c>
      <c r="AA236">
        <v>4.9000000000000004</v>
      </c>
      <c r="AB236">
        <v>3.94</v>
      </c>
      <c r="AC236">
        <v>1.43</v>
      </c>
      <c r="AD236">
        <v>0.69</v>
      </c>
      <c r="AE236">
        <v>4.07</v>
      </c>
      <c r="AF236">
        <v>0.65</v>
      </c>
      <c r="AG236">
        <v>0.20100000000000001</v>
      </c>
      <c r="AH236">
        <v>0.57799999999999996</v>
      </c>
      <c r="AI236">
        <v>6.7</v>
      </c>
      <c r="AJ236">
        <v>1.53</v>
      </c>
      <c r="AK236">
        <v>1.41</v>
      </c>
      <c r="AL236">
        <v>6.0999999999999999E-2</v>
      </c>
      <c r="AM236">
        <v>2.57</v>
      </c>
      <c r="AN236">
        <v>0.29499999999999998</v>
      </c>
      <c r="AO236">
        <v>1.27</v>
      </c>
      <c r="AP236">
        <v>2.4</v>
      </c>
      <c r="AQ236">
        <v>0.37</v>
      </c>
      <c r="AR236">
        <v>1.1599999999999999</v>
      </c>
      <c r="AS236">
        <v>0.88</v>
      </c>
      <c r="AT236">
        <v>0.13800000000000001</v>
      </c>
      <c r="AU236">
        <v>593.07000000000005</v>
      </c>
    </row>
    <row r="237" spans="1:47">
      <c r="A237" s="39">
        <v>43900</v>
      </c>
      <c r="B237">
        <v>25.02</v>
      </c>
      <c r="C237">
        <v>11.4</v>
      </c>
      <c r="D237">
        <v>8.7349999999999994</v>
      </c>
      <c r="E237">
        <v>15.13</v>
      </c>
      <c r="F237">
        <v>5.35</v>
      </c>
      <c r="G237">
        <v>0.5</v>
      </c>
      <c r="H237">
        <v>13.5</v>
      </c>
      <c r="I237">
        <v>1.03</v>
      </c>
      <c r="J237">
        <v>1.579</v>
      </c>
      <c r="K237">
        <v>6.38</v>
      </c>
      <c r="L237">
        <v>6.05</v>
      </c>
      <c r="M237" s="40">
        <v>10.5</v>
      </c>
      <c r="N237">
        <v>7</v>
      </c>
      <c r="O237">
        <v>5.9</v>
      </c>
      <c r="P237">
        <v>4.9450000000000003</v>
      </c>
      <c r="Q237">
        <v>1.5</v>
      </c>
      <c r="R237">
        <v>2.2000000000000002</v>
      </c>
      <c r="S237">
        <v>7.48</v>
      </c>
      <c r="T237">
        <v>2.2450000000000001</v>
      </c>
      <c r="U237">
        <v>1.99</v>
      </c>
      <c r="V237">
        <v>16.399999999999999</v>
      </c>
      <c r="W237">
        <v>4.75</v>
      </c>
      <c r="X237">
        <v>7</v>
      </c>
      <c r="Y237">
        <v>3.4</v>
      </c>
      <c r="Z237">
        <v>20.5</v>
      </c>
      <c r="AA237">
        <v>5</v>
      </c>
      <c r="AB237">
        <v>4.1050000000000004</v>
      </c>
      <c r="AC237">
        <v>1.43</v>
      </c>
      <c r="AD237">
        <v>0.748</v>
      </c>
      <c r="AE237">
        <v>4.22</v>
      </c>
      <c r="AF237">
        <v>0.67600000000000005</v>
      </c>
      <c r="AG237">
        <v>0.22500000000000001</v>
      </c>
      <c r="AH237">
        <v>0.63</v>
      </c>
      <c r="AI237">
        <v>6.75</v>
      </c>
      <c r="AJ237">
        <v>1.635</v>
      </c>
      <c r="AK237">
        <v>1.5549999999999999</v>
      </c>
      <c r="AL237">
        <v>6.6000000000000003E-2</v>
      </c>
      <c r="AM237">
        <v>2.67</v>
      </c>
      <c r="AN237">
        <v>0.29199999999999998</v>
      </c>
      <c r="AO237">
        <v>1.26</v>
      </c>
      <c r="AP237">
        <v>2.56</v>
      </c>
      <c r="AQ237">
        <v>0.36199999999999999</v>
      </c>
      <c r="AR237">
        <v>1.2</v>
      </c>
      <c r="AS237">
        <v>0.89600000000000002</v>
      </c>
      <c r="AT237">
        <v>0.14000000000000001</v>
      </c>
      <c r="AU237">
        <v>628.25</v>
      </c>
    </row>
    <row r="238" spans="1:47">
      <c r="A238" s="39">
        <v>43901</v>
      </c>
      <c r="B238">
        <v>23.36</v>
      </c>
      <c r="C238">
        <v>11.19</v>
      </c>
      <c r="D238">
        <v>8.7200000000000006</v>
      </c>
      <c r="E238">
        <v>13.87</v>
      </c>
      <c r="F238">
        <v>5.2</v>
      </c>
      <c r="G238">
        <v>0.47799999999999998</v>
      </c>
      <c r="H238">
        <v>13.42</v>
      </c>
      <c r="I238">
        <v>0.97</v>
      </c>
      <c r="J238">
        <v>1.4490000000000001</v>
      </c>
      <c r="K238">
        <v>5.85</v>
      </c>
      <c r="L238">
        <v>5.72</v>
      </c>
      <c r="M238" s="40">
        <v>9.92</v>
      </c>
      <c r="N238">
        <v>6.98</v>
      </c>
      <c r="O238">
        <v>5.6</v>
      </c>
      <c r="P238">
        <v>4.8049999999999997</v>
      </c>
      <c r="Q238">
        <v>1.38</v>
      </c>
      <c r="R238">
        <v>2.12</v>
      </c>
      <c r="S238">
        <v>7.08</v>
      </c>
      <c r="T238">
        <v>2.145</v>
      </c>
      <c r="U238">
        <v>1.996</v>
      </c>
      <c r="V238">
        <v>15.94</v>
      </c>
      <c r="W238">
        <v>4.5999999999999996</v>
      </c>
      <c r="X238">
        <v>6.6</v>
      </c>
      <c r="Y238">
        <v>3.1850000000000001</v>
      </c>
      <c r="Z238">
        <v>20.3</v>
      </c>
      <c r="AA238">
        <v>5</v>
      </c>
      <c r="AB238">
        <v>4.16</v>
      </c>
      <c r="AC238">
        <v>1.4279999999999999</v>
      </c>
      <c r="AD238">
        <v>0.73599999999999999</v>
      </c>
      <c r="AE238">
        <v>4.05</v>
      </c>
      <c r="AF238">
        <v>0.72699999999999998</v>
      </c>
      <c r="AG238">
        <v>0.21099999999999999</v>
      </c>
      <c r="AH238">
        <v>0.64</v>
      </c>
      <c r="AI238">
        <v>7</v>
      </c>
      <c r="AJ238">
        <v>1.585</v>
      </c>
      <c r="AK238">
        <v>1.5</v>
      </c>
      <c r="AL238">
        <v>6.4000000000000001E-2</v>
      </c>
      <c r="AM238">
        <v>2.6</v>
      </c>
      <c r="AN238">
        <v>0.3</v>
      </c>
      <c r="AO238">
        <v>1.2350000000000001</v>
      </c>
      <c r="AP238">
        <v>2.5</v>
      </c>
      <c r="AQ238">
        <v>0.36299999999999999</v>
      </c>
      <c r="AR238">
        <v>1.218</v>
      </c>
      <c r="AS238">
        <v>0.89600000000000002</v>
      </c>
      <c r="AT238">
        <v>0.13200000000000001</v>
      </c>
      <c r="AU238">
        <v>602.48</v>
      </c>
    </row>
    <row r="239" spans="1:47">
      <c r="A239" s="39">
        <v>43902</v>
      </c>
      <c r="B239">
        <v>19.84</v>
      </c>
      <c r="C239">
        <v>9.99</v>
      </c>
      <c r="D239">
        <v>7.74</v>
      </c>
      <c r="E239">
        <v>12.7</v>
      </c>
      <c r="F239">
        <v>4.82</v>
      </c>
      <c r="G239">
        <v>0.39500000000000002</v>
      </c>
      <c r="H239">
        <v>12.2</v>
      </c>
      <c r="I239">
        <v>0.85</v>
      </c>
      <c r="J239">
        <v>1.1459999999999999</v>
      </c>
      <c r="K239">
        <v>5.33</v>
      </c>
      <c r="L239">
        <v>5.32</v>
      </c>
      <c r="M239" s="40">
        <v>9.93</v>
      </c>
      <c r="N239">
        <v>6.39</v>
      </c>
      <c r="O239">
        <v>5.5</v>
      </c>
      <c r="P239">
        <v>4.24</v>
      </c>
      <c r="Q239">
        <v>1.1499999999999999</v>
      </c>
      <c r="R239">
        <v>1.83</v>
      </c>
      <c r="S239">
        <v>6.61</v>
      </c>
      <c r="T239">
        <v>1.74</v>
      </c>
      <c r="U239">
        <v>1.772</v>
      </c>
      <c r="V239">
        <v>14.68</v>
      </c>
      <c r="W239">
        <v>4.2</v>
      </c>
      <c r="X239">
        <v>6.3</v>
      </c>
      <c r="Y239">
        <v>2.91</v>
      </c>
      <c r="Z239">
        <v>20</v>
      </c>
      <c r="AA239">
        <v>4.7</v>
      </c>
      <c r="AB239">
        <v>3.85</v>
      </c>
      <c r="AC239">
        <v>1.4</v>
      </c>
      <c r="AD239">
        <v>0.68</v>
      </c>
      <c r="AE239">
        <v>3.69</v>
      </c>
      <c r="AF239">
        <v>0.62</v>
      </c>
      <c r="AG239">
        <v>0.186</v>
      </c>
      <c r="AH239">
        <v>0.56999999999999995</v>
      </c>
      <c r="AI239">
        <v>6.7</v>
      </c>
      <c r="AJ239">
        <v>1.25</v>
      </c>
      <c r="AK239">
        <v>1.4</v>
      </c>
      <c r="AL239">
        <v>5.7000000000000002E-2</v>
      </c>
      <c r="AM239">
        <v>2.48</v>
      </c>
      <c r="AN239">
        <v>0.26400000000000001</v>
      </c>
      <c r="AO239">
        <v>1.1399999999999999</v>
      </c>
      <c r="AP239">
        <v>2.19</v>
      </c>
      <c r="AQ239">
        <v>0.314</v>
      </c>
      <c r="AR239">
        <v>0.96</v>
      </c>
      <c r="AS239">
        <v>0.74</v>
      </c>
      <c r="AT239">
        <v>0.11700000000000001</v>
      </c>
      <c r="AU239">
        <v>538.54999999999995</v>
      </c>
    </row>
    <row r="240" spans="1:47">
      <c r="A240" s="39">
        <v>43903</v>
      </c>
      <c r="B240">
        <v>21.03</v>
      </c>
      <c r="C240">
        <v>10.33</v>
      </c>
      <c r="D240">
        <v>7.5750000000000002</v>
      </c>
      <c r="E240">
        <v>12.62</v>
      </c>
      <c r="F240">
        <v>4.9800000000000004</v>
      </c>
      <c r="G240">
        <v>0.42299999999999999</v>
      </c>
      <c r="H240">
        <v>12.2</v>
      </c>
      <c r="I240">
        <v>0.91800000000000004</v>
      </c>
      <c r="J240">
        <v>1.1719999999999999</v>
      </c>
      <c r="K240">
        <v>5.4</v>
      </c>
      <c r="L240">
        <v>5.4</v>
      </c>
      <c r="M240" s="40">
        <v>9.7100000000000009</v>
      </c>
      <c r="N240">
        <v>6.13</v>
      </c>
      <c r="O240">
        <v>5.59</v>
      </c>
      <c r="P240">
        <v>4.38</v>
      </c>
      <c r="Q240">
        <v>1.2250000000000001</v>
      </c>
      <c r="R240">
        <v>1.8</v>
      </c>
      <c r="S240">
        <v>6.9</v>
      </c>
      <c r="T240">
        <v>1.81</v>
      </c>
      <c r="U240">
        <v>1.85</v>
      </c>
      <c r="V240">
        <v>15.4</v>
      </c>
      <c r="W240">
        <v>4.8</v>
      </c>
      <c r="X240">
        <v>6.9</v>
      </c>
      <c r="Y240">
        <v>2.94</v>
      </c>
      <c r="Z240">
        <v>20</v>
      </c>
      <c r="AA240">
        <v>4.67</v>
      </c>
      <c r="AB240">
        <v>3.85</v>
      </c>
      <c r="AC240">
        <v>1.38</v>
      </c>
      <c r="AD240">
        <v>0.66</v>
      </c>
      <c r="AE240">
        <v>3.85</v>
      </c>
      <c r="AF240">
        <v>0.65200000000000002</v>
      </c>
      <c r="AG240">
        <v>0.186</v>
      </c>
      <c r="AH240">
        <v>0.6</v>
      </c>
      <c r="AI240">
        <v>6.4</v>
      </c>
      <c r="AJ240">
        <v>1.33</v>
      </c>
      <c r="AK240">
        <v>1.44</v>
      </c>
      <c r="AL240">
        <v>5.6000000000000001E-2</v>
      </c>
      <c r="AM240">
        <v>2.5</v>
      </c>
      <c r="AN240">
        <v>0.26</v>
      </c>
      <c r="AO240">
        <v>1.2450000000000001</v>
      </c>
      <c r="AP240">
        <v>2.3199999999999998</v>
      </c>
      <c r="AQ240">
        <v>0.32</v>
      </c>
      <c r="AR240">
        <v>0.99399999999999999</v>
      </c>
      <c r="AS240">
        <v>0.74</v>
      </c>
      <c r="AT240">
        <v>0.11</v>
      </c>
      <c r="AU240">
        <v>551.97</v>
      </c>
    </row>
    <row r="241" spans="1:47">
      <c r="A241" s="39">
        <v>43906</v>
      </c>
      <c r="B241">
        <v>17.47</v>
      </c>
      <c r="C241">
        <v>9.2550000000000008</v>
      </c>
      <c r="D241">
        <v>5.86</v>
      </c>
      <c r="E241">
        <v>11.4</v>
      </c>
      <c r="F241">
        <v>4.6500000000000004</v>
      </c>
      <c r="G241">
        <v>0.38</v>
      </c>
      <c r="H241">
        <v>10.82</v>
      </c>
      <c r="I241">
        <v>0.75</v>
      </c>
      <c r="J241">
        <v>0.93</v>
      </c>
      <c r="K241">
        <v>4.4550000000000001</v>
      </c>
      <c r="L241">
        <v>5.01</v>
      </c>
      <c r="M241" s="40">
        <v>8.92</v>
      </c>
      <c r="N241">
        <v>5.78</v>
      </c>
      <c r="O241">
        <v>5.28</v>
      </c>
      <c r="P241">
        <v>3.81</v>
      </c>
      <c r="Q241">
        <v>1.006</v>
      </c>
      <c r="R241">
        <v>1.55</v>
      </c>
      <c r="S241">
        <v>6.5</v>
      </c>
      <c r="T241">
        <v>1.63</v>
      </c>
      <c r="U241">
        <v>1.64</v>
      </c>
      <c r="V241">
        <v>14.48</v>
      </c>
      <c r="W241">
        <v>4</v>
      </c>
      <c r="X241">
        <v>6.22</v>
      </c>
      <c r="Y241">
        <v>2.61</v>
      </c>
      <c r="Z241">
        <v>19</v>
      </c>
      <c r="AA241">
        <v>3.88</v>
      </c>
      <c r="AB241">
        <v>3.81</v>
      </c>
      <c r="AC241">
        <v>1.212</v>
      </c>
      <c r="AD241">
        <v>0.61199999999999999</v>
      </c>
      <c r="AE241">
        <v>3.5</v>
      </c>
      <c r="AF241">
        <v>0.57199999999999995</v>
      </c>
      <c r="AG241">
        <v>0.16300000000000001</v>
      </c>
      <c r="AH241">
        <v>0.58799999999999997</v>
      </c>
      <c r="AI241">
        <v>6.1</v>
      </c>
      <c r="AJ241">
        <v>1.22</v>
      </c>
      <c r="AK241">
        <v>1.34</v>
      </c>
      <c r="AL241">
        <v>4.9000000000000002E-2</v>
      </c>
      <c r="AM241">
        <v>2</v>
      </c>
      <c r="AN241">
        <v>0.23599999999999999</v>
      </c>
      <c r="AO241">
        <v>1.1200000000000001</v>
      </c>
      <c r="AP241">
        <v>2.2000000000000002</v>
      </c>
      <c r="AQ241">
        <v>0.315</v>
      </c>
      <c r="AR241">
        <v>0.95499999999999996</v>
      </c>
      <c r="AS241">
        <v>0.64</v>
      </c>
      <c r="AT241">
        <v>8.8999999999999996E-2</v>
      </c>
      <c r="AU241">
        <v>484.4</v>
      </c>
    </row>
    <row r="242" spans="1:47">
      <c r="A242" s="39">
        <v>43907</v>
      </c>
      <c r="B242">
        <v>16.989999999999998</v>
      </c>
      <c r="C242">
        <v>9.34</v>
      </c>
      <c r="D242">
        <v>6.05</v>
      </c>
      <c r="E242">
        <v>11.18</v>
      </c>
      <c r="F242">
        <v>4.6950000000000003</v>
      </c>
      <c r="G242">
        <v>0.34</v>
      </c>
      <c r="H242">
        <v>10.050000000000001</v>
      </c>
      <c r="I242">
        <v>0.65600000000000003</v>
      </c>
      <c r="J242">
        <v>1</v>
      </c>
      <c r="K242">
        <v>4.8849999999999998</v>
      </c>
      <c r="L242">
        <v>5.27</v>
      </c>
      <c r="M242" s="40">
        <v>8.9</v>
      </c>
      <c r="N242">
        <v>6.35</v>
      </c>
      <c r="O242">
        <v>5.85</v>
      </c>
      <c r="P242">
        <v>4.49</v>
      </c>
      <c r="Q242">
        <v>1</v>
      </c>
      <c r="R242">
        <v>1.69</v>
      </c>
      <c r="S242">
        <v>6.6</v>
      </c>
      <c r="T242">
        <v>1.68</v>
      </c>
      <c r="U242">
        <v>1.8</v>
      </c>
      <c r="V242">
        <v>16.600000000000001</v>
      </c>
      <c r="W242">
        <v>3.75</v>
      </c>
      <c r="X242">
        <v>6.5</v>
      </c>
      <c r="Y242">
        <v>2.73</v>
      </c>
      <c r="Z242">
        <v>18.5</v>
      </c>
      <c r="AA242">
        <v>4.0999999999999996</v>
      </c>
      <c r="AB242">
        <v>3.82</v>
      </c>
      <c r="AC242">
        <v>1.3</v>
      </c>
      <c r="AD242">
        <v>0.63200000000000001</v>
      </c>
      <c r="AE242">
        <v>3.78</v>
      </c>
      <c r="AF242">
        <v>0.63</v>
      </c>
      <c r="AG242">
        <v>0.16500000000000001</v>
      </c>
      <c r="AH242">
        <v>0.59399999999999997</v>
      </c>
      <c r="AI242">
        <v>6.65</v>
      </c>
      <c r="AJ242">
        <v>1.2749999999999999</v>
      </c>
      <c r="AK242">
        <v>1.35</v>
      </c>
      <c r="AL242">
        <v>5.0999999999999997E-2</v>
      </c>
      <c r="AM242">
        <v>2.04</v>
      </c>
      <c r="AN242">
        <v>0.249</v>
      </c>
      <c r="AO242">
        <v>1.1000000000000001</v>
      </c>
      <c r="AP242">
        <v>2.4</v>
      </c>
      <c r="AQ242">
        <v>0.34100000000000003</v>
      </c>
      <c r="AR242">
        <v>1.01</v>
      </c>
      <c r="AS242">
        <v>0.65600000000000003</v>
      </c>
      <c r="AT242">
        <v>9.5000000000000001E-2</v>
      </c>
      <c r="AU242">
        <v>491.94</v>
      </c>
    </row>
    <row r="243" spans="1:47">
      <c r="A243" s="39">
        <v>43908</v>
      </c>
      <c r="B243">
        <v>16.989999999999998</v>
      </c>
      <c r="C243">
        <v>10.039999999999999</v>
      </c>
      <c r="D243">
        <v>5.8849999999999998</v>
      </c>
      <c r="E243">
        <v>11.19</v>
      </c>
      <c r="F243">
        <v>4.5549999999999997</v>
      </c>
      <c r="G243">
        <v>0.32300000000000001</v>
      </c>
      <c r="H243">
        <v>8.6</v>
      </c>
      <c r="I243">
        <v>0.59</v>
      </c>
      <c r="J243">
        <v>0.88600000000000001</v>
      </c>
      <c r="K243">
        <v>4.9000000000000004</v>
      </c>
      <c r="L243">
        <v>5.1449999999999996</v>
      </c>
      <c r="M243" s="40">
        <v>9.35</v>
      </c>
      <c r="N243">
        <v>6.48</v>
      </c>
      <c r="O243">
        <v>6.09</v>
      </c>
      <c r="P243">
        <v>4.46</v>
      </c>
      <c r="Q243">
        <v>0.95099999999999996</v>
      </c>
      <c r="R243">
        <v>1.76</v>
      </c>
      <c r="S243">
        <v>6.35</v>
      </c>
      <c r="T243">
        <v>1.698</v>
      </c>
      <c r="U243">
        <v>1.794</v>
      </c>
      <c r="V243">
        <v>15.94</v>
      </c>
      <c r="W243">
        <v>3.5</v>
      </c>
      <c r="X243">
        <v>6.18</v>
      </c>
      <c r="Y243">
        <v>2.7</v>
      </c>
      <c r="Z243">
        <v>18.899999999999999</v>
      </c>
      <c r="AA243">
        <v>3.98</v>
      </c>
      <c r="AB243">
        <v>3.6749999999999998</v>
      </c>
      <c r="AC243">
        <v>1.23</v>
      </c>
      <c r="AD243">
        <v>0.67800000000000005</v>
      </c>
      <c r="AE243">
        <v>3.99</v>
      </c>
      <c r="AF243">
        <v>0.57999999999999996</v>
      </c>
      <c r="AG243">
        <v>0.17</v>
      </c>
      <c r="AH243">
        <v>0.66</v>
      </c>
      <c r="AI243">
        <v>6.25</v>
      </c>
      <c r="AJ243">
        <v>1.325</v>
      </c>
      <c r="AK243">
        <v>1.375</v>
      </c>
      <c r="AL243">
        <v>5.1999999999999998E-2</v>
      </c>
      <c r="AM243">
        <v>2.0499999999999998</v>
      </c>
      <c r="AN243">
        <v>0.25900000000000001</v>
      </c>
      <c r="AO243">
        <v>1.22</v>
      </c>
      <c r="AP243">
        <v>2.41</v>
      </c>
      <c r="AQ243">
        <v>0.34399999999999997</v>
      </c>
      <c r="AR243">
        <v>1.06</v>
      </c>
      <c r="AS243">
        <v>0.626</v>
      </c>
      <c r="AT243">
        <v>9.6000000000000002E-2</v>
      </c>
      <c r="AU243">
        <v>487.35</v>
      </c>
    </row>
    <row r="244" spans="1:47">
      <c r="A244" s="39">
        <v>43909</v>
      </c>
      <c r="B244">
        <v>18.38</v>
      </c>
      <c r="C244">
        <v>11.4</v>
      </c>
      <c r="D244">
        <v>6.22</v>
      </c>
      <c r="E244">
        <v>11.88</v>
      </c>
      <c r="F244">
        <v>4.7949999999999999</v>
      </c>
      <c r="G244">
        <v>0.34</v>
      </c>
      <c r="H244">
        <v>9.89</v>
      </c>
      <c r="I244">
        <v>0.59599999999999997</v>
      </c>
      <c r="J244">
        <v>0.91</v>
      </c>
      <c r="K244">
        <v>4.83</v>
      </c>
      <c r="L244">
        <v>5.75</v>
      </c>
      <c r="M244" s="40">
        <v>10.86</v>
      </c>
      <c r="N244">
        <v>6.74</v>
      </c>
      <c r="O244">
        <v>6.87</v>
      </c>
      <c r="P244">
        <v>4.71</v>
      </c>
      <c r="Q244">
        <v>0.96599999999999997</v>
      </c>
      <c r="R244">
        <v>2.2599999999999998</v>
      </c>
      <c r="S244">
        <v>6.6</v>
      </c>
      <c r="T244">
        <v>1.86</v>
      </c>
      <c r="U244">
        <v>1.9</v>
      </c>
      <c r="V244">
        <v>16.8</v>
      </c>
      <c r="W244">
        <v>3.35</v>
      </c>
      <c r="X244">
        <v>6.3</v>
      </c>
      <c r="Y244">
        <v>2.82</v>
      </c>
      <c r="Z244">
        <v>19.7</v>
      </c>
      <c r="AA244">
        <v>3.81</v>
      </c>
      <c r="AB244">
        <v>3.5</v>
      </c>
      <c r="AC244">
        <v>1.25</v>
      </c>
      <c r="AD244">
        <v>0.88100000000000001</v>
      </c>
      <c r="AE244">
        <v>4.0999999999999996</v>
      </c>
      <c r="AF244">
        <v>0.626</v>
      </c>
      <c r="AG244">
        <v>0.188</v>
      </c>
      <c r="AH244">
        <v>0.68</v>
      </c>
      <c r="AI244">
        <v>6.25</v>
      </c>
      <c r="AJ244">
        <v>1.3</v>
      </c>
      <c r="AK244">
        <v>1.355</v>
      </c>
      <c r="AL244">
        <v>5.2999999999999999E-2</v>
      </c>
      <c r="AM244">
        <v>2.1</v>
      </c>
      <c r="AN244">
        <v>0.28000000000000003</v>
      </c>
      <c r="AO244">
        <v>1.21</v>
      </c>
      <c r="AP244">
        <v>2.61</v>
      </c>
      <c r="AQ244">
        <v>0.36399999999999999</v>
      </c>
      <c r="AR244">
        <v>1.0640000000000001</v>
      </c>
      <c r="AS244">
        <v>0.66800000000000004</v>
      </c>
      <c r="AT244">
        <v>0.11</v>
      </c>
      <c r="AU244">
        <v>525.29</v>
      </c>
    </row>
    <row r="245" spans="1:47">
      <c r="A245" s="39">
        <v>43910</v>
      </c>
      <c r="B245">
        <v>19.600000000000001</v>
      </c>
      <c r="C245">
        <v>11.78</v>
      </c>
      <c r="D245">
        <v>6.58</v>
      </c>
      <c r="E245">
        <v>11.34</v>
      </c>
      <c r="F245">
        <v>5.35</v>
      </c>
      <c r="G245">
        <v>0.36499999999999999</v>
      </c>
      <c r="H245">
        <v>11.86</v>
      </c>
      <c r="I245">
        <v>0.63200000000000001</v>
      </c>
      <c r="J245">
        <v>0.996</v>
      </c>
      <c r="K245">
        <v>5.08</v>
      </c>
      <c r="L245">
        <v>6.25</v>
      </c>
      <c r="M245" s="40">
        <v>11.46</v>
      </c>
      <c r="N245">
        <v>7.18</v>
      </c>
      <c r="O245">
        <v>6.79</v>
      </c>
      <c r="P245">
        <v>5.0199999999999996</v>
      </c>
      <c r="Q245">
        <v>1.04</v>
      </c>
      <c r="R245">
        <v>2.2200000000000002</v>
      </c>
      <c r="S245">
        <v>7.4</v>
      </c>
      <c r="T245">
        <v>1.99</v>
      </c>
      <c r="U245">
        <v>1.9359999999999999</v>
      </c>
      <c r="V245">
        <v>16.559999999999999</v>
      </c>
      <c r="W245">
        <v>3.85</v>
      </c>
      <c r="X245">
        <v>6.6</v>
      </c>
      <c r="Y245">
        <v>2.97</v>
      </c>
      <c r="Z245">
        <v>20.8</v>
      </c>
      <c r="AA245">
        <v>4.58</v>
      </c>
      <c r="AB245">
        <v>3.62</v>
      </c>
      <c r="AC245">
        <v>1.25</v>
      </c>
      <c r="AD245">
        <v>0.92</v>
      </c>
      <c r="AE245">
        <v>4.55</v>
      </c>
      <c r="AF245">
        <v>0.63100000000000001</v>
      </c>
      <c r="AG245">
        <v>0.191</v>
      </c>
      <c r="AH245">
        <v>0.68100000000000005</v>
      </c>
      <c r="AI245">
        <v>6.45</v>
      </c>
      <c r="AJ245">
        <v>1.32</v>
      </c>
      <c r="AK245">
        <v>1.355</v>
      </c>
      <c r="AL245">
        <v>5.7000000000000002E-2</v>
      </c>
      <c r="AM245">
        <v>2.19</v>
      </c>
      <c r="AN245">
        <v>0.29699999999999999</v>
      </c>
      <c r="AO245">
        <v>1.21</v>
      </c>
      <c r="AP245">
        <v>2.81</v>
      </c>
      <c r="AQ245">
        <v>0.372</v>
      </c>
      <c r="AR245">
        <v>1.17</v>
      </c>
      <c r="AS245">
        <v>0.71399999999999997</v>
      </c>
      <c r="AT245">
        <v>0.13500000000000001</v>
      </c>
      <c r="AU245">
        <v>555.13</v>
      </c>
    </row>
    <row r="246" spans="1:47">
      <c r="A246" s="39">
        <v>43913</v>
      </c>
      <c r="B246">
        <v>18</v>
      </c>
      <c r="C246">
        <v>11.4</v>
      </c>
      <c r="D246">
        <v>6.1</v>
      </c>
      <c r="E246">
        <v>9.94</v>
      </c>
      <c r="F246">
        <v>4.9800000000000004</v>
      </c>
      <c r="G246">
        <v>0.315</v>
      </c>
      <c r="H246">
        <v>10.9</v>
      </c>
      <c r="I246">
        <v>0.53</v>
      </c>
      <c r="J246">
        <v>0.85</v>
      </c>
      <c r="K246">
        <v>4.8</v>
      </c>
      <c r="L246">
        <v>5.8049999999999997</v>
      </c>
      <c r="M246" s="40">
        <v>10.6</v>
      </c>
      <c r="N246">
        <v>6.97</v>
      </c>
      <c r="O246">
        <v>6.4</v>
      </c>
      <c r="P246">
        <v>4.59</v>
      </c>
      <c r="Q246">
        <v>0.96299999999999997</v>
      </c>
      <c r="R246">
        <v>1.931</v>
      </c>
      <c r="S246">
        <v>6.88</v>
      </c>
      <c r="T246">
        <v>1.702</v>
      </c>
      <c r="U246">
        <v>1.794</v>
      </c>
      <c r="V246">
        <v>15.16</v>
      </c>
      <c r="W246">
        <v>4</v>
      </c>
      <c r="X246">
        <v>6.3</v>
      </c>
      <c r="Y246">
        <v>2.86</v>
      </c>
      <c r="Z246">
        <v>19.25</v>
      </c>
      <c r="AA246">
        <v>3.85</v>
      </c>
      <c r="AB246">
        <v>3.18</v>
      </c>
      <c r="AC246">
        <v>1.25</v>
      </c>
      <c r="AD246">
        <v>0.81499999999999995</v>
      </c>
      <c r="AE246">
        <v>4.3</v>
      </c>
      <c r="AF246">
        <v>0.55000000000000004</v>
      </c>
      <c r="AG246">
        <v>0.187</v>
      </c>
      <c r="AH246">
        <v>0.54500000000000004</v>
      </c>
      <c r="AI246">
        <v>6.1</v>
      </c>
      <c r="AJ246">
        <v>1.1499999999999999</v>
      </c>
      <c r="AK246">
        <v>1.35</v>
      </c>
      <c r="AL246">
        <v>5.0999999999999997E-2</v>
      </c>
      <c r="AM246">
        <v>2.13</v>
      </c>
      <c r="AN246">
        <v>0.25900000000000001</v>
      </c>
      <c r="AO246">
        <v>1.2</v>
      </c>
      <c r="AP246">
        <v>2.58</v>
      </c>
      <c r="AQ246">
        <v>0.373</v>
      </c>
      <c r="AR246">
        <v>0.97</v>
      </c>
      <c r="AS246">
        <v>0.66800000000000004</v>
      </c>
      <c r="AT246">
        <v>0.122</v>
      </c>
      <c r="AU246">
        <v>513.07000000000005</v>
      </c>
    </row>
    <row r="247" spans="1:47">
      <c r="A247" s="39">
        <v>43914</v>
      </c>
      <c r="B247">
        <v>19.649999999999999</v>
      </c>
      <c r="C247">
        <v>11.87</v>
      </c>
      <c r="D247">
        <v>6.5750000000000002</v>
      </c>
      <c r="E247">
        <v>11.43</v>
      </c>
      <c r="F247">
        <v>5.28</v>
      </c>
      <c r="G247">
        <v>0.34200000000000003</v>
      </c>
      <c r="H247">
        <v>11.56</v>
      </c>
      <c r="I247">
        <v>0.60199999999999998</v>
      </c>
      <c r="J247">
        <v>0.92500000000000004</v>
      </c>
      <c r="K247">
        <v>5.39</v>
      </c>
      <c r="L247">
        <v>6.37</v>
      </c>
      <c r="M247" s="40">
        <v>11</v>
      </c>
      <c r="N247">
        <v>7.37</v>
      </c>
      <c r="O247">
        <v>6.65</v>
      </c>
      <c r="P247">
        <v>5.14</v>
      </c>
      <c r="Q247">
        <v>1.101</v>
      </c>
      <c r="R247">
        <v>2.2280000000000002</v>
      </c>
      <c r="S247">
        <v>6.9</v>
      </c>
      <c r="T247">
        <v>1.8560000000000001</v>
      </c>
      <c r="U247">
        <v>1.94</v>
      </c>
      <c r="V247">
        <v>16.3</v>
      </c>
      <c r="W247">
        <v>4.29</v>
      </c>
      <c r="X247">
        <v>6.9</v>
      </c>
      <c r="Y247">
        <v>3.12</v>
      </c>
      <c r="Z247">
        <v>21</v>
      </c>
      <c r="AA247">
        <v>4</v>
      </c>
      <c r="AB247">
        <v>3.335</v>
      </c>
      <c r="AC247">
        <v>1.28</v>
      </c>
      <c r="AD247">
        <v>0.85899999999999999</v>
      </c>
      <c r="AE247">
        <v>4.3899999999999997</v>
      </c>
      <c r="AF247">
        <v>0.59299999999999997</v>
      </c>
      <c r="AG247">
        <v>0.19600000000000001</v>
      </c>
      <c r="AH247">
        <v>0.62</v>
      </c>
      <c r="AI247">
        <v>6.4</v>
      </c>
      <c r="AJ247">
        <v>1.2849999999999999</v>
      </c>
      <c r="AK247">
        <v>1.395</v>
      </c>
      <c r="AL247">
        <v>5.6000000000000001E-2</v>
      </c>
      <c r="AM247">
        <v>2.1</v>
      </c>
      <c r="AN247">
        <v>0.28699999999999998</v>
      </c>
      <c r="AO247">
        <v>1.27</v>
      </c>
      <c r="AP247">
        <v>2.7</v>
      </c>
      <c r="AQ247">
        <v>0.39600000000000002</v>
      </c>
      <c r="AR247">
        <v>1.0760000000000001</v>
      </c>
      <c r="AS247">
        <v>0.71599999999999997</v>
      </c>
      <c r="AT247">
        <v>0.14399999999999999</v>
      </c>
      <c r="AU247">
        <v>552.45000000000005</v>
      </c>
    </row>
    <row r="248" spans="1:47">
      <c r="A248" s="39">
        <v>43916</v>
      </c>
      <c r="B248">
        <v>19.2</v>
      </c>
      <c r="C248">
        <v>12</v>
      </c>
      <c r="D248">
        <v>7.0750000000000002</v>
      </c>
      <c r="E248">
        <v>12.44</v>
      </c>
      <c r="F248">
        <v>5.4</v>
      </c>
      <c r="G248">
        <v>0.41799999999999998</v>
      </c>
      <c r="H248">
        <v>11.3</v>
      </c>
      <c r="I248">
        <v>0.69199999999999995</v>
      </c>
      <c r="J248">
        <v>1.1000000000000001</v>
      </c>
      <c r="K248">
        <v>5.7</v>
      </c>
      <c r="L248">
        <v>6.54</v>
      </c>
      <c r="M248" s="40">
        <v>10.42</v>
      </c>
      <c r="N248">
        <v>7.35</v>
      </c>
      <c r="O248">
        <v>6.73</v>
      </c>
      <c r="P248">
        <v>5.51</v>
      </c>
      <c r="Q248">
        <v>1.24</v>
      </c>
      <c r="R248">
        <v>2.4</v>
      </c>
      <c r="S248">
        <v>7.04</v>
      </c>
      <c r="T248">
        <v>1.97</v>
      </c>
      <c r="U248">
        <v>2</v>
      </c>
      <c r="V248">
        <v>16.5</v>
      </c>
      <c r="W248">
        <v>4.63</v>
      </c>
      <c r="X248">
        <v>6.84</v>
      </c>
      <c r="Y248">
        <v>3.33</v>
      </c>
      <c r="Z248">
        <v>21.2</v>
      </c>
      <c r="AA248">
        <v>4.16</v>
      </c>
      <c r="AB248">
        <v>3.4</v>
      </c>
      <c r="AC248">
        <v>1.3</v>
      </c>
      <c r="AD248">
        <v>0.85199999999999998</v>
      </c>
      <c r="AE248">
        <v>4.33</v>
      </c>
      <c r="AF248">
        <v>0.62</v>
      </c>
      <c r="AG248">
        <v>0.21</v>
      </c>
      <c r="AH248">
        <v>0.63200000000000001</v>
      </c>
      <c r="AI248">
        <v>6.25</v>
      </c>
      <c r="AJ248">
        <v>1.4</v>
      </c>
      <c r="AK248">
        <v>1.36</v>
      </c>
      <c r="AL248">
        <v>5.8999999999999997E-2</v>
      </c>
      <c r="AM248">
        <v>2.04</v>
      </c>
      <c r="AN248">
        <v>0.29699999999999999</v>
      </c>
      <c r="AO248">
        <v>1.27</v>
      </c>
      <c r="AP248">
        <v>2.8</v>
      </c>
      <c r="AQ248">
        <v>0.40300000000000002</v>
      </c>
      <c r="AR248">
        <v>1.18</v>
      </c>
      <c r="AS248">
        <v>0.73799999999999999</v>
      </c>
      <c r="AT248">
        <v>0.14599999999999999</v>
      </c>
      <c r="AU248">
        <v>573.35</v>
      </c>
    </row>
    <row r="249" spans="1:47">
      <c r="A249" s="39">
        <v>43917</v>
      </c>
      <c r="B249">
        <v>18.004999999999999</v>
      </c>
      <c r="C249">
        <v>11.15</v>
      </c>
      <c r="D249">
        <v>6.93</v>
      </c>
      <c r="E249">
        <v>12.1</v>
      </c>
      <c r="F249">
        <v>5.2</v>
      </c>
      <c r="G249">
        <v>0.39700000000000002</v>
      </c>
      <c r="H249">
        <v>11.18</v>
      </c>
      <c r="I249">
        <v>0.65</v>
      </c>
      <c r="J249">
        <v>1.0900000000000001</v>
      </c>
      <c r="K249">
        <v>5.58</v>
      </c>
      <c r="L249">
        <v>6.2</v>
      </c>
      <c r="M249" s="40">
        <v>10.48</v>
      </c>
      <c r="N249">
        <v>7.18</v>
      </c>
      <c r="O249">
        <v>6.71</v>
      </c>
      <c r="P249">
        <v>5.15</v>
      </c>
      <c r="Q249">
        <v>1.198</v>
      </c>
      <c r="R249">
        <v>2.2000000000000002</v>
      </c>
      <c r="S249">
        <v>7.08</v>
      </c>
      <c r="T249">
        <v>1.8240000000000001</v>
      </c>
      <c r="U249">
        <v>1.95</v>
      </c>
      <c r="V249">
        <v>15.98</v>
      </c>
      <c r="W249">
        <v>4.1900000000000004</v>
      </c>
      <c r="X249">
        <v>6.56</v>
      </c>
      <c r="Y249">
        <v>3.4350000000000001</v>
      </c>
      <c r="Z249">
        <v>20.399999999999999</v>
      </c>
      <c r="AA249">
        <v>4.07</v>
      </c>
      <c r="AB249">
        <v>3.2450000000000001</v>
      </c>
      <c r="AC249">
        <v>1.274</v>
      </c>
      <c r="AD249">
        <v>0.79</v>
      </c>
      <c r="AE249">
        <v>4.3499999999999996</v>
      </c>
      <c r="AF249">
        <v>0.58499999999999996</v>
      </c>
      <c r="AG249">
        <v>0.19500000000000001</v>
      </c>
      <c r="AH249">
        <v>0.629</v>
      </c>
      <c r="AI249">
        <v>6.1</v>
      </c>
      <c r="AJ249">
        <v>1.48</v>
      </c>
      <c r="AK249">
        <v>1.3</v>
      </c>
      <c r="AL249">
        <v>5.3999999999999999E-2</v>
      </c>
      <c r="AM249">
        <v>2.12</v>
      </c>
      <c r="AN249">
        <v>0.28100000000000003</v>
      </c>
      <c r="AO249">
        <v>1.33</v>
      </c>
      <c r="AP249">
        <v>2.8</v>
      </c>
      <c r="AQ249">
        <v>0.39700000000000002</v>
      </c>
      <c r="AR249">
        <v>1.1659999999999999</v>
      </c>
      <c r="AS249">
        <v>0.72399999999999998</v>
      </c>
      <c r="AT249">
        <v>0.13500000000000001</v>
      </c>
      <c r="AU249">
        <v>550.85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74370-8396-4FAA-8B94-48FB2C2C145B}">
  <sheetPr>
    <tabColor theme="7" tint="0.79998168889431442"/>
  </sheetPr>
  <dimension ref="A1:AU248"/>
  <sheetViews>
    <sheetView topLeftCell="B1" zoomScale="83" zoomScaleNormal="83" workbookViewId="0">
      <selection activeCell="D248" sqref="D248"/>
    </sheetView>
  </sheetViews>
  <sheetFormatPr baseColWidth="10" defaultColWidth="8.6640625" defaultRowHeight="15"/>
  <cols>
    <col min="1" max="1" width="11.6640625" style="44" bestFit="1" customWidth="1"/>
    <col min="2" max="28" width="8.83203125" style="43" bestFit="1" customWidth="1"/>
    <col min="29" max="29" width="8.83203125" style="43" customWidth="1"/>
    <col min="30" max="46" width="8.83203125" style="43" bestFit="1" customWidth="1"/>
    <col min="47" max="47" width="19.33203125" style="43" bestFit="1" customWidth="1"/>
    <col min="48" max="16384" width="8.6640625" style="43"/>
  </cols>
  <sheetData>
    <row r="1" spans="1:47">
      <c r="B1" s="56" t="s">
        <v>6</v>
      </c>
      <c r="C1" s="56" t="s">
        <v>47</v>
      </c>
      <c r="D1" s="20" t="s">
        <v>43</v>
      </c>
      <c r="E1" s="56" t="s">
        <v>12</v>
      </c>
      <c r="F1" s="56" t="s">
        <v>35</v>
      </c>
      <c r="G1" s="56" t="s">
        <v>8</v>
      </c>
      <c r="H1" s="56" t="s">
        <v>39</v>
      </c>
      <c r="I1" s="56" t="s">
        <v>4</v>
      </c>
      <c r="J1" s="56" t="s">
        <v>30</v>
      </c>
      <c r="K1" s="20" t="s">
        <v>14</v>
      </c>
      <c r="L1" s="56" t="s">
        <v>41</v>
      </c>
      <c r="M1" s="20" t="s">
        <v>16</v>
      </c>
      <c r="N1" s="56" t="s">
        <v>49</v>
      </c>
      <c r="O1" s="56" t="s">
        <v>37</v>
      </c>
      <c r="P1" s="20" t="s">
        <v>24</v>
      </c>
      <c r="Q1" s="56" t="s">
        <v>51</v>
      </c>
      <c r="R1" s="56" t="s">
        <v>28</v>
      </c>
      <c r="S1" s="56" t="s">
        <v>26</v>
      </c>
      <c r="T1" s="56" t="s">
        <v>18</v>
      </c>
      <c r="U1" s="56" t="s">
        <v>20</v>
      </c>
      <c r="V1" s="56" t="s">
        <v>45</v>
      </c>
      <c r="W1" s="20" t="s">
        <v>22</v>
      </c>
      <c r="X1" s="20" t="s">
        <v>65</v>
      </c>
      <c r="Y1" s="20" t="s">
        <v>31</v>
      </c>
      <c r="Z1" s="56" t="s">
        <v>85</v>
      </c>
      <c r="AA1" s="20" t="s">
        <v>55</v>
      </c>
      <c r="AB1" s="56" t="s">
        <v>10</v>
      </c>
      <c r="AC1" s="20" t="s">
        <v>71</v>
      </c>
      <c r="AD1" s="20" t="s">
        <v>57</v>
      </c>
      <c r="AE1" s="56" t="s">
        <v>81</v>
      </c>
      <c r="AF1" s="20" t="s">
        <v>33</v>
      </c>
      <c r="AG1" s="56" t="s">
        <v>53</v>
      </c>
      <c r="AH1" s="20" t="s">
        <v>73</v>
      </c>
      <c r="AI1" s="20" t="s">
        <v>59</v>
      </c>
      <c r="AJ1" s="56" t="s">
        <v>91</v>
      </c>
      <c r="AK1" s="20" t="s">
        <v>89</v>
      </c>
      <c r="AL1" s="20" t="s">
        <v>61</v>
      </c>
      <c r="AM1" s="20" t="s">
        <v>87</v>
      </c>
      <c r="AN1" s="20" t="s">
        <v>67</v>
      </c>
      <c r="AO1" s="20" t="s">
        <v>69</v>
      </c>
      <c r="AP1" s="20" t="s">
        <v>63</v>
      </c>
      <c r="AQ1" s="20" t="s">
        <v>75</v>
      </c>
      <c r="AR1" s="20" t="s">
        <v>83</v>
      </c>
      <c r="AS1" s="20" t="s">
        <v>77</v>
      </c>
      <c r="AT1" s="20" t="s">
        <v>79</v>
      </c>
      <c r="AU1" s="42" t="s">
        <v>110</v>
      </c>
    </row>
    <row r="2" spans="1:47">
      <c r="A2" s="41">
        <v>43552</v>
      </c>
      <c r="B2" s="43">
        <f>LN('2.ΤΙΜΕΣ ΚΛΕΙΣΙΜΑΤΟΣ'!B3/'2.ΤΙΜΕΣ ΚΛΕΙΣΙΜΑΤΟΣ'!B2)</f>
        <v>1.9556720705107473E-3</v>
      </c>
      <c r="C2" s="43">
        <f>LN('2.ΤΙΜΕΣ ΚΛΕΙΣΙΜΑΤΟΣ'!C3/'2.ΤΙΜΕΣ ΚΛΕΙΣΙΜΑΤΟΣ'!C2)</f>
        <v>2.2892055187478333E-2</v>
      </c>
      <c r="D2" s="43">
        <f>LN('2.ΤΙΜΕΣ ΚΛΕΙΣΙΜΑΤΟΣ'!D3/'2.ΤΙΜΕΣ ΚΛΕΙΣΙΜΑΤΟΣ'!D2)</f>
        <v>2.0152943582152701E-2</v>
      </c>
      <c r="E2" s="43">
        <f>LN('2.ΤΙΜΕΣ ΚΛΕΙΣΙΜΑΤΟΣ'!E3/'2.ΤΙΜΕΣ ΚΛΕΙΣΙΜΑΤΟΣ'!E2)</f>
        <v>2.1681066061323948E-2</v>
      </c>
      <c r="F2" s="43">
        <f>LN('2.ΤΙΜΕΣ ΚΛΕΙΣΙΜΑΤΟΣ'!F3/'2.ΤΙΜΕΣ ΚΛΕΙΣΙΜΑΤΟΣ'!F2)</f>
        <v>2.3529422620268358E-3</v>
      </c>
      <c r="G2" s="43">
        <f>LN('2.ΤΙΜΕΣ ΚΛΕΙΣΙΜΑΤΟΣ'!G3/'2.ΤΙΜΕΣ ΚΛΕΙΣΙΜΑΤΟΣ'!G2)</f>
        <v>1.4684551682921099E-2</v>
      </c>
      <c r="H2" s="43">
        <f>LN('2.ΤΙΜΕΣ ΚΛΕΙΣΙΜΑΤΟΣ'!H3/'2.ΤΙΜΕΣ ΚΛΕΙΣΙΜΑΤΟΣ'!H2)</f>
        <v>-7.2029122940579973E-3</v>
      </c>
      <c r="I2" s="43">
        <f>LN('2.ΤΙΜΕΣ ΚΛΕΙΣΙΜΑΤΟΣ'!I3/'2.ΤΙΜΕΣ ΚΛΕΙΣΙΜΑΤΟΣ'!I2)</f>
        <v>0</v>
      </c>
      <c r="J2" s="43">
        <f>LN('2.ΤΙΜΕΣ ΚΛΕΙΣΙΜΑΤΟΣ'!J3/'2.ΤΙΜΕΣ ΚΛΕΙΣΙΜΑΤΟΣ'!J2)</f>
        <v>-2.6878051964391303E-2</v>
      </c>
      <c r="K2" s="43">
        <f>LN('2.ΤΙΜΕΣ ΚΛΕΙΣΙΜΑΤΟΣ'!K3/'2.ΤΙΜΕΣ ΚΛΕΙΣΙΜΑΤΟΣ'!K2)</f>
        <v>-1.2547216052088528E-2</v>
      </c>
      <c r="L2" s="43">
        <f>LN('2.ΤΙΜΕΣ ΚΛΕΙΣΙΜΑΤΟΣ'!L3/'2.ΤΙΜΕΣ ΚΛΕΙΣΙΜΑΤΟΣ'!L2)</f>
        <v>-1.8018505502678365E-2</v>
      </c>
      <c r="M2" s="43">
        <f>LN('2.ΤΙΜΕΣ ΚΛΕΙΣΙΜΑΤΟΣ'!M3/'2.ΤΙΜΕΣ ΚΛΕΙΣΙΜΑΤΟΣ'!M2)</f>
        <v>9.4192219164915582E-3</v>
      </c>
      <c r="N2" s="43">
        <f>LN('2.ΤΙΜΕΣ ΚΛΕΙΣΙΜΑΤΟΣ'!N3/'2.ΤΙΜΕΣ ΚΛΕΙΣΙΜΑΤΟΣ'!N2)</f>
        <v>-1.7051249872658693E-2</v>
      </c>
      <c r="O2" s="43">
        <f>LN('2.ΤΙΜΕΣ ΚΛΕΙΣΙΜΑΤΟΣ'!O3/'2.ΤΙΜΕΣ ΚΛΕΙΣΙΜΑΤΟΣ'!O2)</f>
        <v>-1.2951152347078006E-2</v>
      </c>
      <c r="P2" s="43">
        <f>LN('2.ΤΙΜΕΣ ΚΛΕΙΣΙΜΑΤΟΣ'!P3/'2.ΤΙΜΕΣ ΚΛΕΙΣΙΜΑΤΟΣ'!P2)</f>
        <v>-1.5968403178731112E-2</v>
      </c>
      <c r="Q2" s="43">
        <f>LN('2.ΤΙΜΕΣ ΚΛΕΙΣΙΜΑΤΟΣ'!Q3/'2.ΤΙΜΕΣ ΚΛΕΙΣΙΜΑΤΟΣ'!Q2)</f>
        <v>-9.1173445492761917E-3</v>
      </c>
      <c r="R2" s="43">
        <f>LN('2.ΤΙΜΕΣ ΚΛΕΙΣΙΜΑΤΟΣ'!R3/'2.ΤΙΜΕΣ ΚΛΕΙΣΙΜΑΤΟΣ'!R2)</f>
        <v>1.9187725746221929E-3</v>
      </c>
      <c r="S2" s="43">
        <f>LN('2.ΤΙΜΕΣ ΚΛΕΙΣΙΜΑΤΟΣ'!S3/'2.ΤΙΜΕΣ ΚΛΕΙΣΙΜΑΤΟΣ'!S2)</f>
        <v>-1.9635974516858962E-2</v>
      </c>
      <c r="T2" s="43">
        <f>LN('2.ΤΙΜΕΣ ΚΛΕΙΣΙΜΑΤΟΣ'!T3/'2.ΤΙΜΕΣ ΚΛΕΙΣΙΜΑΤΟΣ'!T2)</f>
        <v>-4.633212921488143E-3</v>
      </c>
      <c r="U2" s="43">
        <f>LN('2.ΤΙΜΕΣ ΚΛΕΙΣΙΜΑΤΟΣ'!U3/'2.ΤΙΜΕΣ ΚΛΕΙΣΙΜΑΤΟΣ'!U2)</f>
        <v>-1.7192400540372875E-2</v>
      </c>
      <c r="V2" s="43">
        <f>LN('2.ΤΙΜΕΣ ΚΛΕΙΣΙΜΑΤΟΣ'!V3/'2.ΤΙΜΕΣ ΚΛΕΙΣΙΜΑΤΟΣ'!V2)</f>
        <v>-6.0569537081897962E-3</v>
      </c>
      <c r="W2" s="43">
        <f>LN('2.ΤΙΜΕΣ ΚΛΕΙΣΙΜΑΤΟΣ'!W3/'2.ΤΙΜΕΣ ΚΛΕΙΣΙΜΑΤΟΣ'!W2)</f>
        <v>-7.5662403833158132E-3</v>
      </c>
      <c r="X2" s="43">
        <f>LN('2.ΤΙΜΕΣ ΚΛΕΙΣΙΜΑΤΟΣ'!X3/'2.ΤΙΜΕΣ ΚΛΕΙΣΙΜΑΤΟΣ'!X2)</f>
        <v>0</v>
      </c>
      <c r="Y2" s="43">
        <f>LN('2.ΤΙΜΕΣ ΚΛΕΙΣΙΜΑΤΟΣ'!Y3/'2.ΤΙΜΕΣ ΚΛΕΙΣΙΜΑΤΟΣ'!Y2)</f>
        <v>5.9276996332752064E-3</v>
      </c>
      <c r="Z2" s="43">
        <f>LN('2.ΤΙΜΕΣ ΚΛΕΙΣΙΜΑΤΟΣ'!Z3/'2.ΤΙΜΕΣ ΚΛΕΙΣΙΜΑΤΟΣ'!Z2)</f>
        <v>0</v>
      </c>
      <c r="AA2" s="43">
        <f>LN('2.ΤΙΜΕΣ ΚΛΕΙΣΙΜΑΤΟΣ'!AA3/'2.ΤΙΜΕΣ ΚΛΕΙΣΙΜΑΤΟΣ'!AA2)</f>
        <v>-1.8519047767237642E-2</v>
      </c>
      <c r="AB2" s="43">
        <f>LN('2.ΤΙΜΕΣ ΚΛΕΙΣΙΜΑΤΟΣ'!AB3/'2.ΤΙΜΕΣ ΚΛΕΙΣΙΜΑΤΟΣ'!AB2)</f>
        <v>1.9821612039912025E-3</v>
      </c>
      <c r="AC2" s="43">
        <f>LN('2.ΤΙΜΕΣ ΚΛΕΙΣΙΜΑΤΟΣ'!AC3/'2.ΤΙΜΕΣ ΚΛΕΙΣΙΜΑΤΟΣ'!AC2)</f>
        <v>-1.077209698191107E-2</v>
      </c>
      <c r="AD2" s="43">
        <f>LN('2.ΤΙΜΕΣ ΚΛΕΙΣΙΜΑΤΟΣ'!AD3/'2.ΤΙΜΕΣ ΚΛΕΙΣΙΜΑΤΟΣ'!AD2)</f>
        <v>0</v>
      </c>
      <c r="AE2" s="43">
        <f>LN('2.ΤΙΜΕΣ ΚΛΕΙΣΙΜΑΤΟΣ'!AE3/'2.ΤΙΜΕΣ ΚΛΕΙΣΙΜΑΤΟΣ'!AE2)</f>
        <v>-1.7204725449630833E-2</v>
      </c>
      <c r="AF2" s="43">
        <f>LN('2.ΤΙΜΕΣ ΚΛΕΙΣΙΜΑΤΟΣ'!AF3/'2.ΤΙΜΕΣ ΚΛΕΙΣΙΜΑΤΟΣ'!AF2)</f>
        <v>-6.3653938670760711E-3</v>
      </c>
      <c r="AG2" s="43">
        <f>LN('2.ΤΙΜΕΣ ΚΛΕΙΣΙΜΑΤΟΣ'!AG3/'2.ΤΙΜΕΣ ΚΛΕΙΣΙΜΑΤΟΣ'!AG2)</f>
        <v>-1.5915455305899568E-2</v>
      </c>
      <c r="AH2" s="43">
        <f>LN('2.ΤΙΜΕΣ ΚΛΕΙΣΙΜΑΤΟΣ'!AH3/'2.ΤΙΜΕΣ ΚΛΕΙΣΙΜΑΤΟΣ'!AH2)</f>
        <v>2.3530497410194036E-2</v>
      </c>
      <c r="AI2" s="43">
        <f>LN('2.ΤΙΜΕΣ ΚΛΕΙΣΙΜΑΤΟΣ'!AI3/'2.ΤΙΜΕΣ ΚΛΕΙΣΙΜΑΤΟΣ'!AI2)</f>
        <v>0</v>
      </c>
      <c r="AJ2" s="43">
        <f>LN('2.ΤΙΜΕΣ ΚΛΕΙΣΙΜΑΤΟΣ'!AJ3/'2.ΤΙΜΕΣ ΚΛΕΙΣΙΜΑΤΟΣ'!AJ2)</f>
        <v>-1.0869672236903879E-2</v>
      </c>
      <c r="AK2" s="43">
        <f>LN('2.ΤΙΜΕΣ ΚΛΕΙΣΙΜΑΤΟΣ'!AK3/'2.ΤΙΜΕΣ ΚΛΕΙΣΙΜΑΤΟΣ'!AK2)</f>
        <v>-8.9686699827603751E-3</v>
      </c>
      <c r="AL2" s="43">
        <f>LN('2.ΤΙΜΕΣ ΚΛΕΙΣΙΜΑΤΟΣ'!AL3/'2.ΤΙΜΕΣ ΚΛΕΙΣΙΜΑΤΟΣ'!AL2)</f>
        <v>0</v>
      </c>
      <c r="AM2" s="43">
        <f>LN('2.ΤΙΜΕΣ ΚΛΕΙΣΙΜΑΤΟΣ'!AM3/'2.ΤΙΜΕΣ ΚΛΕΙΣΙΜΑΤΟΣ'!AM2)</f>
        <v>-2.3894873973815786E-3</v>
      </c>
      <c r="AN2" s="43">
        <f>LN('2.ΤΙΜΕΣ ΚΛΕΙΣΙΜΑΤΟΣ'!AN3/'2.ΤΙΜΕΣ ΚΛΕΙΣΙΜΑΤΟΣ'!AN2)</f>
        <v>-7.2320661579626133E-2</v>
      </c>
      <c r="AO2" s="43">
        <f>LN('2.ΤΙΜΕΣ ΚΛΕΙΣΙΜΑΤΟΣ'!AO3/'2.ΤΙΜΕΣ ΚΛΕΙΣΙΜΑΤΟΣ'!AO2)</f>
        <v>-1.3423020332140661E-2</v>
      </c>
      <c r="AP2" s="43">
        <f>LN('2.ΤΙΜΕΣ ΚΛΕΙΣΙΜΑΤΟΣ'!AP3/'2.ΤΙΜΕΣ ΚΛΕΙΣΙΜΑΤΟΣ'!AP2)</f>
        <v>1.4749529926062207E-2</v>
      </c>
      <c r="AQ2" s="43">
        <f>LN('2.ΤΙΜΕΣ ΚΛΕΙΣΙΜΑΤΟΣ'!AQ3/'2.ΤΙΜΕΣ ΚΛΕΙΣΙΜΑΤΟΣ'!AQ2)</f>
        <v>-2.9494218751214912E-2</v>
      </c>
      <c r="AR2" s="43">
        <f>LN('2.ΤΙΜΕΣ ΚΛΕΙΣΙΜΑΤΟΣ'!AR3/'2.ΤΙΜΕΣ ΚΛΕΙΣΙΜΑΤΟΣ'!AR2)</f>
        <v>2.3810648693718607E-2</v>
      </c>
      <c r="AS2" s="43">
        <f>LN('2.ΤΙΜΕΣ ΚΛΕΙΣΙΜΑΤΟΣ'!AS3/'2.ΤΙΜΕΣ ΚΛΕΙΣΙΜΑΤΟΣ'!AS2)</f>
        <v>-1.1741817876683174E-2</v>
      </c>
      <c r="AT2" s="43">
        <f>LN('2.ΤΙΜΕΣ ΚΛΕΙΣΙΜΑΤΟΣ'!AT3/'2.ΤΙΜΕΣ ΚΛΕΙΣΙΜΑΤΟΣ'!AT2)</f>
        <v>-3.5367143837291358E-2</v>
      </c>
      <c r="AU2" s="43">
        <f>LN('2.ΤΙΜΕΣ ΚΛΕΙΣΙΜΑΤΟΣ'!AU3/'2.ΤΙΜΕΣ ΚΛΕΙΣΙΜΑΤΟΣ'!AU2)</f>
        <v>-9.808111315924208E-5</v>
      </c>
    </row>
    <row r="3" spans="1:47">
      <c r="A3" s="41">
        <v>43553</v>
      </c>
      <c r="B3" s="43">
        <f>LN('2.ΤΙΜΕΣ ΚΛΕΙΣΙΜΑΤΟΣ'!B4/'2.ΤΙΜΕΣ ΚΛΕΙΣΙΜΑΤΟΣ'!B3)</f>
        <v>-8.1739869857152779E-3</v>
      </c>
      <c r="C3" s="43">
        <f>LN('2.ΤΙΜΕΣ ΚΛΕΙΣΙΜΑΤΟΣ'!C4/'2.ΤΙΜΕΣ ΚΛΕΙΣΙΜΑΤΟΣ'!C3)</f>
        <v>8.3787185463115568E-4</v>
      </c>
      <c r="D3" s="43">
        <f>LN('2.ΤΙΜΕΣ ΚΛΕΙΣΙΜΑΤΟΣ'!D4/'2.ΤΙΜΕΣ ΚΛΕΙΣΙΜΑΤΟΣ'!D3)</f>
        <v>1.8667501560250377E-2</v>
      </c>
      <c r="E3" s="43">
        <f>LN('2.ΤΙΜΕΣ ΚΛΕΙΣΙΜΑΤΟΣ'!E4/'2.ΤΙΜΕΣ ΚΛΕΙΣΙΜΑΤΟΣ'!E3)</f>
        <v>-1.3413818242013361E-3</v>
      </c>
      <c r="F3" s="43">
        <f>LN('2.ΤΙΜΕΣ ΚΛΕΙΣΙΜΑΤΟΣ'!F4/'2.ΤΙΜΕΣ ΚΛΕΙΣΙΜΑΤΟΣ'!F3)</f>
        <v>4.6893403633861208E-3</v>
      </c>
      <c r="G3" s="43">
        <f>LN('2.ΤΙΜΕΣ ΚΛΕΙΣΙΜΑΤΟΣ'!G4/'2.ΤΙΜΕΣ ΚΛΕΙΣΙΜΑΤΟΣ'!G3)</f>
        <v>3.0153038170687457E-2</v>
      </c>
      <c r="H3" s="43">
        <f>LN('2.ΤΙΜΕΣ ΚΛΕΙΣΙΜΑΤΟΣ'!H4/'2.ΤΙΜΕΣ ΚΛΕΙΣΙΜΑΤΟΣ'!H3)</f>
        <v>-2.4125464053839896E-3</v>
      </c>
      <c r="I3" s="43">
        <f>LN('2.ΤΙΜΕΣ ΚΛΕΙΣΙΜΑΤΟΣ'!I4/'2.ΤΙΜΕΣ ΚΛΕΙΣΙΜΑΤΟΣ'!I3)</f>
        <v>1.1410066738030959E-2</v>
      </c>
      <c r="J3" s="43">
        <f>LN('2.ΤΙΜΕΣ ΚΛΕΙΣΙΜΑΤΟΣ'!J4/'2.ΤΙΜΕΣ ΚΛΕΙΣΙΜΑΤΟΣ'!J3)</f>
        <v>3.3325527555361001E-2</v>
      </c>
      <c r="K3" s="43">
        <f>LN('2.ΤΙΜΕΣ ΚΛΕΙΣΙΜΑΤΟΣ'!K4/'2.ΤΙΜΕΣ ΚΛΕΙΣΙΜΑΤΟΣ'!K3)</f>
        <v>1.5701007362315708E-2</v>
      </c>
      <c r="L3" s="43">
        <f>LN('2.ΤΙΜΕΣ ΚΛΕΙΣΙΜΑΤΟΣ'!L4/'2.ΤΙΜΕΣ ΚΛΕΙΣΙΜΑΤΟΣ'!L3)</f>
        <v>2.3583350136085597E-2</v>
      </c>
      <c r="M3" s="43">
        <f>LN('2.ΤΙΜΕΣ ΚΛΕΙΣΙΜΑΤΟΣ'!M4/'2.ΤΙΜΕΣ ΚΛΕΙΣΙΜΑΤΟΣ'!M3)</f>
        <v>3.1201273362436777E-3</v>
      </c>
      <c r="N3" s="43">
        <f>LN('2.ΤΙΜΕΣ ΚΛΕΙΣΙΜΑΤΟΣ'!N4/'2.ΤΙΜΕΣ ΚΛΕΙΣΙΜΑΤΟΣ'!N3)</f>
        <v>6.3492276786587445E-3</v>
      </c>
      <c r="O3" s="43">
        <f>LN('2.ΤΙΜΕΣ ΚΛΕΙΣΙΜΑΤΟΣ'!O4/'2.ΤΙΜΕΣ ΚΛΕΙΣΙΜΑΤΟΣ'!O3)</f>
        <v>2.2100347000665922E-2</v>
      </c>
      <c r="P3" s="43">
        <f>LN('2.ΤΙΜΕΣ ΚΛΕΙΣΙΜΑΤΟΣ'!P4/'2.ΤΙΜΕΣ ΚΛΕΙΣΙΜΑΤΟΣ'!P3)</f>
        <v>-1.0111309604320566E-2</v>
      </c>
      <c r="Q3" s="43">
        <f>LN('2.ΤΙΜΕΣ ΚΛΕΙΣΙΜΑΤΟΣ'!Q4/'2.ΤΙΜΕΣ ΚΛΕΙΣΙΜΑΤΟΣ'!Q3)</f>
        <v>1.4055626189858721E-2</v>
      </c>
      <c r="R3" s="43">
        <f>LN('2.ΤΙΜΕΣ ΚΛΕΙΣΙΜΑΤΟΣ'!R4/'2.ΤΙΜΕΣ ΚΛΕΙΣΙΜΑΤΟΣ'!R3)</f>
        <v>-8.9859397977147294E-3</v>
      </c>
      <c r="S3" s="43">
        <f>LN('2.ΤΙΜΕΣ ΚΛΕΙΣΙΜΑΤΟΣ'!S4/'2.ΤΙΜΕΣ ΚΛΕΙΣΙΜΑΤΟΣ'!S3)</f>
        <v>-2.8368813351996149E-3</v>
      </c>
      <c r="T3" s="43">
        <f>LN('2.ΤΙΜΕΣ ΚΛΕΙΣΙΜΑΤΟΣ'!T4/'2.ΤΙΜΕΣ ΚΛΕΙΣΙΜΑΤΟΣ'!T3)</f>
        <v>1.0777625493829336E-2</v>
      </c>
      <c r="U3" s="43">
        <f>LN('2.ΤΙΜΕΣ ΚΛΕΙΣΙΜΑΤΟΣ'!U4/'2.ΤΙΜΕΣ ΚΛΕΙΣΙΜΑΤΟΣ'!U3)</f>
        <v>-2.3148158484513751E-3</v>
      </c>
      <c r="V3" s="43">
        <f>LN('2.ΤΙΜΕΣ ΚΛΕΙΣΙΜΑΤΟΣ'!V4/'2.ΤΙΜΕΣ ΚΛΕΙΣΙΜΑΤΟΣ'!V3)</f>
        <v>2.2823813565256913E-2</v>
      </c>
      <c r="W3" s="43">
        <f>LN('2.ΤΙΜΕΣ ΚΛΕΙΣΙΜΑΤΟΣ'!W4/'2.ΤΙΜΕΣ ΚΛΕΙΣΙΜΑΤΟΣ'!W3)</f>
        <v>4.5771749562623948E-2</v>
      </c>
      <c r="X3" s="43">
        <f>LN('2.ΤΙΜΕΣ ΚΛΕΙΣΙΜΑΤΟΣ'!X4/'2.ΤΙΜΕΣ ΚΛΕΙΣΙΜΑΤΟΣ'!X3)</f>
        <v>0</v>
      </c>
      <c r="Y3" s="43">
        <f>LN('2.ΤΙΜΕΣ ΚΛΕΙΣΙΜΑΤΟΣ'!Y4/'2.ΤΙΜΕΣ ΚΛΕΙΣΙΜΑΤΟΣ'!Y3)</f>
        <v>1.4084739881738802E-2</v>
      </c>
      <c r="Z3" s="43">
        <f>LN('2.ΤΙΜΕΣ ΚΛΕΙΣΙΜΑΤΟΣ'!Z4/'2.ΤΙΜΕΣ ΚΛΕΙΣΙΜΑΤΟΣ'!Z3)</f>
        <v>0</v>
      </c>
      <c r="AA3" s="43">
        <f>LN('2.ΤΙΜΕΣ ΚΛΕΙΣΙΜΑΤΟΣ'!AA4/'2.ΤΙΜΕΣ ΚΛΕΙΣΙΜΑΤΟΣ'!AA3)</f>
        <v>9.3023926623136306E-3</v>
      </c>
      <c r="AB3" s="43">
        <f>LN('2.ΤΙΜΕΣ ΚΛΕΙΣΙΜΑΤΟΣ'!AB4/'2.ΤΙΜΕΣ ΚΛΕΙΣΙΜΑΤΟΣ'!AB3)</f>
        <v>0</v>
      </c>
      <c r="AC3" s="43">
        <f>LN('2.ΤΙΜΕΣ ΚΛΕΙΣΙΜΑΤΟΣ'!AC4/'2.ΤΙΜΕΣ ΚΛΕΙΣΙΜΑΤΟΣ'!AC3)</f>
        <v>2.4956731973867458E-2</v>
      </c>
      <c r="AD3" s="43">
        <f>LN('2.ΤΙΜΕΣ ΚΛΕΙΣΙΜΑΤΟΣ'!AD4/'2.ΤΙΜΕΣ ΚΛΕΙΣΙΜΑΤΟΣ'!AD3)</f>
        <v>1.3964540350372541E-2</v>
      </c>
      <c r="AE3" s="43">
        <f>LN('2.ΤΙΜΕΣ ΚΛΕΙΣΙΜΑΤΟΣ'!AE4/'2.ΤΙΜΕΣ ΚΛΕΙΣΙΜΑΤΟΣ'!AE3)</f>
        <v>4.0388060905288029E-2</v>
      </c>
      <c r="AF3" s="43">
        <f>LN('2.ΤΙΜΕΣ ΚΛΕΙΣΙΜΑΤΟΣ'!AF4/'2.ΤΙΜΕΣ ΚΛΕΙΣΙΜΑΤΟΣ'!AF3)</f>
        <v>3.3901551675681416E-2</v>
      </c>
      <c r="AG3" s="43">
        <f>LN('2.ΤΙΜΕΣ ΚΛΕΙΣΙΜΑΤΟΣ'!AG4/'2.ΤΙΜΕΣ ΚΛΕΙΣΙΜΑΤΟΣ'!AG3)</f>
        <v>3.6749542208741437E-2</v>
      </c>
      <c r="AH3" s="43">
        <f>LN('2.ΤΙΜΕΣ ΚΛΕΙΣΙΜΑΤΟΣ'!AH4/'2.ΤΙΜΕΣ ΚΛΕΙΣΙΜΑΤΟΣ'!AH3)</f>
        <v>-1.1696039763191411E-2</v>
      </c>
      <c r="AI3" s="43">
        <f>LN('2.ΤΙΜΕΣ ΚΛΕΙΣΙΜΑΤΟΣ'!AI4/'2.ΤΙΜΕΣ ΚΛΕΙΣΙΜΑΤΟΣ'!AI3)</f>
        <v>-8.2988028146950658E-3</v>
      </c>
      <c r="AJ3" s="43">
        <f>LN('2.ΤΙΜΕΣ ΚΛΕΙΣΙΜΑΤΟΣ'!AJ4/'2.ΤΙΜΕΣ ΚΛΕΙΣΙΜΑΤΟΣ'!AJ3)</f>
        <v>8.8831213706615633E-2</v>
      </c>
      <c r="AK3" s="43">
        <f>LN('2.ΤΙΜΕΣ ΚΛΕΙΣΙΜΑΤΟΣ'!AK4/'2.ΤΙΜΕΣ ΚΛΕΙΣΙΜΑΤΟΣ'!AK3)</f>
        <v>8.9686699827603161E-3</v>
      </c>
      <c r="AL3" s="43">
        <f>LN('2.ΤΙΜΕΣ ΚΛΕΙΣΙΜΑΤΟΣ'!AL4/'2.ΤΙΜΕΣ ΚΛΕΙΣΙΜΑΤΟΣ'!AL3)</f>
        <v>1.242251999855711E-2</v>
      </c>
      <c r="AM3" s="43">
        <f>LN('2.ΤΙΜΕΣ ΚΛΕΙΣΙΜΑΤΟΣ'!AM4/'2.ΤΙΜΕΣ ΚΛΕΙΣΙΜΑΤΟΣ'!AM3)</f>
        <v>-7.2029122940578854E-3</v>
      </c>
      <c r="AN3" s="43">
        <f>LN('2.ΤΙΜΕΣ ΚΛΕΙΣΙΜΑΤΟΣ'!AN4/'2.ΤΙΜΕΣ ΚΛΕΙΣΙΜΑΤΟΣ'!AN3)</f>
        <v>5.6695343676545294E-2</v>
      </c>
      <c r="AO3" s="43">
        <f>LN('2.ΤΙΜΕΣ ΚΛΕΙΣΙΜΑΤΟΣ'!AO4/'2.ΤΙΜΕΣ ΚΛΕΙΣΙΜΑΤΟΣ'!AO3)</f>
        <v>6.7340321813441194E-3</v>
      </c>
      <c r="AP3" s="43">
        <f>LN('2.ΤΙΜΕΣ ΚΛΕΙΣΙΜΑΤΟΣ'!AP4/'2.ΤΙΜΕΣ ΚΛΕΙΣΙΜΑΤΟΣ'!AP3)</f>
        <v>9.7135295066433855E-3</v>
      </c>
      <c r="AQ3" s="43">
        <f>LN('2.ΤΙΜΕΣ ΚΛΕΙΣΙΜΑΤΟΣ'!AQ4/'2.ΤΙΜΕΣ ΚΛΕΙΣΙΜΑΤΟΣ'!AQ3)</f>
        <v>3.0570066084677931E-2</v>
      </c>
      <c r="AR3" s="43">
        <f>LN('2.ΤΙΜΕΣ ΚΛΕΙΣΙΜΑΤΟΣ'!AR4/'2.ΤΙΜΕΣ ΚΛΕΙΣΙΜΑΤΟΣ'!AR3)</f>
        <v>0</v>
      </c>
      <c r="AS3" s="43">
        <f>LN('2.ΤΙΜΕΣ ΚΛΕΙΣΙΜΑΤΟΣ'!AS4/'2.ΤΙΜΕΣ ΚΛΕΙΣΙΜΑΤΟΣ'!AS3)</f>
        <v>0</v>
      </c>
      <c r="AT3" s="43">
        <f>LN('2.ΤΙΜΕΣ ΚΛΕΙΣΙΜΑΤΟΣ'!AT4/'2.ΤΙΜΕΣ ΚΛΕΙΣΙΜΑΤΟΣ'!AT3)</f>
        <v>2.3716526617316065E-2</v>
      </c>
      <c r="AU3" s="43">
        <f>LN('2.ΤΙΜΕΣ ΚΛΕΙΣΙΜΑΤΟΣ'!AU4/'2.ΤΙΜΕΣ ΚΛΕΙΣΙΜΑΤΟΣ'!AU3)</f>
        <v>1.0745523350643587E-2</v>
      </c>
    </row>
    <row r="4" spans="1:47">
      <c r="A4" s="41">
        <v>43556</v>
      </c>
      <c r="B4" s="43">
        <f>LN('2.ΤΙΜΕΣ ΚΛΕΙΣΙΜΑΤΟΣ'!B5/'2.ΤΙΜΕΣ ΚΛΕΙΣΙΜΑΤΟΣ'!B4)</f>
        <v>3.2824553060184372E-4</v>
      </c>
      <c r="C4" s="43">
        <f>LN('2.ΤΙΜΕΣ ΚΛΕΙΣΙΜΑΤΟΣ'!C5/'2.ΤΙΜΕΣ ΚΛΕΙΣΙΜΑΤΟΣ'!C4)</f>
        <v>5.0125418235444138E-3</v>
      </c>
      <c r="D4" s="43">
        <f>LN('2.ΤΙΜΕΣ ΚΛΕΙΣΙΜΑΤΟΣ'!D5/'2.ΤΙΜΕΣ ΚΛΕΙΣΙΜΑΤΟΣ'!D4)</f>
        <v>1.0820274361708076E-2</v>
      </c>
      <c r="E4" s="43">
        <f>LN('2.ΤΙΜΕΣ ΚΛΕΙΣΙΜΑΤΟΣ'!E5/'2.ΤΙΜΕΣ ΚΛΕΙΣΙΜΑΤΟΣ'!E4)</f>
        <v>-1.3431835464676259E-3</v>
      </c>
      <c r="F4" s="43">
        <f>LN('2.ΤΙΜΕΣ ΚΛΕΙΣΙΜΑΤΟΣ'!F5/'2.ΤΙΜΕΣ ΚΛΕΙΣΙΜΑΤΟΣ'!F4)</f>
        <v>1.739174271186902E-2</v>
      </c>
      <c r="G4" s="43">
        <f>LN('2.ΤΙΜΕΣ ΚΛΕΙΣΙΜΑΤΟΣ'!G5/'2.ΤΙΜΕΣ ΚΛΕΙΣΙΜΑΤΟΣ'!G4)</f>
        <v>2.514098895810201E-2</v>
      </c>
      <c r="H4" s="43">
        <f>LN('2.ΤΙΜΕΣ ΚΛΕΙΣΙΜΑΤΟΣ'!H5/'2.ΤΙΜΕΣ ΚΛΕΙΣΙΜΑΤΟΣ'!H4)</f>
        <v>1.1527505171067414E-2</v>
      </c>
      <c r="I4" s="43">
        <f>LN('2.ΤΙΜΕΣ ΚΛΕΙΣΙΜΑΤΟΣ'!I5/'2.ΤΙΜΕΣ ΚΛΕΙΣΙΜΑΤΟΣ'!I4)</f>
        <v>7.3413125571046012E-2</v>
      </c>
      <c r="J4" s="43">
        <f>LN('2.ΤΙΜΕΣ ΚΛΕΙΣΙΜΑΤΟΣ'!J5/'2.ΤΙΜΕΣ ΚΛΕΙΣΙΜΑΤΟΣ'!J4)</f>
        <v>0.11749736217922288</v>
      </c>
      <c r="K4" s="43">
        <f>LN('2.ΤΙΜΕΣ ΚΛΕΙΣΙΜΑΤΟΣ'!K5/'2.ΤΙΜΕΣ ΚΛΕΙΣΙΜΑΤΟΣ'!K4)</f>
        <v>2.92337303446875E-2</v>
      </c>
      <c r="L4" s="43">
        <f>LN('2.ΤΙΜΕΣ ΚΛΕΙΣΙΜΑΤΟΣ'!L5/'2.ΤΙΜΕΣ ΚΛΕΙΣΙΜΑΤΟΣ'!L4)</f>
        <v>1.9780864747349143E-2</v>
      </c>
      <c r="M4" s="43">
        <f>LN('2.ΤΙΜΕΣ ΚΛΕΙΣΙΜΑΤΟΣ'!M5/'2.ΤΙΜΕΣ ΚΛΕΙΣΙΜΑΤΟΣ'!M4)</f>
        <v>1.1357891844409582E-2</v>
      </c>
      <c r="N4" s="43">
        <f>LN('2.ΤΙΜΕΣ ΚΛΕΙΣΙΜΑΤΟΣ'!N5/'2.ΤΙΜΕΣ ΚΛΕΙΣΙΜΑΤΟΣ'!N4)</f>
        <v>0</v>
      </c>
      <c r="O4" s="43">
        <f>LN('2.ΤΙΜΕΣ ΚΛΕΙΣΙΜΑΤΟΣ'!O5/'2.ΤΙΜΕΣ ΚΛΕΙΣΙΜΑΤΟΣ'!O4)</f>
        <v>1.0869672236903891E-2</v>
      </c>
      <c r="P4" s="43">
        <f>LN('2.ΤΙΜΕΣ ΚΛΕΙΣΙΜΑΤΟΣ'!P5/'2.ΤΙΜΕΣ ΚΛΕΙΣΙΜΑΤΟΣ'!P4)</f>
        <v>2.6079712783051663E-2</v>
      </c>
      <c r="Q4" s="43">
        <f>LN('2.ΤΙΜΕΣ ΚΛΕΙΣΙΜΑΤΟΣ'!Q5/'2.ΤΙΜΕΣ ΚΛΕΙΣΙΜΑΤΟΣ'!Q4)</f>
        <v>0.15062582598382265</v>
      </c>
      <c r="R4" s="43">
        <f>LN('2.ΤΙΜΕΣ ΚΛΕΙΣΙΜΑΤΟΣ'!R5/'2.ΤΙΜΕΣ ΚΛΕΙΣΙΜΑΤΟΣ'!R4)</f>
        <v>4.7223126931217156E-2</v>
      </c>
      <c r="S4" s="43">
        <f>LN('2.ΤΙΜΕΣ ΚΛΕΙΣΙΜΑΤΟΣ'!S5/'2.ΤΙΜΕΣ ΚΛΕΙΣΙΜΑΤΟΣ'!S4)</f>
        <v>1.5504186535965254E-2</v>
      </c>
      <c r="T4" s="43">
        <f>LN('2.ΤΙΜΕΣ ΚΛΕΙΣΙΜΑΤΟΣ'!T5/'2.ΤΙΜΕΣ ΚΛΕΙΣΙΜΑΤΟΣ'!T4)</f>
        <v>2.86812112467183E-2</v>
      </c>
      <c r="U4" s="43">
        <f>LN('2.ΤΙΜΕΣ ΚΛΕΙΣΙΜΑΤΟΣ'!U5/'2.ΤΙΜΕΣ ΚΛΕΙΣΙΜΑΤΟΣ'!U4)</f>
        <v>1.9507216388824161E-2</v>
      </c>
      <c r="V4" s="43">
        <f>LN('2.ΤΙΜΕΣ ΚΛΕΙΣΙΜΑΤΟΣ'!V5/'2.ΤΙΜΕΣ ΚΛΕΙΣΙΜΑΤΟΣ'!V4)</f>
        <v>4.7393453638965681E-3</v>
      </c>
      <c r="W4" s="43">
        <f>LN('2.ΤΙΜΕΣ ΚΛΕΙΣΙΜΑΤΟΣ'!W5/'2.ΤΙΜΕΣ ΚΛΕΙΣΙΜΑΤΟΣ'!W4)</f>
        <v>-8.5003547653926051E-3</v>
      </c>
      <c r="X4" s="43">
        <f>LN('2.ΤΙΜΕΣ ΚΛΕΙΣΙΜΑΤΟΣ'!X5/'2.ΤΙΜΕΣ ΚΛΕΙΣΙΜΑΤΟΣ'!X4)</f>
        <v>3.5583501700941784E-3</v>
      </c>
      <c r="Y4" s="43">
        <f>LN('2.ΤΙΜΕΣ ΚΛΕΙΣΙΜΑΤΟΣ'!Y5/'2.ΤΙΜΕΣ ΚΛΕΙΣΙΜΑΤΟΣ'!Y4)</f>
        <v>4.7790663836348481E-2</v>
      </c>
      <c r="Z4" s="43">
        <f>LN('2.ΤΙΜΕΣ ΚΛΕΙΣΙΜΑΤΟΣ'!Z5/'2.ΤΙΜΕΣ ΚΛΕΙΣΙΜΑΤΟΣ'!Z4)</f>
        <v>4.040409537005127E-3</v>
      </c>
      <c r="AA4" s="43">
        <f>LN('2.ΤΙΜΕΣ ΚΛΕΙΣΙΜΑΤΟΣ'!AA5/'2.ΤΙΜΕΣ ΚΛΕΙΣΙΜΑΤΟΣ'!AA4)</f>
        <v>9.2166551049240476E-3</v>
      </c>
      <c r="AB4" s="43">
        <f>LN('2.ΤΙΜΕΣ ΚΛΕΙΣΙΜΑΤΟΣ'!AB5/'2.ΤΙΜΕΣ ΚΛΕΙΣΙΜΑΤΟΣ'!AB4)</f>
        <v>9.8522964430116395E-3</v>
      </c>
      <c r="AC4" s="43">
        <f>LN('2.ΤΙΜΕΣ ΚΛΕΙΣΙΜΑΤΟΣ'!AC5/'2.ΤΙΜΕΣ ΚΛΕΙΣΙΜΑΤΟΣ'!AC4)</f>
        <v>1.6760168857465101E-2</v>
      </c>
      <c r="AD4" s="43">
        <f>LN('2.ΤΙΜΕΣ ΚΛΕΙΣΙΜΑΤΟΣ'!AD5/'2.ΤΙΜΕΣ ΚΛΕΙΣΙΜΑΤΟΣ'!AD4)</f>
        <v>1.8321123147596284E-2</v>
      </c>
      <c r="AE4" s="43">
        <f>LN('2.ΤΙΜΕΣ ΚΛΕΙΣΙΜΑΤΟΣ'!AE5/'2.ΤΙΜΕΣ ΚΛΕΙΣΙΜΑΤΟΣ'!AE4)</f>
        <v>1.8576385572935457E-2</v>
      </c>
      <c r="AF4" s="43">
        <f>LN('2.ΤΙΜΕΣ ΚΛΕΙΣΙΜΑΤΟΣ'!AF5/'2.ΤΙΜΕΣ ΚΛΕΙΣΙΜΑΤΟΣ'!AF4)</f>
        <v>2.3185907468810323E-2</v>
      </c>
      <c r="AG4" s="43">
        <f>LN('2.ΤΙΜΕΣ ΚΛΕΙΣΙΜΑΤΟΣ'!AG5/'2.ΤΙΜΕΣ ΚΛΕΙΣΙΜΑΤΟΣ'!AG4)</f>
        <v>5.5151820075079856E-2</v>
      </c>
      <c r="AH4" s="43">
        <f>LN('2.ΤΙΜΕΣ ΚΛΕΙΣΙΜΑΤΟΣ'!AH5/'2.ΤΙΜΕΣ ΚΛΕΙΣΙΜΑΤΟΣ'!AH4)</f>
        <v>-9.4563352420354001E-3</v>
      </c>
      <c r="AI4" s="43">
        <f>LN('2.ΤΙΜΕΣ ΚΛΕΙΣΙΜΑΤΟΣ'!AI5/'2.ΤΙΜΕΣ ΚΛΕΙΣΙΜΑΤΟΣ'!AI4)</f>
        <v>-2.5317807984289897E-2</v>
      </c>
      <c r="AJ4" s="43">
        <f>LN('2.ΤΙΜΕΣ ΚΛΕΙΣΙΜΑΤΟΣ'!AJ5/'2.ΤΙΜΕΣ ΚΛΕΙΣΙΜΑΤΟΣ'!AJ4)</f>
        <v>5.3540766928029761E-2</v>
      </c>
      <c r="AK4" s="43">
        <f>LN('2.ΤΙΜΕΣ ΚΛΕΙΣΙΜΑΤΟΣ'!AK5/'2.ΤΙΜΕΣ ΚΛΕΙΣΙΜΑΤΟΣ'!AK4)</f>
        <v>2.6433257068155431E-2</v>
      </c>
      <c r="AL4" s="43">
        <f>LN('2.ΤΙΜΕΣ ΚΛΕΙΣΙΜΑΤΟΣ'!AL5/'2.ΤΙΜΕΣ ΚΛΕΙΣΙΜΑΤΟΣ'!AL4)</f>
        <v>2.4391453124159263E-2</v>
      </c>
      <c r="AM4" s="43">
        <f>LN('2.ΤΙΜΕΣ ΚΛΕΙΣΙΜΑΤΟΣ'!AM5/'2.ΤΙΜΕΣ ΚΛΕΙΣΙΜΑΤΟΣ'!AM4)</f>
        <v>-2.4125464053841011E-3</v>
      </c>
      <c r="AN4" s="43">
        <f>LN('2.ΤΙΜΕΣ ΚΛΕΙΣΙΜΑΤΟΣ'!AN5/'2.ΤΙΜΕΣ ΚΛΕΙΣΙΜΑΤΟΣ'!AN4)</f>
        <v>5.7377112583302636E-2</v>
      </c>
      <c r="AO4" s="43">
        <f>LN('2.ΤΙΜΕΣ ΚΛΕΙΣΙΜΑΤΟΣ'!AO5/'2.ΤΙΜΕΣ ΚΛΕΙΣΙΜΑΤΟΣ'!AO4)</f>
        <v>1.9934214900817329E-2</v>
      </c>
      <c r="AP4" s="43">
        <f>LN('2.ΤΙΜΕΣ ΚΛΕΙΣΙΜΑΤΟΣ'!AP5/'2.ΤΙΜΕΣ ΚΛΕΙΣΙΜΑΤΟΣ'!AP4)</f>
        <v>1.391911121069944E-2</v>
      </c>
      <c r="AQ4" s="43">
        <f>LN('2.ΤΙΜΕΣ ΚΛΕΙΣΙΜΑΤΟΣ'!AQ5/'2.ΤΙΜΕΣ ΚΛΕΙΣΙΜΑΤΟΣ'!AQ4)</f>
        <v>3.6943515191684276E-2</v>
      </c>
      <c r="AR4" s="43">
        <f>LN('2.ΤΙΜΕΣ ΚΛΕΙΣΙΜΑΤΟΣ'!AR5/'2.ΤΙΜΕΣ ΚΛΕΙΣΙΜΑΤΟΣ'!AR4)</f>
        <v>1.7493157447517119E-2</v>
      </c>
      <c r="AS4" s="43">
        <f>LN('2.ΤΙΜΕΣ ΚΛΕΙΣΙΜΑΤΟΣ'!AS5/'2.ΤΙΜΕΣ ΚΛΕΙΣΙΜΑΤΟΣ'!AS4)</f>
        <v>2.3347363996991107E-2</v>
      </c>
      <c r="AT4" s="43">
        <f>LN('2.ΤΙΜΕΣ ΚΛΕΙΣΙΜΑΤΟΣ'!AT5/'2.ΤΙΜΕΣ ΚΛΕΙΣΙΜΑΤΟΣ'!AT4)</f>
        <v>1.3579258126380854E-2</v>
      </c>
      <c r="AU4" s="43">
        <f>LN('2.ΤΙΜΕΣ ΚΛΕΙΣΙΜΑΤΟΣ'!AU5/'2.ΤΙΜΕΣ ΚΛΕΙΣΙΜΑΤΟΣ'!AU4)</f>
        <v>2.68619386823329E-2</v>
      </c>
    </row>
    <row r="5" spans="1:47">
      <c r="A5" s="41">
        <v>43557</v>
      </c>
      <c r="B5" s="43">
        <f>LN('2.ΤΙΜΕΣ ΚΛΕΙΣΙΜΑΤΟΣ'!B6/'2.ΤΙΜΕΣ ΚΛΕΙΣΙΜΑΤΟΣ'!B5)</f>
        <v>1.0447368938791278E-2</v>
      </c>
      <c r="C5" s="43">
        <f>LN('2.ΤΙΜΕΣ ΚΛΕΙΣΙΜΑΤΟΣ'!C6/'2.ΤΙΜΕΣ ΚΛΕΙΣΙΜΑΤΟΣ'!C5)</f>
        <v>0</v>
      </c>
      <c r="D5" s="43">
        <f>LN('2.ΤΙΜΕΣ ΚΛΕΙΣΙΜΑΤΟΣ'!D6/'2.ΤΙΜΕΣ ΚΛΕΙΣΙΜΑΤΟΣ'!D5)</f>
        <v>2.1500760809192152E-3</v>
      </c>
      <c r="E5" s="43">
        <f>LN('2.ΤΙΜΕΣ ΚΛΕΙΣΙΜΑΤΟΣ'!E6/'2.ΤΙΜΕΣ ΚΛΕΙΣΙΜΑΤΟΣ'!E5)</f>
        <v>-4.7154011252384439E-3</v>
      </c>
      <c r="F5" s="43">
        <f>LN('2.ΤΙΜΕΣ ΚΛΕΙΣΙΜΑΤΟΣ'!F6/'2.ΤΙΜΕΣ ΚΛΕΙΣΙΜΑΤΟΣ'!F5)</f>
        <v>-6.9204428445736833E-3</v>
      </c>
      <c r="G5" s="43">
        <f>LN('2.ΤΙΜΕΣ ΚΛΕΙΣΙΜΑΤΟΣ'!G6/'2.ΤΙΜΕΣ ΚΛΕΙΣΙΜΑΤΟΣ'!G5)</f>
        <v>1.3698844358161927E-2</v>
      </c>
      <c r="H5" s="43">
        <f>LN('2.ΤΙΜΕΣ ΚΛΕΙΣΙΜΑΤΟΣ'!H6/'2.ΤΙΜΕΣ ΚΛΕΙΣΙΜΑΤΟΣ'!H5)</f>
        <v>-6.7082187351185305E-3</v>
      </c>
      <c r="I5" s="43">
        <f>LN('2.ΤΙΜΕΣ ΚΛΕΙΣΙΜΑΤΟΣ'!I6/'2.ΤΙΜΕΣ ΚΛΕΙΣΙΜΑΤΟΣ'!I5)</f>
        <v>-2.1309786586751096E-2</v>
      </c>
      <c r="J5" s="43">
        <f>LN('2.ΤΙΜΕΣ ΚΛΕΙΣΙΜΑΤΟΣ'!J6/'2.ΤΙΜΕΣ ΚΛΕΙΣΙΜΑΤΟΣ'!J5)</f>
        <v>3.9920212695374567E-3</v>
      </c>
      <c r="K5" s="43">
        <f>LN('2.ΤΙΜΕΣ ΚΛΕΙΣΙΜΑΤΟΣ'!K6/'2.ΤΙΜΕΣ ΚΛΕΙΣΙΜΑΤΟΣ'!K5)</f>
        <v>3.0534374868904698E-3</v>
      </c>
      <c r="L5" s="43">
        <f>LN('2.ΤΙΜΕΣ ΚΛΕΙΣΙΜΑΤΟΣ'!L6/'2.ΤΙΜΕΣ ΚΛΕΙΣΙΜΑΤΟΣ'!L5)</f>
        <v>1.4583029162283441E-2</v>
      </c>
      <c r="M5" s="43">
        <f>LN('2.ΤΙΜΕΣ ΚΛΕΙΣΙΜΑΤΟΣ'!M6/'2.ΤΙΜΕΣ ΚΛΕΙΣΙΜΑΤΟΣ'!M5)</f>
        <v>-4.1152321451066549E-3</v>
      </c>
      <c r="N5" s="43">
        <f>LN('2.ΤΙΜΕΣ ΚΛΕΙΣΙΜΑΤΟΣ'!N6/'2.ΤΙΜΕΣ ΚΛΕΙΣΙΜΑΤΟΣ'!N5)</f>
        <v>7.7232632304626118E-3</v>
      </c>
      <c r="O5" s="43">
        <f>LN('2.ΤΙΜΕΣ ΚΛΕΙΣΙΜΑΤΟΣ'!O6/'2.ΤΙΜΕΣ ΚΛΕΙΣΙΜΑΤΟΣ'!O5)</f>
        <v>1.9625964456748444E-2</v>
      </c>
      <c r="P5" s="43">
        <f>LN('2.ΤΙΜΕΣ ΚΛΕΙΣΙΜΑΤΟΣ'!P6/'2.ΤΙΜΕΣ ΚΛΕΙΣΙΜΑΤΟΣ'!P5)</f>
        <v>5.0203591966579052E-2</v>
      </c>
      <c r="Q5" s="43">
        <f>LN('2.ΤΙΜΕΣ ΚΛΕΙΣΙΜΑΤΟΣ'!Q6/'2.ΤΙΜΕΣ ΚΛΕΙΣΙΜΑΤΟΣ'!Q5)</f>
        <v>-1.9251931499321254E-2</v>
      </c>
      <c r="R5" s="43">
        <f>LN('2.ΤΙΜΕΣ ΚΛΕΙΣΙΜΑΤΟΣ'!R6/'2.ΤΙΜΕΣ ΚΛΕΙΣΙΜΑΤΟΣ'!R5)</f>
        <v>8.5732307104883099E-3</v>
      </c>
      <c r="S5" s="43">
        <f>LN('2.ΤΙΜΕΣ ΚΛΕΙΣΙΜΑΤΟΣ'!S6/'2.ΤΙΜΕΣ ΚΛΕΙΣΙΜΑΤΟΣ'!S5)</f>
        <v>2.0761991448429006E-2</v>
      </c>
      <c r="T5" s="43">
        <f>LN('2.ΤΙΜΕΣ ΚΛΕΙΣΙΜΑΤΟΣ'!T6/'2.ΤΙΜΕΣ ΚΛΕΙΣΙΜΑΤΟΣ'!T5)</f>
        <v>1.7699577099400857E-2</v>
      </c>
      <c r="U5" s="43">
        <f>LN('2.ΤΙΜΕΣ ΚΛΕΙΣΙΜΑΤΟΣ'!U6/'2.ΤΙΜΕΣ ΚΛΕΙΣΙΜΑΤΟΣ'!U5)</f>
        <v>5.6657375356772999E-3</v>
      </c>
      <c r="V5" s="43">
        <f>LN('2.ΤΙΜΕΣ ΚΛΕΙΣΙΜΑΤΟΣ'!V6/'2.ΤΙΜΕΣ ΚΛΕΙΣΙΜΑΤΟΣ'!V5)</f>
        <v>1.6413029641330051E-2</v>
      </c>
      <c r="W5" s="43">
        <f>LN('2.ΤΙΜΕΣ ΚΛΕΙΣΙΜΑΤΟΣ'!W6/'2.ΤΙΜΕΣ ΚΛΕΙΣΙΜΑΤΟΣ'!W5)</f>
        <v>-2.3443393189939484E-2</v>
      </c>
      <c r="X5" s="43">
        <f>LN('2.ΤΙΜΕΣ ΚΛΕΙΣΙΜΑΤΟΣ'!X6/'2.ΤΙΜΕΣ ΚΛΕΙΣΙΜΑΤΟΣ'!X5)</f>
        <v>3.3375083128798087E-3</v>
      </c>
      <c r="Y5" s="43">
        <f>LN('2.ΤΙΜΕΣ ΚΛΕΙΣΙΜΑΤΟΣ'!Y6/'2.ΤΙΜΕΣ ΚΛΕΙΣΙΜΑΤΟΣ'!Y5)</f>
        <v>-1.3423020332140548E-2</v>
      </c>
      <c r="Z5" s="43">
        <f>LN('2.ΤΙΜΕΣ ΚΛΕΙΣΙΜΑΤΟΣ'!Z6/'2.ΤΙΜΕΣ ΚΛΕΙΣΙΜΑΤΟΣ'!Z5)</f>
        <v>1.600034134644112E-2</v>
      </c>
      <c r="AA5" s="43">
        <f>LN('2.ΤΙΜΕΣ ΚΛΕΙΣΙΜΑΤΟΣ'!AA6/'2.ΤΙΜΕΣ ΚΛΕΙΣΙΜΑΤΟΣ'!AA5)</f>
        <v>0</v>
      </c>
      <c r="AB5" s="43">
        <f>LN('2.ΤΙΜΕΣ ΚΛΕΙΣΙΜΑΤΟΣ'!AB6/'2.ΤΙΜΕΣ ΚΛΕΙΣΙΜΑΤΟΣ'!AB5)</f>
        <v>0</v>
      </c>
      <c r="AC5" s="43">
        <f>LN('2.ΤΙΜΕΣ ΚΛΕΙΣΙΜΑΤΟΣ'!AC6/'2.ΤΙΜΕΣ ΚΛΕΙΣΙΜΑΤΟΣ'!AC5)</f>
        <v>-9.7425961988185927E-3</v>
      </c>
      <c r="AD5" s="43">
        <f>LN('2.ΤΙΜΕΣ ΚΛΕΙΣΙΜΑΤΟΣ'!AD6/'2.ΤΙΜΕΣ ΚΛΕΙΣΙΜΑΤΟΣ'!AD5)</f>
        <v>1.6504500671463199E-2</v>
      </c>
      <c r="AE5" s="43">
        <f>LN('2.ΤΙΜΕΣ ΚΛΕΙΣΙΜΑΤΟΣ'!AE6/'2.ΤΙΜΕΣ ΚΛΕΙΣΙΜΑΤΟΣ'!AE5)</f>
        <v>8.146684567818108E-3</v>
      </c>
      <c r="AF5" s="43">
        <f>LN('2.ΤΙΜΕΣ ΚΛΕΙΣΙΜΑΤΟΣ'!AF6/'2.ΤΙΜΕΣ ΚΛΕΙΣΙΜΑΤΟΣ'!AF5)</f>
        <v>1.2055456553486893E-3</v>
      </c>
      <c r="AG5" s="43">
        <f>LN('2.ΤΙΜΕΣ ΚΛΕΙΣΙΜΑΤΟΣ'!AG6/'2.ΤΙΜΕΣ ΚΛΕΙΣΙΜΑΤΟΣ'!AG5)</f>
        <v>-1.9705071079332333E-2</v>
      </c>
      <c r="AH5" s="43">
        <f>LN('2.ΤΙΜΕΣ ΚΛΕΙΣΙΜΑΤΟΣ'!AH6/'2.ΤΙΜΕΣ ΚΛΕΙΣΙΜΑΤΟΣ'!AH5)</f>
        <v>-1.034629205414426E-2</v>
      </c>
      <c r="AI5" s="43">
        <f>LN('2.ΤΙΜΕΣ ΚΛΕΙΣΙΜΑΤΟΣ'!AI6/'2.ΤΙΜΕΣ ΚΛΕΙΣΙΜΑΤΟΣ'!AI5)</f>
        <v>0</v>
      </c>
      <c r="AJ5" s="43">
        <f>LN('2.ΤΙΜΕΣ ΚΛΕΙΣΙΜΑΤΟΣ'!AJ6/'2.ΤΙΜΕΣ ΚΛΕΙΣΙΜΑΤΟΣ'!AJ5)</f>
        <v>-1.9139340210697395E-2</v>
      </c>
      <c r="AK5" s="43">
        <f>LN('2.ΤΙΜΕΣ ΚΛΕΙΣΙΜΑΤΟΣ'!AK6/'2.ΤΙΜΕΣ ΚΛΕΙΣΙΜΑΤΟΣ'!AK5)</f>
        <v>-3.5401927050915723E-2</v>
      </c>
      <c r="AL5" s="43">
        <f>LN('2.ΤΙΜΕΣ ΚΛΕΙΣΙΜΑΤΟΣ'!AL6/'2.ΤΙΜΕΣ ΚΛΕΙΣΙΜΑΤΟΣ'!AL5)</f>
        <v>3.5506688456909602E-2</v>
      </c>
      <c r="AM5" s="43">
        <f>LN('2.ΤΙΜΕΣ ΚΛΕΙΣΙΜΑΤΟΣ'!AM6/'2.ΤΙΜΕΣ ΚΛΕΙΣΙΜΑΤΟΣ'!AM5)</f>
        <v>-5.2056361956053031E-2</v>
      </c>
      <c r="AN5" s="43">
        <f>LN('2.ΤΙΜΕΣ ΚΛΕΙΣΙΜΑΤΟΣ'!AN6/'2.ΤΙΜΕΣ ΚΛΕΙΣΙΜΑΤΟΣ'!AN5)</f>
        <v>1.8416726786231068E-2</v>
      </c>
      <c r="AO5" s="43">
        <f>LN('2.ΤΙΜΕΣ ΚΛΕΙΣΙΜΑΤΟΣ'!AO6/'2.ΤΙΜΕΣ ΚΛΕΙΣΙΜΑΤΟΣ'!AO5)</f>
        <v>-2.6668247082161294E-2</v>
      </c>
      <c r="AP5" s="43">
        <f>LN('2.ΤΙΜΕΣ ΚΛΕΙΣΙΜΑΤΟΣ'!AP6/'2.ΤΙΜΕΣ ΚΛΕΙΣΙΜΑΤΟΣ'!AP5)</f>
        <v>-9.5786172970697726E-3</v>
      </c>
      <c r="AQ5" s="43">
        <f>LN('2.ΤΙΜΕΣ ΚΛΕΙΣΙΜΑΤΟΣ'!AQ6/'2.ΤΙΜΕΣ ΚΛΕΙΣΙΜΑΤΟΣ'!AQ5)</f>
        <v>1.644435822637726E-2</v>
      </c>
      <c r="AR5" s="43">
        <f>LN('2.ΤΙΜΕΣ ΚΛΕΙΣΙΜΑΤΟΣ'!AR6/'2.ΤΙΜΕΣ ΚΛΕΙΣΙΜΑΤΟΣ'!AR5)</f>
        <v>4.5205436768046781E-2</v>
      </c>
      <c r="AS5" s="43">
        <f>LN('2.ΤΙΜΕΣ ΚΛΕΙΣΙΜΑΤΟΣ'!AS6/'2.ΤΙΜΕΣ ΚΛΕΙΣΙΜΑΤΟΣ'!AS5)</f>
        <v>3.8387763071656669E-3</v>
      </c>
      <c r="AT5" s="43">
        <f>LN('2.ΤΙΜΕΣ ΚΛΕΙΣΙΜΑΤΟΣ'!AT6/'2.ΤΙΜΕΣ ΚΛΕΙΣΙΜΑΤΟΣ'!AT5)</f>
        <v>1.924928409584418E-3</v>
      </c>
      <c r="AU5" s="43">
        <f>LN('2.ΤΙΜΕΣ ΚΛΕΙΣΙΜΑΤΟΣ'!AU6/'2.ΤΙΜΕΣ ΚΛΕΙΣΙΜΑΤΟΣ'!AU5)</f>
        <v>3.3008443747769606E-3</v>
      </c>
    </row>
    <row r="6" spans="1:47">
      <c r="A6" s="41">
        <v>43558</v>
      </c>
      <c r="B6" s="43">
        <f>LN('2.ΤΙΜΕΣ ΚΛΕΙΣΙΜΑΤΟΣ'!B7/'2.ΤΙΜΕΣ ΚΛΕΙΣΙΜΑΤΟΣ'!B6)</f>
        <v>-9.4632783230430319E-3</v>
      </c>
      <c r="C6" s="43">
        <f>LN('2.ΤΙΜΕΣ ΚΛΕΙΣΙΜΑΤΟΣ'!C7/'2.ΤΙΜΕΣ ΚΛΕΙΣΙΜΑΤΟΣ'!C6)</f>
        <v>1.4888612493750559E-2</v>
      </c>
      <c r="D6" s="43">
        <f>LN('2.ΤΙΜΕΣ ΚΛΕΙΣΙΜΑΤΟΣ'!D7/'2.ΤΙΜΕΣ ΚΛΕΙΣΙΜΑΤΟΣ'!D6)</f>
        <v>-1.2970350442627404E-2</v>
      </c>
      <c r="E6" s="43">
        <f>LN('2.ΤΙΜΕΣ ΚΛΕΙΣΙΜΑΤΟΣ'!E7/'2.ΤΙΜΕΣ ΚΛΕΙΣΙΜΑΤΟΣ'!E6)</f>
        <v>-6.7544750963796684E-4</v>
      </c>
      <c r="F6" s="43">
        <f>LN('2.ΤΙΜΕΣ ΚΛΕΙΣΙΜΑΤΟΣ'!F7/'2.ΤΙΜΕΣ ΚΛΕΙΣΙΜΑΤΟΣ'!F6)</f>
        <v>3.4662079764861075E-3</v>
      </c>
      <c r="G6" s="43">
        <f>LN('2.ΤΙΜΕΣ ΚΛΕΙΣΙΜΑΤΟΣ'!G7/'2.ΤΙΜΕΣ ΚΛΕΙΣΙΜΑΤΟΣ'!G6)</f>
        <v>-1.3614705983210744E-3</v>
      </c>
      <c r="H6" s="43">
        <f>LN('2.ΤΙΜΕΣ ΚΛΕΙΣΙΜΑΤΟΣ'!H7/'2.ΤΙΜΕΣ ΚΛΕΙΣΙΜΑΤΟΣ'!H6)</f>
        <v>1.4320053774748471E-2</v>
      </c>
      <c r="I6" s="43">
        <f>LN('2.ΤΙΜΕΣ ΚΛΕΙΣΙΜΑΤΟΣ'!I7/'2.ΤΙΜΕΣ ΚΛΕΙΣΙΜΑΤΟΣ'!I6)</f>
        <v>4.6589943259829576E-2</v>
      </c>
      <c r="J6" s="43">
        <f>LN('2.ΤΙΜΕΣ ΚΛΕΙΣΙΜΑΤΟΣ'!J7/'2.ΤΙΜΕΣ ΚΛΕΙΣΙΜΑΤΟΣ'!J6)</f>
        <v>5.6968678520149807E-2</v>
      </c>
      <c r="K6" s="43">
        <f>LN('2.ΤΙΜΕΣ ΚΛΕΙΣΙΜΑΤΟΣ'!K7/'2.ΤΙΜΕΣ ΚΛΕΙΣΙΜΑΤΟΣ'!K6)</f>
        <v>8.9457465584582667E-3</v>
      </c>
      <c r="L6" s="43">
        <f>LN('2.ΤΙΜΕΣ ΚΛΕΙΣΙΜΑΤΟΣ'!L7/'2.ΤΙΜΕΣ ΚΛΕΙΣΙΜΑΤΟΣ'!L6)</f>
        <v>3.2119941961737905E-3</v>
      </c>
      <c r="M6" s="43">
        <f>LN('2.ΤΙΜΕΣ ΚΛΕΙΣΙΜΑΤΟΣ'!M7/'2.ΤΙΜΕΣ ΚΛΕΙΣΙΜΑΤΟΣ'!M6)</f>
        <v>-1.1404996613990245E-2</v>
      </c>
      <c r="N6" s="43">
        <f>LN('2.ΤΙΜΕΣ ΚΛΕΙΣΙΜΑΤΟΣ'!N7/'2.ΤΙΜΕΣ ΚΛΕΙΣΙΜΑΤΟΣ'!N6)</f>
        <v>0</v>
      </c>
      <c r="O6" s="43">
        <f>LN('2.ΤΙΜΕΣ ΚΛΕΙΣΙΜΑΤΟΣ'!O7/'2.ΤΙΜΕΣ ΚΛΕΙΣΙΜΑΤΟΣ'!O6)</f>
        <v>1.0544913176614819E-2</v>
      </c>
      <c r="P6" s="43">
        <f>LN('2.ΤΙΜΕΣ ΚΛΕΙΣΙΜΑΤΟΣ'!P7/'2.ΤΙΜΕΣ ΚΛΕΙΣΙΜΑΤΟΣ'!P6)</f>
        <v>-1.5180557177015754E-2</v>
      </c>
      <c r="Q6" s="43">
        <f>LN('2.ΤΙΜΕΣ ΚΛΕΙΣΙΜΑΤΟΣ'!Q7/'2.ΤΙΜΕΣ ΚΛΕΙΣΙΜΑΤΟΣ'!Q6)</f>
        <v>3.6059049815702425E-2</v>
      </c>
      <c r="R6" s="43">
        <f>LN('2.ΤΙΜΕΣ ΚΛΕΙΣΙΜΑΤΟΣ'!R7/'2.ΤΙΜΕΣ ΚΛΕΙΣΙΜΑΤΟΣ'!R6)</f>
        <v>-1.1652999082567903E-2</v>
      </c>
      <c r="S6" s="43">
        <f>LN('2.ΤΙΜΕΣ ΚΛΕΙΣΙΜΑΤΟΣ'!S7/'2.ΤΙΜΕΣ ΚΛΕΙΣΙΜΑΤΟΣ'!S6)</f>
        <v>0</v>
      </c>
      <c r="T6" s="43">
        <f>LN('2.ΤΙΜΕΣ ΚΛΕΙΣΙΜΑΤΟΣ'!T7/'2.ΤΙΜΕΣ ΚΛΕΙΣΙΜΑΤΟΣ'!T6)</f>
        <v>5.8309203107931437E-3</v>
      </c>
      <c r="U6" s="43">
        <f>LN('2.ΤΙΜΕΣ ΚΛΕΙΣΙΜΑΤΟΣ'!U7/'2.ΤΙΜΕΣ ΚΛΕΙΣΙΜΑΤΟΣ'!U6)</f>
        <v>-5.6657375356774196E-3</v>
      </c>
      <c r="V6" s="43">
        <f>LN('2.ΤΙΜΕΣ ΚΛΕΙΣΙΜΑΤΟΣ'!V7/'2.ΤΙΜΕΣ ΚΛΕΙΣΙΜΑΤΟΣ'!V6)</f>
        <v>-9.345862418237658E-3</v>
      </c>
      <c r="W6" s="43">
        <f>LN('2.ΤΙΜΕΣ ΚΛΕΙΣΙΜΑΤΟΣ'!W7/'2.ΤΙΜΕΣ ΚΛΕΙΣΙΜΑΤΟΣ'!W6)</f>
        <v>9.937969990132493E-3</v>
      </c>
      <c r="X6" s="43">
        <f>LN('2.ΤΙΜΕΣ ΚΛΕΙΣΙΜΑΤΟΣ'!X7/'2.ΤΙΜΕΣ ΚΛΕΙΣΙΜΑΤΟΣ'!X6)</f>
        <v>3.3264063936182561E-3</v>
      </c>
      <c r="Y6" s="43">
        <f>LN('2.ΤΙΜΕΣ ΚΛΕΙΣΙΜΑΤΟΣ'!Y7/'2.ΤΙΜΕΣ ΚΛΕΙΣΙΜΑΤΟΣ'!Y6)</f>
        <v>6.7340321813438991E-3</v>
      </c>
      <c r="Z6" s="43">
        <f>LN('2.ΤΙΜΕΣ ΚΛΕΙΣΙΜΑΤΟΣ'!Z7/'2.ΤΙΜΕΣ ΚΛΕΙΣΙΜΑΤΟΣ'!Z6)</f>
        <v>-3.9761483796392945E-3</v>
      </c>
      <c r="AA6" s="43">
        <f>LN('2.ΤΙΜΕΣ ΚΛΕΙΣΙΜΑΤΟΣ'!AA7/'2.ΤΙΜΕΣ ΚΛΕΙΣΙΜΑΤΟΣ'!AA6)</f>
        <v>7.9336742236521013E-2</v>
      </c>
      <c r="AB6" s="43">
        <f>LN('2.ΤΙΜΕΣ ΚΛΕΙΣΙΜΑΤΟΣ'!AB7/'2.ΤΙΜΕΣ ΚΛΕΙΣΙΜΑΤΟΣ'!AB6)</f>
        <v>0</v>
      </c>
      <c r="AC6" s="43">
        <f>LN('2.ΤΙΜΕΣ ΚΛΕΙΣΙΜΑΤΟΣ'!AC7/'2.ΤΙΜΕΣ ΚΛΕΙΣΙΜΑΤΟΣ'!AC6)</f>
        <v>-2.8011222797116675E-3</v>
      </c>
      <c r="AD6" s="43">
        <f>LN('2.ΤΙΜΕΣ ΚΛΕΙΣΙΜΑΤΟΣ'!AD7/'2.ΤΙΜΕΣ ΚΛΕΙΣΙΜΑΤΟΣ'!AD6)</f>
        <v>-2.5623104887897645E-2</v>
      </c>
      <c r="AE6" s="43">
        <f>LN('2.ΤΙΜΕΣ ΚΛΕΙΣΙΜΑΤΟΣ'!AE7/'2.ΤΙΜΕΣ ΚΛΕΙΣΙΜΑΤΟΣ'!AE6)</f>
        <v>0</v>
      </c>
      <c r="AF6" s="43">
        <f>LN('2.ΤΙΜΕΣ ΚΛΕΙΣΙΜΑΤΟΣ'!AF7/'2.ΤΙΜΕΣ ΚΛΕΙΣΙΜΑΤΟΣ'!AF6)</f>
        <v>6.0060240602119487E-3</v>
      </c>
      <c r="AG6" s="43">
        <f>LN('2.ΤΙΜΕΣ ΚΛΕΙΣΙΜΑΤΟΣ'!AG7/'2.ΤΙΜΕΣ ΚΛΕΙΣΙΜΑΤΟΣ'!AG6)</f>
        <v>-4.9875415110390512E-3</v>
      </c>
      <c r="AH6" s="43">
        <f>LN('2.ΤΙΜΕΣ ΚΛΕΙΣΙΜΑΤΟΣ'!AH7/'2.ΤΙΜΕΣ ΚΛΕΙΣΙΜΑΤΟΣ'!AH6)</f>
        <v>1.1928570865273812E-2</v>
      </c>
      <c r="AI6" s="43">
        <f>LN('2.ΤΙΜΕΣ ΚΛΕΙΣΙΜΑΤΟΣ'!AI7/'2.ΤΙΜΕΣ ΚΛΕΙΣΙΜΑΤΟΣ'!AI6)</f>
        <v>0</v>
      </c>
      <c r="AJ6" s="43">
        <f>LN('2.ΤΙΜΕΣ ΚΛΕΙΣΙΜΑΤΟΣ'!AJ7/'2.ΤΙΜΕΣ ΚΛΕΙΣΙΜΑΤΟΣ'!AJ6)</f>
        <v>2.8573372444056163E-2</v>
      </c>
      <c r="AK6" s="43">
        <f>LN('2.ΤΙΜΕΣ ΚΛΕΙΣΙΜΑΤΟΣ'!AK7/'2.ΤΙΜΕΣ ΚΛΕΙΣΙΜΑΤΟΣ'!AK6)</f>
        <v>1.342302033214055E-2</v>
      </c>
      <c r="AL6" s="43">
        <f>LN('2.ΤΙΜΕΣ ΚΛΕΙΣΙΜΑΤΟΣ'!AL7/'2.ΤΙΜΕΣ ΚΛΕΙΣΙΜΑΤΟΣ'!AL6)</f>
        <v>2.2989518224698781E-2</v>
      </c>
      <c r="AM6" s="43">
        <f>LN('2.ΤΙΜΕΣ ΚΛΕΙΣΙΜΑΤΟΣ'!AM7/'2.ΤΙΜΕΣ ΚΛΕΙΣΙΜΑΤΟΣ'!AM6)</f>
        <v>2.2642476749759752E-2</v>
      </c>
      <c r="AN6" s="43">
        <f>LN('2.ΤΙΜΕΣ ΚΛΕΙΣΙΜΑΤΟΣ'!AN7/'2.ΤΙΜΕΣ ΚΛΕΙΣΙΜΑΤΟΣ'!AN6)</f>
        <v>7.0451660950611297E-2</v>
      </c>
      <c r="AO6" s="43">
        <f>LN('2.ΤΙΜΕΣ ΚΛΕΙΣΙΜΑΤΟΣ'!AO7/'2.ΤΙΜΕΣ ΚΛΕΙΣΙΜΑΤΟΣ'!AO6)</f>
        <v>2.0067563050809388E-2</v>
      </c>
      <c r="AP6" s="43">
        <f>LN('2.ΤΙΜΕΣ ΚΛΕΙΣΙΜΑΤΟΣ'!AP7/'2.ΤΙΜΕΣ ΚΛΕΙΣΙΜΑΤΟΣ'!AP6)</f>
        <v>-8.3779227418899524E-2</v>
      </c>
      <c r="AQ6" s="43">
        <f>LN('2.ΤΙΜΕΣ ΚΛΕΙΣΙΜΑΤΟΣ'!AQ7/'2.ΤΙΜΕΣ ΚΛΕΙΣΙΜΑΤΟΣ'!AQ6)</f>
        <v>-1.9558008899656639E-2</v>
      </c>
      <c r="AR6" s="43">
        <f>LN('2.ΤΙΜΕΣ ΚΛΕΙΣΙΜΑΤΟΣ'!AR7/'2.ΤΙΜΕΣ ΚΛΕΙΣΙΜΑΤΟΣ'!AR6)</f>
        <v>-1.1111225425070722E-2</v>
      </c>
      <c r="AS6" s="43">
        <f>LN('2.ΤΙΜΕΣ ΚΛΕΙΣΙΜΑΤΟΣ'!AS7/'2.ΤΙΜΕΣ ΚΛΕΙΣΙΜΑΤΟΣ'!AS6)</f>
        <v>1.5209418663528708E-2</v>
      </c>
      <c r="AT6" s="43">
        <f>LN('2.ΤΙΜΕΣ ΚΛΕΙΣΙΜΑΤΟΣ'!AT7/'2.ΤΙΜΕΣ ΚΛΕΙΣΙΜΑΤΟΣ'!AT6)</f>
        <v>-2.7292142288007512E-2</v>
      </c>
      <c r="AU6" s="43">
        <f>LN('2.ΤΙΜΕΣ ΚΛΕΙΣΙΜΑΤΟΣ'!AU7/'2.ΤΙΜΕΣ ΚΛΕΙΣΙΜΑΤΟΣ'!AU6)</f>
        <v>7.9579215031303149E-3</v>
      </c>
    </row>
    <row r="7" spans="1:47">
      <c r="A7" s="41">
        <v>43559</v>
      </c>
      <c r="B7" s="43">
        <f>LN('2.ΤΙΜΕΣ ΚΛΕΙΣΙΜΑΤΟΣ'!B8/'2.ΤΙΜΕΣ ΚΛΕΙΣΙΜΑΤΟΣ'!B7)</f>
        <v>-1.4198686612928196E-2</v>
      </c>
      <c r="C7" s="43">
        <f>LN('2.ΤΙΜΕΣ ΚΛΕΙΣΙΜΑΤΟΣ'!C8/'2.ΤΙΜΕΣ ΚΛΕΙΣΙΜΑΤΟΣ'!C7)</f>
        <v>-4.9382816405825663E-3</v>
      </c>
      <c r="D7" s="43">
        <f>LN('2.ΤΙΜΕΣ ΚΛΕΙΣΙΜΑΤΟΣ'!D8/'2.ΤΙΜΕΣ ΚΛΕΙΣΙΜΑΤΟΣ'!D7)</f>
        <v>-1.6331867095784843E-3</v>
      </c>
      <c r="E7" s="43">
        <f>LN('2.ΤΙΜΕΣ ΚΛΕΙΣΙΜΑΤΟΣ'!E8/'2.ΤΙΜΕΣ ΚΛΕΙΣΙΜΑΤΟΣ'!E7)</f>
        <v>-4.7409502955304845E-3</v>
      </c>
      <c r="F7" s="43">
        <f>LN('2.ΤΙΜΕΣ ΚΛΕΙΣΙΜΑΤΟΣ'!F8/'2.ΤΙΜΕΣ ΚΛΕΙΣΙΜΑΤΟΣ'!F7)</f>
        <v>-4.3613275989898156E-2</v>
      </c>
      <c r="G7" s="43">
        <f>LN('2.ΤΙΜΕΣ ΚΛΕΙΣΙΜΑΤΟΣ'!G8/'2.ΤΙΜΕΣ ΚΛΕΙΣΙΜΑΤΟΣ'!G7)</f>
        <v>-1.648388972168937E-2</v>
      </c>
      <c r="H7" s="43">
        <f>LN('2.ΤΙΜΕΣ ΚΛΕΙΣΙΜΑΤΟΣ'!H8/'2.ΤΙΜΕΣ ΚΛΕΙΣΙΜΑΤΟΣ'!H7)</f>
        <v>-1.8975337761914996E-3</v>
      </c>
      <c r="I7" s="43">
        <f>LN('2.ΤΙΜΕΣ ΚΛΕΙΣΙΜΑΤΟΣ'!I8/'2.ΤΙΜΕΣ ΚΛΕΙΣΙΜΑΤΟΣ'!I7)</f>
        <v>-4.0454954692313756E-2</v>
      </c>
      <c r="J7" s="43">
        <f>LN('2.ΤΙΜΕΣ ΚΛΕΙΣΙΜΑΤΟΣ'!J8/'2.ΤΙΜΕΣ ΚΛΕΙΣΙΜΑΤΟΣ'!J7)</f>
        <v>-1.6260520871780291E-2</v>
      </c>
      <c r="K7" s="43">
        <f>LN('2.ΤΙΜΕΣ ΚΛΕΙΣΙΜΑΤΟΣ'!K8/'2.ΤΙΜΕΣ ΚΛΕΙΣΙΜΑΤΟΣ'!K7)</f>
        <v>-5.901604177230073E-3</v>
      </c>
      <c r="L7" s="43">
        <f>LN('2.ΤΙΜΕΣ ΚΛΕΙΣΙΜΑΤΟΣ'!L8/'2.ΤΙΜΕΣ ΚΛΕΙΣΙΜΑΤΟΣ'!L7)</f>
        <v>-9.127580148289292E-3</v>
      </c>
      <c r="M7" s="43">
        <f>LN('2.ΤΙΜΕΣ ΚΛΕΙΣΙΜΑΤΟΣ'!M8/'2.ΤΙΜΕΣ ΚΛΕΙΣΙΜΑΤΟΣ'!M7)</f>
        <v>-5.2274034351517994E-3</v>
      </c>
      <c r="N7" s="43">
        <f>LN('2.ΤΙΜΕΣ ΚΛΕΙΣΙΜΑΤΟΣ'!N8/'2.ΤΙΜΕΣ ΚΛΕΙΣΙΜΑΤΟΣ'!N7)</f>
        <v>0</v>
      </c>
      <c r="O7" s="43">
        <f>LN('2.ΤΙΜΕΣ ΚΛΕΙΣΙΜΑΤΟΣ'!O8/'2.ΤΙΜΕΣ ΚΛΕΙΣΙΜΑΤΟΣ'!O7)</f>
        <v>0</v>
      </c>
      <c r="P7" s="43">
        <f>LN('2.ΤΙΜΕΣ ΚΛΕΙΣΙΜΑΤΟΣ'!P8/'2.ΤΙΜΕΣ ΚΛΕΙΣΙΜΑΤΟΣ'!P7)</f>
        <v>2.2685282831083446E-2</v>
      </c>
      <c r="Q7" s="43">
        <f>LN('2.ΤΙΜΕΣ ΚΛΕΙΣΙΜΑΤΟΣ'!Q8/'2.ΤΙΜΕΣ ΚΛΕΙΣΙΜΑΤΟΣ'!Q7)</f>
        <v>6.920442844573757E-3</v>
      </c>
      <c r="R7" s="43">
        <f>LN('2.ΤΙΜΕΣ ΚΛΕΙΣΙΜΑΤΟΣ'!R8/'2.ΤΙΜΕΣ ΚΛΕΙΣΙΜΑΤΟΣ'!R7)</f>
        <v>-6.170935092462916E-4</v>
      </c>
      <c r="S7" s="43">
        <f>LN('2.ΤΙΜΕΣ ΚΛΕΙΣΙΜΑΤΟΣ'!S8/'2.ΤΙΜΕΣ ΚΛΕΙΣΙΜΑΤΟΣ'!S7)</f>
        <v>1.3689256073417405E-3</v>
      </c>
      <c r="T7" s="43">
        <f>LN('2.ΤΙΜΕΣ ΚΛΕΙΣΙΜΑΤΟΣ'!T8/'2.ΤΙΜΕΣ ΚΛΕΙΣΙΜΑΤΟΣ'!T7)</f>
        <v>1.1560822401076006E-2</v>
      </c>
      <c r="U7" s="43">
        <f>LN('2.ΤΙΜΕΣ ΚΛΕΙΣΙΜΑΤΟΣ'!U8/'2.ΤΙΜΕΣ ΚΛΕΙΣΙΜΑΤΟΣ'!U7)</f>
        <v>-3.4149151000691241E-3</v>
      </c>
      <c r="V7" s="43">
        <f>LN('2.ΤΙΜΕΣ ΚΛΕΙΣΙΜΑΤΟΣ'!V8/'2.ΤΙΜΕΣ ΚΛΕΙΣΙΜΑΤΟΣ'!V7)</f>
        <v>1.1668743834377424E-2</v>
      </c>
      <c r="W7" s="43">
        <f>LN('2.ΤΙΜΕΣ ΚΛΕΙΣΙΜΑΤΟΣ'!W8/'2.ΤΙΜΕΣ ΚΛΕΙΣΙΜΑΤΟΣ'!W7)</f>
        <v>1.228516679457777E-2</v>
      </c>
      <c r="X7" s="43">
        <f>LN('2.ΤΙΜΕΣ ΚΛΕΙΣΙΜΑΤΟΣ'!X8/'2.ΤΙΜΕΣ ΚΛΕΙΣΙΜΑΤΟΣ'!X7)</f>
        <v>-1.0222264876592183E-2</v>
      </c>
      <c r="Y7" s="43">
        <f>LN('2.ΤΙΜΕΣ ΚΛΕΙΣΙΜΑΤΟΣ'!Y8/'2.ΤΙΜΕΣ ΚΛΕΙΣΙΜΑΤΟΣ'!Y7)</f>
        <v>5.5772592981062153E-3</v>
      </c>
      <c r="Z7" s="43">
        <f>LN('2.ΤΙΜΕΣ ΚΛΕΙΣΙΜΑΤΟΣ'!Z8/'2.ΤΙΜΕΣ ΚΛΕΙΣΙΜΑΤΟΣ'!Z7)</f>
        <v>-2.0121403199421063E-2</v>
      </c>
      <c r="AA7" s="43">
        <f>LN('2.ΤΙΜΕΣ ΚΛΕΙΣΙΜΑΤΟΣ'!AA8/'2.ΤΙΜΕΣ ΚΛΕΙΣΙΜΑΤΟΣ'!AA7)</f>
        <v>4.9596941139371978E-2</v>
      </c>
      <c r="AB7" s="43">
        <f>LN('2.ΤΙΜΕΣ ΚΛΕΙΣΙΜΑΤΟΣ'!AB8/'2.ΤΙΜΕΣ ΚΛΕΙΣΙΜΑΤΟΣ'!AB7)</f>
        <v>-1.3820555618632087E-2</v>
      </c>
      <c r="AC7" s="43">
        <f>LN('2.ΤΙΜΕΣ ΚΛΕΙΣΙΜΑΤΟΣ'!AC8/'2.ΤΙΜΕΣ ΚΛΕΙΣΙΜΑΤΟΣ'!AC7)</f>
        <v>4.1987465463497612E-3</v>
      </c>
      <c r="AD7" s="43">
        <f>LN('2.ΤΙΜΕΣ ΚΛΕΙΣΙΜΑΤΟΣ'!AD8/'2.ΤΙΜΕΣ ΚΛΕΙΣΙΜΑΤΟΣ'!AD7)</f>
        <v>9.1186042164343381E-3</v>
      </c>
      <c r="AE7" s="43">
        <f>LN('2.ΤΙΜΕΣ ΚΛΕΙΣΙΜΑΤΟΣ'!AE8/'2.ΤΙΜΕΣ ΚΛΕΙΣΙΜΑΤΟΣ'!AE7)</f>
        <v>-6.1037829380176873E-3</v>
      </c>
      <c r="AF7" s="43">
        <f>LN('2.ΤΙΜΕΣ ΚΛΕΙΣΙΜΑΤΟΣ'!AF8/'2.ΤΙΜΕΣ ΚΛΕΙΣΙΜΑΤΟΣ'!AF7)</f>
        <v>1.7804624633506686E-2</v>
      </c>
      <c r="AG7" s="43">
        <f>LN('2.ΤΙΜΕΣ ΚΛΕΙΣΙΜΑΤΟΣ'!AG8/'2.ΤΙΜΕΣ ΚΛΕΙΣΙΜΑΤΟΣ'!AG7)</f>
        <v>1.4888612493750559E-2</v>
      </c>
      <c r="AH7" s="43">
        <f>LN('2.ΤΙΜΕΣ ΚΛΕΙΣΙΜΑΤΟΣ'!AH8/'2.ΤΙΜΕΣ ΚΛΕΙΣΙΜΑΤΟΣ'!AH7)</f>
        <v>-9.5314462655523655E-3</v>
      </c>
      <c r="AI7" s="43">
        <f>LN('2.ΤΙΜΕΣ ΚΛΕΙΣΙΜΑΤΟΣ'!AI8/'2.ΤΙΜΕΣ ΚΛΕΙΣΙΜΑΤΟΣ'!AI7)</f>
        <v>-8.5837436913914419E-3</v>
      </c>
      <c r="AJ7" s="43">
        <f>LN('2.ΤΙΜΕΣ ΚΛΕΙΣΙΜΑΤΟΣ'!AJ8/'2.ΤΙΜΕΣ ΚΛΕΙΣΙΜΑΤΟΣ'!AJ7)</f>
        <v>0.22595649269082449</v>
      </c>
      <c r="AK7" s="43">
        <f>LN('2.ΤΙΜΕΣ ΚΛΕΙΣΙΜΑΤΟΣ'!AK8/'2.ΤΙΜΕΣ ΚΛΕΙΣΙΜΑΤΟΣ'!AK7)</f>
        <v>-8.9286307443014312E-3</v>
      </c>
      <c r="AL7" s="43">
        <f>LN('2.ΤΙΜΕΣ ΚΛΕΙΣΙΜΑΤΟΣ'!AL8/'2.ΤΙΜΕΣ ΚΛΕΙΣΙΜΑΤΟΣ'!AL7)</f>
        <v>-2.2989518224698718E-2</v>
      </c>
      <c r="AM7" s="43">
        <f>LN('2.ΤΙΜΕΣ ΚΛΕΙΣΙΜΑΤΟΣ'!AM8/'2.ΤΙΜΕΣ ΚΛΕΙΣΙΜΑΤΟΣ'!AM7)</f>
        <v>7.4349784875182116E-3</v>
      </c>
      <c r="AN7" s="43">
        <f>LN('2.ΤΙΜΕΣ ΚΛΕΙΣΙΜΑΤΟΣ'!AN8/'2.ΤΙΜΕΣ ΚΛΕΙΣΙΜΑΤΟΣ'!AN7)</f>
        <v>0.1063804035585718</v>
      </c>
      <c r="AO7" s="43">
        <f>LN('2.ΤΙΜΕΣ ΚΛΕΙΣΙΜΑΤΟΣ'!AO8/'2.ΤΙΜΕΣ ΚΛΕΙΣΙΜΑΤΟΣ'!AO7)</f>
        <v>3.5776173165283434E-2</v>
      </c>
      <c r="AP7" s="43">
        <f>LN('2.ΤΙΜΕΣ ΚΛΕΙΣΙΜΑΤΟΣ'!AP8/'2.ΤΙΜΕΣ ΚΛΕΙΣΙΜΑΤΟΣ'!AP7)</f>
        <v>-2.5975486403260563E-2</v>
      </c>
      <c r="AQ7" s="43">
        <f>LN('2.ΤΙΜΕΣ ΚΛΕΙΣΙΜΑΤΟΣ'!AQ8/'2.ΤΙΜΕΣ ΚΛΕΙΣΙΜΑΤΟΣ'!AQ7)</f>
        <v>7.7961541469711917E-2</v>
      </c>
      <c r="AR7" s="43">
        <f>LN('2.ΤΙΜΕΣ ΚΛΕΙΣΙΜΑΤΟΣ'!AR8/'2.ΤΙΜΕΣ ΚΛΕΙΣΙΜΑΤΟΣ'!AR7)</f>
        <v>3.2970019237569897E-2</v>
      </c>
      <c r="AS7" s="43">
        <f>LN('2.ΤΙΜΕΣ ΚΛΕΙΣΙΜΑΤΟΣ'!AS8/'2.ΤΙΜΕΣ ΚΛΕΙΣΙΜΑΤΟΣ'!AS7)</f>
        <v>2.9741969198737516E-2</v>
      </c>
      <c r="AT7" s="43">
        <f>LN('2.ΤΙΜΕΣ ΚΛΕΙΣΙΜΑΤΟΣ'!AT8/'2.ΤΙΜΕΣ ΚΛΕΙΣΙΜΑΤΟΣ'!AT7)</f>
        <v>-1.9782400121057075E-3</v>
      </c>
      <c r="AU7" s="43">
        <f>LN('2.ΤΙΜΕΣ ΚΛΕΙΣΙΜΑΤΟΣ'!AU8/'2.ΤΙΜΕΣ ΚΛΕΙΣΙΜΑΤΟΣ'!AU7)</f>
        <v>-5.8886679800273919E-3</v>
      </c>
    </row>
    <row r="8" spans="1:47">
      <c r="A8" s="41">
        <v>43560</v>
      </c>
      <c r="B8" s="43">
        <f>LN('2.ΤΙΜΕΣ ΚΛΕΙΣΙΜΑΤΟΣ'!B9/'2.ΤΙΜΕΣ ΚΛΕΙΣΙΜΑΤΟΣ'!B8)</f>
        <v>-2.6640042395200312E-3</v>
      </c>
      <c r="C8" s="43">
        <f>LN('2.ΤΙΜΕΣ ΚΛΕΙΣΙΜΑΤΟΣ'!C9/'2.ΤΙΜΕΣ ΚΛΕΙΣΙΜΑΤΟΣ'!C8)</f>
        <v>4.9382816405825767E-3</v>
      </c>
      <c r="D8" s="43">
        <f>LN('2.ΤΙΜΕΣ ΚΛΕΙΣΙΜΑΤΟΣ'!D9/'2.ΤΙΜΕΣ ΚΛΕΙΣΙΜΑΤΟΣ'!D8)</f>
        <v>1.6331867095785997E-3</v>
      </c>
      <c r="E8" s="43">
        <f>LN('2.ΤΙΜΕΣ ΚΛΕΙΣΙΜΑΤΟΣ'!E9/'2.ΤΙΜΕΣ ΚΛΕΙΣΙΜΑΤΟΣ'!E8)</f>
        <v>8.113634774169631E-3</v>
      </c>
      <c r="F8" s="43">
        <f>LN('2.ΤΙΜΕΣ ΚΛΕΙΣΙΜΑΤΟΣ'!F9/'2.ΤΙΜΕΣ ΚΛΕΙΣΙΜΑΤΟΣ'!F8)</f>
        <v>1.4354313451683122E-2</v>
      </c>
      <c r="G8" s="43">
        <f>LN('2.ΤΙΜΕΣ ΚΛΕΙΣΙΜΑΤΟΣ'!G9/'2.ΤΙΜΕΣ ΚΛΕΙΣΙΜΑΤΟΣ'!G8)</f>
        <v>-8.3449719321806465E-3</v>
      </c>
      <c r="H8" s="43">
        <f>LN('2.ΤΙΜΕΣ ΚΛΕΙΣΙΜΑΤΟΣ'!H9/'2.ΤΙΜΕΣ ΚΛΕΙΣΙΜΑΤΟΣ'!H8)</f>
        <v>-6.6698675091071058E-3</v>
      </c>
      <c r="I8" s="43">
        <f>LN('2.ΤΙΜΕΣ ΚΛΕΙΣΙΜΑΤΟΣ'!I9/'2.ΤΙΜΕΣ ΚΛΕΙΣΙΜΑΤΟΣ'!I8)</f>
        <v>6.7258442648337066E-2</v>
      </c>
      <c r="J8" s="43">
        <f>LN('2.ΤΙΜΕΣ ΚΛΕΙΣΙΜΑΤΟΣ'!J9/'2.ΤΙΜΕΣ ΚΛΕΙΣΙΜΑΤΟΣ'!J8)</f>
        <v>3.2789822822990755E-2</v>
      </c>
      <c r="K8" s="43">
        <f>LN('2.ΤΙΜΕΣ ΚΛΕΙΣΙΜΑΤΟΣ'!K9/'2.ΤΙΜΕΣ ΚΛΕΙΣΙΜΑΤΟΣ'!K8)</f>
        <v>8.9186767318388104E-3</v>
      </c>
      <c r="L8" s="43">
        <f>LN('2.ΤΙΜΕΣ ΚΛΕΙΣΙΜΑΤΟΣ'!L9/'2.ΤΙΜΕΣ ΚΛΕΙΣΙΜΑΤΟΣ'!L8)</f>
        <v>1.8172600579645502E-2</v>
      </c>
      <c r="M8" s="43">
        <f>LN('2.ΤΙΜΕΣ ΚΛΕΙΣΙΜΑΤΟΣ'!M9/'2.ΤΙΜΕΣ ΚΛΕΙΣΙΜΑΤΟΣ'!M8)</f>
        <v>-5.2548728383585855E-3</v>
      </c>
      <c r="N8" s="43">
        <f>LN('2.ΤΙΜΕΣ ΚΛΕΙΣΙΜΑΤΟΣ'!N9/'2.ΤΙΜΕΣ ΚΛΕΙΣΙΜΑΤΟΣ'!N8)</f>
        <v>2.978758963537343E-3</v>
      </c>
      <c r="O8" s="43">
        <f>LN('2.ΤΙΜΕΣ ΚΛΕΙΣΙΜΑΤΟΣ'!O9/'2.ΤΙΜΕΣ ΚΛΕΙΣΙΜΑΤΟΣ'!O8)</f>
        <v>1.7467253349418002E-3</v>
      </c>
      <c r="P8" s="43">
        <f>LN('2.ΤΙΜΕΣ ΚΛΕΙΣΙΜΑΤΟΣ'!P9/'2.ΤΙΜΕΣ ΚΛΕΙΣΙΜΑΤΟΣ'!P8)</f>
        <v>1.6682499959936276E-2</v>
      </c>
      <c r="Q8" s="43">
        <f>LN('2.ΤΙΜΕΣ ΚΛΕΙΣΙΜΑΤΟΣ'!Q9/'2.ΤΙΜΕΣ ΚΛΕΙΣΙΜΑΤΟΣ'!Q8)</f>
        <v>0.11640277318742505</v>
      </c>
      <c r="R8" s="43">
        <f>LN('2.ΤΙΜΕΣ ΚΛΕΙΣΙΜΑΤΟΣ'!R9/'2.ΤΙΜΕΣ ΚΛΕΙΣΙΜΑΤΟΣ'!R8)</f>
        <v>2.4391453124159048E-2</v>
      </c>
      <c r="S8" s="43">
        <f>LN('2.ΤΙΜΕΣ ΚΛΕΙΣΙΜΑΤΟΣ'!S9/'2.ΤΙΜΕΣ ΚΛΕΙΣΙΜΑΤΟΣ'!S8)</f>
        <v>-6.8634449249824004E-3</v>
      </c>
      <c r="T8" s="43">
        <f>LN('2.ΤΙΜΕΣ ΚΛΕΙΣΙΜΑΤΟΣ'!T9/'2.ΤΙΜΕΣ ΚΛΕΙΣΙΜΑΤΟΣ'!T8)</f>
        <v>0</v>
      </c>
      <c r="U8" s="43">
        <f>LN('2.ΤΙΜΕΣ ΚΛΕΙΣΙΜΑΤΟΣ'!U9/'2.ΤΙΜΕΣ ΚΛΕΙΣΙΜΑΤΟΣ'!U8)</f>
        <v>-1.1409014357915558E-3</v>
      </c>
      <c r="V8" s="43">
        <f>LN('2.ΤΙΜΕΣ ΚΛΕΙΣΙΜΑΤΟΣ'!V9/'2.ΤΙΜΕΣ ΚΛΕΙΣΙΜΑΤΟΣ'!V8)</f>
        <v>8.0878546016989062E-3</v>
      </c>
      <c r="W8" s="43">
        <f>LN('2.ΤΙΜΕΣ ΚΛΕΙΣΙΜΑΤΟΣ'!W9/'2.ΤΙΜΕΣ ΚΛΕΙΣΙΜΑΤΟΣ'!W8)</f>
        <v>-3.6697288889622902E-3</v>
      </c>
      <c r="X8" s="43">
        <f>LN('2.ΤΙΜΕΣ ΚΛΕΙΣΙΜΑΤΟΣ'!X9/'2.ΤΙΜΕΣ ΚΛΕΙΣΙΜΑΤΟΣ'!X8)</f>
        <v>1.3744489589170262E-2</v>
      </c>
      <c r="Y8" s="43">
        <f>LN('2.ΤΙΜΕΣ ΚΛΕΙΣΙΜΑΤΟΣ'!Y9/'2.ΤΙΜΕΣ ΚΛΕΙΣΙΜΑΤΟΣ'!Y8)</f>
        <v>8.8594156435162757E-3</v>
      </c>
      <c r="Z8" s="43">
        <f>LN('2.ΤΙΜΕΣ ΚΛΕΙΣΙΜΑΤΟΣ'!Z9/'2.ΤΙΜΕΣ ΚΛΕΙΣΙΜΑΤΟΣ'!Z8)</f>
        <v>1.6129381929883498E-2</v>
      </c>
      <c r="AA8" s="43">
        <f>LN('2.ΤΙΜΕΣ ΚΛΕΙΣΙΜΑΤΟΣ'!AA9/'2.ΤΙΜΕΣ ΚΛΕΙΣΙΜΑΤΟΣ'!AA8)</f>
        <v>1.2024192966801812E-2</v>
      </c>
      <c r="AB8" s="43">
        <f>LN('2.ΤΙΜΕΣ ΚΛΕΙΣΙΜΑΤΟΣ'!AB9/'2.ΤΙΜΕΣ ΚΛΕΙΣΙΜΑΤΟΣ'!AB8)</f>
        <v>3.3238641475733716E-2</v>
      </c>
      <c r="AC8" s="43">
        <f>LN('2.ΤΙΜΕΣ ΚΛΕΙΣΙΜΑΤΟΣ'!AC9/'2.ΤΙΜΕΣ ΚΛΕΙΣΙΜΑΤΟΣ'!AC8)</f>
        <v>6.9589703243035225E-3</v>
      </c>
      <c r="AD8" s="43">
        <f>LN('2.ΤΙΜΕΣ ΚΛΕΙΣΙΜΑΤΟΣ'!AD9/'2.ΤΙΜΕΣ ΚΛΕΙΣΙΜΑΤΟΣ'!AD8)</f>
        <v>-1.0646488394487577E-2</v>
      </c>
      <c r="AE8" s="43">
        <f>LN('2.ΤΙΜΕΣ ΚΛΕΙΣΙΜΑΤΟΣ'!AE9/'2.ΤΙΜΕΣ ΚΛΕΙΣΙΜΑΤΟΣ'!AE8)</f>
        <v>1.0152371464017908E-2</v>
      </c>
      <c r="AF8" s="43">
        <f>LN('2.ΤΙΜΕΣ ΚΛΕΙΣΙΜΑΤΟΣ'!AF9/'2.ΤΙΜΕΣ ΚΛΕΙΣΙΜΑΤΟΣ'!AF8)</f>
        <v>7.0340266573799817E-3</v>
      </c>
      <c r="AG8" s="43">
        <f>LN('2.ΤΙΜΕΣ ΚΛΕΙΣΙΜΑΤΟΣ'!AG9/'2.ΤΙΜΕΣ ΚΛΕΙΣΙΜΑΤΟΣ'!AG8)</f>
        <v>9.8040000966206145E-3</v>
      </c>
      <c r="AH8" s="43">
        <f>LN('2.ΤΙΜΕΣ ΚΛΕΙΣΙΜΑΤΟΣ'!AH9/'2.ΤΙΜΕΣ ΚΛΕΙΣΙΜΑΤΟΣ'!AH8)</f>
        <v>7.9491674544228778E-3</v>
      </c>
      <c r="AI8" s="43">
        <f>LN('2.ΤΙΜΕΣ ΚΛΕΙΣΙΜΑΤΟΣ'!AI9/'2.ΤΙΜΕΣ ΚΛΕΙΣΙΜΑΤΟΣ'!AI8)</f>
        <v>0</v>
      </c>
      <c r="AJ8" s="43">
        <f>LN('2.ΤΙΜΕΣ ΚΛΕΙΣΙΜΑΤΟΣ'!AJ9/'2.ΤΙΜΕΣ ΚΛΕΙΣΙΜΑΤΟΣ'!AJ8)</f>
        <v>-4.9914391381712955E-2</v>
      </c>
      <c r="AK8" s="43">
        <f>LN('2.ΤΙΜΕΣ ΚΛΕΙΣΙΜΑΤΟΣ'!AK9/'2.ΤΙΜΕΣ ΚΛΕΙΣΙΜΑΤΟΣ'!AK8)</f>
        <v>1.7778246021283969E-2</v>
      </c>
      <c r="AL8" s="43">
        <f>LN('2.ΤΙΜΕΣ ΚΛΕΙΣΙΜΑΤΟΣ'!AL9/'2.ΤΙΜΕΣ ΚΛΕΙΣΙΜΑΤΟΣ'!AL8)</f>
        <v>2.2989518224698781E-2</v>
      </c>
      <c r="AM8" s="43">
        <f>LN('2.ΤΙΜΕΣ ΚΛΕΙΣΙΜΑΤΟΣ'!AM9/'2.ΤΙΜΕΣ ΚΛΕΙΣΙΜΑΤΟΣ'!AM8)</f>
        <v>0</v>
      </c>
      <c r="AN8" s="43">
        <f>LN('2.ΤΙΜΕΣ ΚΛΕΙΣΙΜΑΤΟΣ'!AN9/'2.ΤΙΜΕΣ ΚΛΕΙΣΙΜΑΤΟΣ'!AN8)</f>
        <v>-1.5408625352845068E-2</v>
      </c>
      <c r="AO8" s="43">
        <f>LN('2.ΤΙΜΕΣ ΚΛΕΙΣΙΜΑΤΟΣ'!AO9/'2.ΤΙΜΕΣ ΚΛΕΙΣΙΜΑΤΟΣ'!AO8)</f>
        <v>4.3756980357100309E-2</v>
      </c>
      <c r="AP8" s="43">
        <f>LN('2.ΤΙΜΕΣ ΚΛΕΙΣΙΜΑΤΟΣ'!AP9/'2.ΤΙΜΕΣ ΚΛΕΙΣΙΜΑΤΟΣ'!AP8)</f>
        <v>7.6483543216108799E-2</v>
      </c>
      <c r="AQ8" s="43">
        <f>LN('2.ΤΙΜΕΣ ΚΛΕΙΣΙΜΑΤΟΣ'!AQ9/'2.ΤΙΜΕΣ ΚΛΕΙΣΙΜΑΤΟΣ'!AQ8)</f>
        <v>2.8437935320533625E-2</v>
      </c>
      <c r="AR8" s="43">
        <f>LN('2.ΤΙΜΕΣ ΚΛΕΙΣΙΜΑΤΟΣ'!AR9/'2.ΤΙΜΕΣ ΚΛΕΙΣΙΜΑΤΟΣ'!AR8)</f>
        <v>-1.0869672236903879E-2</v>
      </c>
      <c r="AS8" s="43">
        <f>LN('2.ΤΙΜΕΣ ΚΛΕΙΣΙΜΑΤΟΣ'!AS9/'2.ΤΙΜΕΣ ΚΛΕΙΣΙΜΑΤΟΣ'!AS8)</f>
        <v>-3.6697288889622902E-3</v>
      </c>
      <c r="AT8" s="43">
        <f>LN('2.ΤΙΜΕΣ ΚΛΕΙΣΙΜΑΤΟΣ'!AT9/'2.ΤΙΜΕΣ ΚΛΕΙΣΙΜΑΤΟΣ'!AT8)</f>
        <v>5.9575731795442212E-2</v>
      </c>
      <c r="AU8" s="43">
        <f>LN('2.ΤΙΜΕΣ ΚΛΕΙΣΙΜΑΤΟΣ'!AU9/'2.ΤΙΜΕΣ ΚΛΕΙΣΙΜΑΤΟΣ'!AU8)</f>
        <v>1.2565023722950831E-2</v>
      </c>
    </row>
    <row r="9" spans="1:47">
      <c r="A9" s="41">
        <v>43563</v>
      </c>
      <c r="B9" s="43">
        <f>LN('2.ΤΙΜΕΣ ΚΛΕΙΣΙΜΑΤΟΣ'!B10/'2.ΤΙΜΕΣ ΚΛΕΙΣΙΜΑΤΟΣ'!B9)</f>
        <v>-1.2414183921264869E-2</v>
      </c>
      <c r="C9" s="43">
        <f>LN('2.ΤΙΜΕΣ ΚΛΕΙΣΙΜΑΤΟΣ'!C10/'2.ΤΙΜΕΣ ΚΛΕΙΣΙΜΑΤΟΣ'!C9)</f>
        <v>8.2068121142913535E-4</v>
      </c>
      <c r="D9" s="43">
        <f>LN('2.ΤΙΜΕΣ ΚΛΕΙΣΙΜΑΤΟΣ'!D10/'2.ΤΙΜΕΣ ΚΛΕΙΣΙΜΑΤΟΣ'!D9)</f>
        <v>1.0820274361708076E-2</v>
      </c>
      <c r="E9" s="43">
        <f>LN('2.ΤΙΜΕΣ ΚΛΕΙΣΙΜΑΤΟΣ'!E10/'2.ΤΙΜΕΣ ΚΛΕΙΣΙΜΑΤΟΣ'!E9)</f>
        <v>3.3613477027049274E-3</v>
      </c>
      <c r="F9" s="43">
        <f>LN('2.ΤΙΜΕΣ ΚΛΕΙΣΙΜΑΤΟΣ'!F10/'2.ΤΙΜΕΣ ΚΛΕΙΣΙΜΑΤΟΣ'!F9)</f>
        <v>-8.3482893914712739E-3</v>
      </c>
      <c r="G9" s="43">
        <f>LN('2.ΤΙΜΕΣ ΚΛΕΙΣΙΜΑΤΟΣ'!G10/'2.ΤΙΜΕΣ ΚΛΕΙΣΙΜΑΤΟΣ'!G9)</f>
        <v>-1.9746762934834558E-2</v>
      </c>
      <c r="H9" s="43">
        <f>LN('2.ΤΙΜΕΣ ΚΛΕΙΣΙΜΑΤΟΣ'!H10/'2.ΤΙΜΕΣ ΚΛΕΙΣΙΜΑΤΟΣ'!H9)</f>
        <v>8.5674012852985839E-3</v>
      </c>
      <c r="I9" s="43">
        <f>LN('2.ΤΙΜΕΣ ΚΛΕΙΣΙΜΑΤΟΣ'!I10/'2.ΤΙΜΕΣ ΚΛΕΙΣΙΜΑΤΟΣ'!I9)</f>
        <v>7.1454093786862841E-4</v>
      </c>
      <c r="J9" s="43">
        <f>LN('2.ΤΙΜΕΣ ΚΛΕΙΣΙΜΑΤΟΣ'!J10/'2.ΤΙΜΕΣ ΚΛΕΙΣΙΜΑΤΟΣ'!J9)</f>
        <v>-1.8682155312311554E-2</v>
      </c>
      <c r="K9" s="43">
        <f>LN('2.ΤΙΜΕΣ ΚΛΕΙΣΙΜΑΤΟΣ'!K10/'2.ΤΙΜΕΣ ΚΛΕΙΣΙΜΑΤΟΣ'!K9)</f>
        <v>0</v>
      </c>
      <c r="L9" s="43">
        <f>LN('2.ΤΙΜΕΣ ΚΛΕΙΣΙΜΑΤΟΣ'!L10/'2.ΤΙΜΕΣ ΚΛΕΙΣΙΜΑΤΟΣ'!L9)</f>
        <v>6.3358184490859238E-3</v>
      </c>
      <c r="M9" s="43">
        <f>LN('2.ΤΙΜΕΣ ΚΛΕΙΣΙΜΑΤΟΣ'!M10/'2.ΤΙΜΕΣ ΚΛΕΙΣΙΜΑΤΟΣ'!M9)</f>
        <v>-8.4656590245482388E-3</v>
      </c>
      <c r="N9" s="43">
        <f>LN('2.ΤΙΜΕΣ ΚΛΕΙΣΙΜΑΤΟΣ'!N10/'2.ΤΙΜΕΣ ΚΛΕΙΣΙΜΑΤΟΣ'!N9)</f>
        <v>-2.9787589635373035E-3</v>
      </c>
      <c r="O9" s="43">
        <f>LN('2.ΤΙΜΕΣ ΚΛΕΙΣΙΜΑΤΟΣ'!O10/'2.ΤΙΜΕΣ ΚΛΕΙΣΙΜΑΤΟΣ'!O9)</f>
        <v>1.214238682572534E-2</v>
      </c>
      <c r="P9" s="43">
        <f>LN('2.ΤΙΜΕΣ ΚΛΕΙΣΙΜΑΤΟΣ'!P10/'2.ΤΙΜΕΣ ΚΛΕΙΣΙΜΑΤΟΣ'!P9)</f>
        <v>-1.1090686694158284E-2</v>
      </c>
      <c r="Q9" s="43">
        <f>LN('2.ΤΙΜΕΣ ΚΛΕΙΣΙΜΑΤΟΣ'!Q10/'2.ΤΙΜΕΣ ΚΛΕΙΣΙΜΑΤΟΣ'!Q9)</f>
        <v>3.9716411212505617E-2</v>
      </c>
      <c r="R9" s="43">
        <f>LN('2.ΤΙΜΕΣ ΚΛΕΙΣΙΜΑΤΟΣ'!R10/'2.ΤΙΜΕΣ ΚΛΕΙΣΙΜΑΤΟΣ'!R9)</f>
        <v>3.0844675351098569E-2</v>
      </c>
      <c r="S9" s="43">
        <f>LN('2.ΤΙΜΕΣ ΚΛΕΙΣΙΜΑΤΟΣ'!S10/'2.ΤΙΜΕΣ ΚΛΕΙΣΙΜΑΤΟΣ'!S9)</f>
        <v>-1.1080445776571907E-2</v>
      </c>
      <c r="T9" s="43">
        <f>LN('2.ΤΙΜΕΣ ΚΛΕΙΣΙΜΑΤΟΣ'!T10/'2.ΤΙΜΕΣ ΚΛΕΙΣΙΜΑΤΟΣ'!T9)</f>
        <v>-5.7637047167501294E-3</v>
      </c>
      <c r="U9" s="43">
        <f>LN('2.ΤΙΜΕΣ ΚΛΕΙΣΙΜΑΤΟΣ'!U10/'2.ΤΙΜΕΣ ΚΛΕΙΣΙΜΑΤΟΣ'!U9)</f>
        <v>2.2805026987253031E-3</v>
      </c>
      <c r="V9" s="43">
        <f>LN('2.ΤΙΜΕΣ ΚΛΕΙΣΙΜΑΤΟΣ'!V10/'2.ΤΙΜΕΣ ΚΛΕΙΣΙΜΑΤΟΣ'!V9)</f>
        <v>3.5051638058918796E-2</v>
      </c>
      <c r="W9" s="43">
        <f>LN('2.ΤΙΜΕΣ ΚΛΕΙΣΙΜΑΤΟΣ'!W10/'2.ΤΙΜΕΣ ΚΛΕΙΣΙΜΑΤΟΣ'!W9)</f>
        <v>7.3260400920728812E-3</v>
      </c>
      <c r="X9" s="43">
        <f>LN('2.ΤΙΜΕΣ ΚΛΕΙΣΙΜΑΤΟΣ'!X10/'2.ΤΙΜΕΣ ΚΛΕΙΣΙΜΑΤΟΣ'!X9)</f>
        <v>0</v>
      </c>
      <c r="Y9" s="43">
        <f>LN('2.ΤΙΜΕΣ ΚΛΕΙΣΙΜΑΤΟΣ'!Y10/'2.ΤΙΜΕΣ ΚΛΕΙΣΙΜΑΤΟΣ'!Y9)</f>
        <v>2.0731784531042727E-2</v>
      </c>
      <c r="Z9" s="43">
        <f>LN('2.ΤΙΜΕΣ ΚΛΕΙΣΙΜΑΤΟΣ'!Z10/'2.ΤΙΜΕΣ ΚΛΕΙΣΙΜΑΤΟΣ'!Z9)</f>
        <v>7.9681696491768813E-3</v>
      </c>
      <c r="AA9" s="43">
        <f>LN('2.ΤΙΜΕΣ ΚΛΕΙΣΙΜΑΤΟΣ'!AA10/'2.ΤΙΜΕΣ ΚΛΕΙΣΙΜΑΤΟΣ'!AA9)</f>
        <v>3.5228691883743814E-2</v>
      </c>
      <c r="AB9" s="43">
        <f>LN('2.ΤΙΜΕΣ ΚΛΕΙΣΙΜΑΤΟΣ'!AB10/'2.ΤΙΜΕΣ ΚΛΕΙΣΙΜΑΤΟΣ'!AB9)</f>
        <v>0</v>
      </c>
      <c r="AC9" s="43">
        <f>LN('2.ΤΙΜΕΣ ΚΛΕΙΣΙΜΑΤΟΣ'!AC10/'2.ΤΙΜΕΣ ΚΛΕΙΣΙΜΑΤΟΣ'!AC9)</f>
        <v>6.9108775398470101E-3</v>
      </c>
      <c r="AD9" s="43">
        <f>LN('2.ΤΙΜΕΣ ΚΛΕΙΣΙΜΑΤΟΣ'!AD10/'2.ΤΙΜΕΣ ΚΛΕΙΣΙΜΑΤΟΣ'!AD9)</f>
        <v>6.0975798681185377E-3</v>
      </c>
      <c r="AE9" s="43">
        <f>LN('2.ΤΙΜΕΣ ΚΛΕΙΣΙΜΑΤΟΣ'!AE10/'2.ΤΙΜΕΣ ΚΛΕΙΣΙΜΑΤΟΣ'!AE9)</f>
        <v>1.0050335853501506E-2</v>
      </c>
      <c r="AF9" s="43">
        <f>LN('2.ΤΙΜΕΣ ΚΛΕΙΣΙΜΑΤΟΣ'!AF10/'2.ΤΙΜΕΣ ΚΛΕΙΣΙΜΑΤΟΣ'!AF9)</f>
        <v>3.4985458425133668E-3</v>
      </c>
      <c r="AG9" s="43">
        <f>LN('2.ΤΙΜΕΣ ΚΛΕΙΣΙΜΑΤΟΣ'!AG10/'2.ΤΙΜΕΣ ΚΛΕΙΣΙΜΑΤΟΣ'!AG9)</f>
        <v>-4.8899852941917919E-3</v>
      </c>
      <c r="AH9" s="43">
        <f>LN('2.ΤΙΜΕΣ ΚΛΕΙΣΙΜΑΤΟΣ'!AH10/'2.ΤΙΜΕΣ ΚΛΕΙΣΙΜΑΤΟΣ'!AH9)</f>
        <v>-1.034629205414426E-2</v>
      </c>
      <c r="AI9" s="43">
        <f>LN('2.ΤΙΜΕΣ ΚΛΕΙΣΙΜΑΤΟΣ'!AI10/'2.ΤΙΜΕΣ ΚΛΕΙΣΙΜΑΤΟΣ'!AI9)</f>
        <v>0</v>
      </c>
      <c r="AJ9" s="43">
        <f>LN('2.ΤΙΜΕΣ ΚΛΕΙΣΙΜΑΤΟΣ'!AJ10/'2.ΤΙΜΕΣ ΚΛΕΙΣΙΜΑΤΟΣ'!AJ9)</f>
        <v>-3.9447782910164517E-3</v>
      </c>
      <c r="AK9" s="43">
        <f>LN('2.ΤΙΜΕΣ ΚΛΕΙΣΙΜΑΤΟΣ'!AK10/'2.ΤΙΜΕΣ ΚΛΕΙΣΙΜΑΤΟΣ'!AK9)</f>
        <v>-4.4150182091169431E-3</v>
      </c>
      <c r="AL9" s="43">
        <f>LN('2.ΤΙΜΕΣ ΚΛΕΙΣΙΜΑΤΟΣ'!AL10/'2.ΤΙΜΕΣ ΚΛΕΙΣΙΜΑΤΟΣ'!AL9)</f>
        <v>-2.2989518224698718E-2</v>
      </c>
      <c r="AM9" s="43">
        <f>LN('2.ΤΙΜΕΣ ΚΛΕΙΣΙΜΑΤΟΣ'!AM10/'2.ΤΙΜΕΣ ΚΛΕΙΣΙΜΑΤΟΣ'!AM9)</f>
        <v>-2.4721891453890368E-3</v>
      </c>
      <c r="AN9" s="43">
        <f>LN('2.ΤΙΜΕΣ ΚΛΕΙΣΙΜΑΤΟΣ'!AN10/'2.ΤΙΜΕΣ ΚΛΕΙΣΙΜΑΤΟΣ'!AN9)</f>
        <v>-5.4239768936996731E-2</v>
      </c>
      <c r="AO9" s="43">
        <f>LN('2.ΤΙΜΕΣ ΚΛΕΙΣΙΜΑΤΟΣ'!AO10/'2.ΤΙΜΕΣ ΚΛΕΙΣΙΜΑΤΟΣ'!AO9)</f>
        <v>2.7150989065950898E-2</v>
      </c>
      <c r="AP9" s="43">
        <f>LN('2.ΤΙΜΕΣ ΚΛΕΙΣΙΜΑΤΟΣ'!AP10/'2.ΤΙΜΕΣ ΚΛΕΙΣΙΜΑΤΟΣ'!AP9)</f>
        <v>0</v>
      </c>
      <c r="AQ9" s="43">
        <f>LN('2.ΤΙΜΕΣ ΚΛΕΙΣΙΜΑΤΟΣ'!AQ10/'2.ΤΙΜΕΣ ΚΛΕΙΣΙΜΑΤΟΣ'!AQ9)</f>
        <v>1.8674141747954624E-3</v>
      </c>
      <c r="AR9" s="43">
        <f>LN('2.ΤΙΜΕΣ ΚΛΕΙΣΙΜΑΤΟΣ'!AR10/'2.ΤΙΜΕΣ ΚΛΕΙΣΙΜΑΤΟΣ'!AR9)</f>
        <v>9.7880063661629439E-3</v>
      </c>
      <c r="AS9" s="43">
        <f>LN('2.ΤΙΜΕΣ ΚΛΕΙΣΙΜΑΤΟΣ'!AS10/'2.ΤΙΜΕΣ ΚΛΕΙΣΙΜΑΤΟΣ'!AS9)</f>
        <v>-7.3801072976225337E-3</v>
      </c>
      <c r="AT9" s="43">
        <f>LN('2.ΤΙΜΕΣ ΚΛΕΙΣΙΜΑΤΟΣ'!AT10/'2.ΤΙΜΕΣ ΚΛΕΙΣΙΜΑΤΟΣ'!AT9)</f>
        <v>-1.6933612529439625E-2</v>
      </c>
      <c r="AU9" s="43">
        <f>LN('2.ΤΙΜΕΣ ΚΛΕΙΣΙΜΑΤΟΣ'!AU10/'2.ΤΙΜΕΣ ΚΛΕΙΣΙΜΑΤΟΣ'!AU9)</f>
        <v>-1.1140584706615295E-3</v>
      </c>
    </row>
    <row r="10" spans="1:47">
      <c r="A10" s="41">
        <v>43564</v>
      </c>
      <c r="B10" s="43">
        <f>LN('2.ΤΙΜΕΣ ΚΛΕΙΣΙΜΑΤΟΣ'!B11/'2.ΤΙΜΕΣ ΚΛΕΙΣΙΜΑΤΟΣ'!B10)</f>
        <v>-7.1150562737491247E-3</v>
      </c>
      <c r="C10" s="43">
        <f>LN('2.ΤΙΜΕΣ ΚΛΕΙΣΙΜΑΤΟΣ'!C11/'2.ΤΙΜΕΣ ΚΛΕΙΣΙΜΑΤΟΣ'!C10)</f>
        <v>-4.1101578618278753E-3</v>
      </c>
      <c r="D10" s="43">
        <f>LN('2.ΤΙΜΕΣ ΚΛΕΙΣΙΜΑΤΟΣ'!D11/'2.ΤΙΜΕΣ ΚΛΕΙΣΙΜΑΤΟΣ'!D10)</f>
        <v>1.3893565369686662E-2</v>
      </c>
      <c r="E10" s="43">
        <f>LN('2.ΤΙΜΕΣ ΚΛΕΙΣΙΜΑΤΟΣ'!E11/'2.ΤΙΜΕΣ ΚΛΕΙΣΙΜΑΤΟΣ'!E10)</f>
        <v>0</v>
      </c>
      <c r="F10" s="43">
        <f>LN('2.ΤΙΜΕΣ ΚΛΕΙΣΙΜΑΤΟΣ'!F11/'2.ΤΙΜΕΣ ΚΛΕΙΣΙΜΑΤΟΣ'!F10)</f>
        <v>1.1968882338461726E-3</v>
      </c>
      <c r="G10" s="43">
        <f>LN('2.ΤΙΜΕΣ ΚΛΕΙΣΙΜΑΤΟΣ'!G11/'2.ΤΙΜΕΣ ΚΛΕΙΣΙΜΑΤΟΣ'!G10)</f>
        <v>-1.2903404835907954E-2</v>
      </c>
      <c r="H10" s="43">
        <f>LN('2.ΤΙΜΕΣ ΚΛΕΙΣΙΜΑΤΟΣ'!H11/'2.ΤΙΜΕΣ ΚΛΕΙΣΙΜΑΤΟΣ'!H10)</f>
        <v>-3.7986750332157839E-3</v>
      </c>
      <c r="I10" s="43">
        <f>LN('2.ΤΙΜΕΣ ΚΛΕΙΣΙΜΑΤΟΣ'!I11/'2.ΤΙΜΕΣ ΚΛΕΙΣΙΜΑΤΟΣ'!I10)</f>
        <v>3.163708494318266E-2</v>
      </c>
      <c r="J10" s="43">
        <f>LN('2.ΤΙΜΕΣ ΚΛΕΙΣΙΜΑΤΟΣ'!J11/'2.ΤΙΜΕΣ ΚΛΕΙΣΙΜΑΤΟΣ'!J10)</f>
        <v>-4.860933146906026E-3</v>
      </c>
      <c r="K10" s="43">
        <f>LN('2.ΤΙΜΕΣ ΚΛΕΙΣΙΜΑΤΟΣ'!K11/'2.ΤΙΜΕΣ ΚΛΕΙΣΙΜΑΤΟΣ'!K10)</f>
        <v>2.6442908133874368E-2</v>
      </c>
      <c r="L10" s="43">
        <f>LN('2.ΤΙΜΕΣ ΚΛΕΙΣΙΜΑΤΟΣ'!L11/'2.ΤΙΜΕΣ ΚΛΕΙΣΙΜΑΤΟΣ'!L10)</f>
        <v>0</v>
      </c>
      <c r="M10" s="43">
        <f>LN('2.ΤΙΜΕΣ ΚΛΕΙΣΙΜΑΤΟΣ'!M11/'2.ΤΙΜΕΣ ΚΛΕΙΣΙΜΑΤΟΣ'!M10)</f>
        <v>9.5188450092068399E-3</v>
      </c>
      <c r="N10" s="43">
        <f>LN('2.ΤΙΜΕΣ ΚΛΕΙΣΙΜΑΤΟΣ'!N11/'2.ΤΙΜΕΣ ΚΛΕΙΣΙΜΑΤΟΣ'!N10)</f>
        <v>6.1047383768295443E-3</v>
      </c>
      <c r="O10" s="43">
        <f>LN('2.ΤΙΜΕΣ ΚΛΕΙΣΙΜΑΤΟΣ'!O11/'2.ΤΙΜΕΣ ΚΛΕΙΣΙΜΑΤΟΣ'!O10)</f>
        <v>1.3698844358161927E-2</v>
      </c>
      <c r="P10" s="43">
        <f>LN('2.ΤΙΜΕΣ ΚΛΕΙΣΙΜΑΤΟΣ'!P11/'2.ΤΙΜΕΣ ΚΛΕΙΣΙΜΑΤΟΣ'!P10)</f>
        <v>-3.7243990909823282E-3</v>
      </c>
      <c r="Q10" s="43">
        <f>LN('2.ΤΙΜΕΣ ΚΛΕΙΣΙΜΑΤΟΣ'!Q11/'2.ΤΙΜΕΣ ΚΛΕΙΣΙΜΑΤΟΣ'!Q10)</f>
        <v>2.7925025705470286E-2</v>
      </c>
      <c r="R10" s="43">
        <f>LN('2.ΤΙΜΕΣ ΚΛΕΙΣΙΜΑΤΟΣ'!R11/'2.ΤΙΜΕΣ ΚΛΕΙΣΙΜΑΤΟΣ'!R10)</f>
        <v>-1.767871616879409E-2</v>
      </c>
      <c r="S10" s="43">
        <f>LN('2.ΤΙΜΕΣ ΚΛΕΙΣΙΜΑΤΟΣ'!S11/'2.ΤΙΜΕΣ ΚΛΕΙΣΙΜΑΤΟΣ'!S10)</f>
        <v>-8.3916576362484015E-3</v>
      </c>
      <c r="T10" s="43">
        <f>LN('2.ΤΙΜΕΣ ΚΛΕΙΣΙΜΑΤΟΣ'!T11/'2.ΤΙΜΕΣ ΚΛΕΙΣΙΜΑΤΟΣ'!T10)</f>
        <v>-1.4461318499996267E-3</v>
      </c>
      <c r="U10" s="43">
        <f>LN('2.ΤΙΜΕΣ ΚΛΕΙΣΙΜΑΤΟΣ'!U11/'2.ΤΙΜΕΣ ΚΛΕΙΣΙΜΑΤΟΣ'!U10)</f>
        <v>-9.1533819864872482E-3</v>
      </c>
      <c r="V10" s="43">
        <f>LN('2.ΤΙΜΕΣ ΚΛΕΙΣΙΜΑΤΟΣ'!V11/'2.ΤΙΜΕΣ ΚΛΕΙΣΙΜΑΤΟΣ'!V10)</f>
        <v>-2.2246950221110513E-3</v>
      </c>
      <c r="W10" s="43">
        <f>LN('2.ΤΙΜΕΣ ΚΛΕΙΣΙΜΑΤΟΣ'!W11/'2.ΤΙΜΕΣ ΚΛΕΙΣΙΜΑΤΟΣ'!W10)</f>
        <v>-4.8780584534329667E-3</v>
      </c>
      <c r="X10" s="43">
        <f>LN('2.ΤΙΜΕΣ ΚΛΕΙΣΙΜΑΤΟΣ'!X11/'2.ΤΙΜΕΣ ΚΛΕΙΣΙΜΑΤΟΣ'!X10)</f>
        <v>6.5966019460595238E-3</v>
      </c>
      <c r="Y10" s="43">
        <f>LN('2.ΤΙΜΕΣ ΚΛΕΙΣΙΜΑΤΟΣ'!Y11/'2.ΤΙΜΕΣ ΚΛΕΙΣΙΜΑΤΟΣ'!Y10)</f>
        <v>6.4585800394119488E-3</v>
      </c>
      <c r="Z10" s="43">
        <f>LN('2.ΤΙΜΕΣ ΚΛΕΙΣΙΜΑΤΟΣ'!Z11/'2.ΤΙΜΕΣ ΚΛΕΙΣΙΜΑΤΟΣ'!Z10)</f>
        <v>3.9604012160969143E-3</v>
      </c>
      <c r="AA10" s="43">
        <f>LN('2.ΤΙΜΕΣ ΚΛΕΙΣΙΜΑΤΟΣ'!AA11/'2.ΤΙΜΕΣ ΚΛΕΙΣΙΜΑΤΟΣ'!AA10)</f>
        <v>-1.1605546120308003E-2</v>
      </c>
      <c r="AB10" s="43">
        <f>LN('2.ΤΙΜΕΣ ΚΛΕΙΣΙΜΑΤΟΣ'!AB11/'2.ΤΙΜΕΣ ΚΛΕΙΣΙΜΑΤΟΣ'!AB10)</f>
        <v>-9.6619109117368589E-3</v>
      </c>
      <c r="AC10" s="43">
        <f>LN('2.ΤΙΜΕΣ ΚΛΕΙΣΙΜΑΤΟΣ'!AC11/'2.ΤΙΜΕΣ ΚΛΕΙΣΙΜΑΤΟΣ'!AC10)</f>
        <v>0</v>
      </c>
      <c r="AD10" s="43">
        <f>LN('2.ΤΙΜΕΣ ΚΛΕΙΣΙΜΑΤΟΣ'!AD11/'2.ΤΙΜΕΣ ΚΛΕΙΣΙΜΑΤΟΣ'!AD10)</f>
        <v>-3.4006367985195088E-2</v>
      </c>
      <c r="AE10" s="43">
        <f>LN('2.ΤΙΜΕΣ ΚΛΕΙΣΙΜΑΤΟΣ'!AE11/'2.ΤΙΜΕΣ ΚΛΕΙΣΙΜΑΤΟΣ'!AE10)</f>
        <v>7.9681696491768813E-3</v>
      </c>
      <c r="AF10" s="43">
        <f>LN('2.ΤΙΜΕΣ ΚΛΕΙΣΙΜΑΤΟΣ'!AF11/'2.ΤΙΜΕΣ ΚΛΕΙΣΙΜΑΤΟΣ'!AF10)</f>
        <v>-2.3558215517049161E-2</v>
      </c>
      <c r="AG10" s="43">
        <f>LN('2.ΤΙΜΕΣ ΚΛΕΙΣΙΜΑΤΟΣ'!AG11/'2.ΤΙΜΕΣ ΚΛΕΙΣΙΜΑΤΟΣ'!AG10)</f>
        <v>-4.0005334613699019E-2</v>
      </c>
      <c r="AH10" s="43">
        <f>LN('2.ΤΙΜΕΣ ΚΛΕΙΣΙΜΑΤΟΣ'!AH11/'2.ΤΙΜΕΣ ΚΛΕΙΣΙΜΑΤΟΣ'!AH10)</f>
        <v>-7.2260450917394706E-3</v>
      </c>
      <c r="AI10" s="43">
        <f>LN('2.ΤΙΜΕΣ ΚΛΕΙΣΙΜΑΤΟΣ'!AI11/'2.ΤΙΜΕΣ ΚΛΕΙΣΙΜΑΤΟΣ'!AI10)</f>
        <v>4.2200354490376471E-2</v>
      </c>
      <c r="AJ10" s="43">
        <f>LN('2.ΤΙΜΕΣ ΚΛΕΙΣΙΜΑΤΟΣ'!AJ11/'2.ΤΙΜΕΣ ΚΛΕΙΣΙΜΑΤΟΣ'!AJ10)</f>
        <v>-2.8057952795157381E-2</v>
      </c>
      <c r="AK10" s="43">
        <f>LN('2.ΤΙΜΕΣ ΚΛΕΙΣΙΜΑΤΟΣ'!AK11/'2.ΤΙΜΕΣ ΚΛΕΙΣΙΜΑΤΟΣ'!AK10)</f>
        <v>4.3296805753324258E-2</v>
      </c>
      <c r="AL10" s="43">
        <f>LN('2.ΤΙΜΕΣ ΚΛΕΙΣΙΜΑΤΟΣ'!AL11/'2.ΤΙΜΕΣ ΚΛΕΙΣΙΜΑΤΟΣ'!AL10)</f>
        <v>0</v>
      </c>
      <c r="AM10" s="43">
        <f>LN('2.ΤΙΜΕΣ ΚΛΕΙΣΙΜΑΤΟΣ'!AM11/'2.ΤΙΜΕΣ ΚΛΕΙΣΙΜΑΤΟΣ'!AM10)</f>
        <v>4.9382816405825767E-3</v>
      </c>
      <c r="AN10" s="43">
        <f>LN('2.ΤΙΜΕΣ ΚΛΕΙΣΙΜΑΤΟΣ'!AN11/'2.ΤΙΜΕΣ ΚΛΕΙΣΙΜΑΤΟΣ'!AN10)</f>
        <v>2.2691411202070671E-2</v>
      </c>
      <c r="AO10" s="43">
        <f>LN('2.ΤΙΜΕΣ ΚΛΕΙΣΙΜΑΤΟΣ'!AO11/'2.ΤΙΜΕΣ ΚΛΕΙΣΙΜΑΤΟΣ'!AO10)</f>
        <v>-5.970166986503796E-3</v>
      </c>
      <c r="AP10" s="43">
        <f>LN('2.ΤΙΜΕΣ ΚΛΕΙΣΙΜΑΤΟΣ'!AP11/'2.ΤΙΜΕΣ ΚΛΕΙΣΙΜΑΤΟΣ'!AP10)</f>
        <v>-4.9875415110389393E-3</v>
      </c>
      <c r="AQ10" s="43">
        <f>LN('2.ΤΙΜΕΣ ΚΛΕΙΣΙΜΑΤΟΣ'!AQ11/'2.ΤΙΜΕΣ ΚΛΕΙΣΙΜΑΤΟΣ'!AQ10)</f>
        <v>-8.3624987028111983E-2</v>
      </c>
      <c r="AR10" s="43">
        <f>LN('2.ΤΙΜΕΣ ΚΛΕΙΣΙΜΑΤΟΣ'!AR11/'2.ΤΙΜΕΣ ΚΛΕΙΣΙΜΑΤΟΣ'!AR10)</f>
        <v>-9.8888001152208901E-2</v>
      </c>
      <c r="AS10" s="43">
        <f>LN('2.ΤΙΜΕΣ ΚΛΕΙΣΙΜΑΤΟΣ'!AS11/'2.ΤΙΜΕΣ ΚΛΕΙΣΙΜΑΤΟΣ'!AS10)</f>
        <v>-4.1593897298837126E-2</v>
      </c>
      <c r="AT10" s="43">
        <f>LN('2.ΤΙΜΕΣ ΚΛΕΙΣΙΜΑΤΟΣ'!AT11/'2.ΤΙΜΕΣ ΚΛΕΙΣΙΜΑΤΟΣ'!AT10)</f>
        <v>-1.3371736965889308E-2</v>
      </c>
      <c r="AU10" s="43">
        <f>LN('2.ΤΙΜΕΣ ΚΛΕΙΣΙΜΑΤΟΣ'!AU11/'2.ΤΙΜΕΣ ΚΛΕΙΣΙΜΑΤΟΣ'!AU10)</f>
        <v>-5.5749500362123577E-4</v>
      </c>
    </row>
    <row r="11" spans="1:47">
      <c r="A11" s="41">
        <v>43565</v>
      </c>
      <c r="B11" s="43">
        <f>LN('2.ΤΙΜΕΣ ΚΛΕΙΣΙΜΑΤΟΣ'!B12/'2.ΤΙΜΕΣ ΚΛΕΙΣΙΜΑΤΟΣ'!B11)</f>
        <v>1.986262909625169E-2</v>
      </c>
      <c r="C11" s="43">
        <f>LN('2.ΤΙΜΕΣ ΚΛΕΙΣΙΜΑΤΟΣ'!C12/'2.ΤΙΜΕΣ ΚΛΕΙΣΙΜΑΤΟΣ'!C11)</f>
        <v>1.3093476747019604E-2</v>
      </c>
      <c r="D11" s="43">
        <f>LN('2.ΤΙΜΕΣ ΚΛΕΙΣΙΜΑΤΟΣ'!D12/'2.ΤΙΜΕΣ ΚΛΕΙΣΙΜΑΤΟΣ'!D11)</f>
        <v>-7.4571561080821634E-3</v>
      </c>
      <c r="E11" s="43">
        <f>LN('2.ΤΙΜΕΣ ΚΛΕΙΣΙΜΑΤΟΣ'!E12/'2.ΤΙΜΕΣ ΚΛΕΙΣΙΜΑΤΟΣ'!E11)</f>
        <v>-4.0349752121791056E-3</v>
      </c>
      <c r="F11" s="43">
        <f>LN('2.ΤΙΜΕΣ ΚΛΕΙΣΙΜΑΤΟΣ'!F12/'2.ΤΙΜΕΣ ΚΛΕΙΣΙΜΑΤΟΣ'!F11)</f>
        <v>4.7732787526578117E-3</v>
      </c>
      <c r="G11" s="43">
        <f>LN('2.ΤΙΜΕΣ ΚΛΕΙΣΙΜΑΤΟΣ'!G12/'2.ΤΙΜΕΣ ΚΛΕΙΣΙΜΑΤΟΣ'!G11)</f>
        <v>1.441961316901184E-3</v>
      </c>
      <c r="H11" s="43">
        <f>LN('2.ΤΙΜΕΣ ΚΛΕΙΣΙΜΑΤΟΣ'!H12/'2.ΤΙΜΕΣ ΚΛΕΙΣΙΜΑΤΟΣ'!H11)</f>
        <v>7.5829747244553205E-3</v>
      </c>
      <c r="I11" s="43">
        <f>LN('2.ΤΙΜΕΣ ΚΛΕΙΣΙΜΑΤΟΣ'!I12/'2.ΤΙΜΕΣ ΚΛΕΙΣΙΜΑΤΟΣ'!I11)</f>
        <v>8.2702056486722037E-3</v>
      </c>
      <c r="J11" s="43">
        <f>LN('2.ΤΙΜΕΣ ΚΛΕΙΣΙΜΑΤΟΣ'!J12/'2.ΤΙΜΕΣ ΚΛΕΙΣΙΜΑΤΟΣ'!J11)</f>
        <v>-1.4726200128398837E-2</v>
      </c>
      <c r="K11" s="43">
        <f>LN('2.ΤΙΜΕΣ ΚΛΕΙΣΙΜΑΤΟΣ'!K12/'2.ΤΙΜΕΣ ΚΛΕΙΣΙΜΑΤΟΣ'!K11)</f>
        <v>-1.0087770810268449E-2</v>
      </c>
      <c r="L11" s="43">
        <f>LN('2.ΤΙΜΕΣ ΚΛΕΙΣΙΜΑΤΟΣ'!L12/'2.ΤΙΜΕΣ ΚΛΕΙΣΙΜΑΤΟΣ'!L11)</f>
        <v>-6.3358184490858952E-3</v>
      </c>
      <c r="M11" s="43">
        <f>LN('2.ΤΙΜΕΣ ΚΛΕΙΣΙΜΑΤΟΣ'!M12/'2.ΤΙΜΕΣ ΚΛΕΙΣΙΜΑΤΟΣ'!M11)</f>
        <v>-8.4567100182235087E-3</v>
      </c>
      <c r="N11" s="43">
        <f>LN('2.ΤΙΜΕΣ ΚΛΕΙΣΙΜΑΤΟΣ'!N12/'2.ΤΙΜΕΣ ΚΛΕΙΣΙΜΑΤΟΣ'!N11)</f>
        <v>4.5153833044207503E-3</v>
      </c>
      <c r="O11" s="43">
        <f>LN('2.ΤΙΜΕΣ ΚΛΕΙΣΙΜΑΤΟΣ'!O12/'2.ΤΙΜΕΣ ΚΛΕΙΣΙΜΑΤΟΣ'!O11)</f>
        <v>0</v>
      </c>
      <c r="P11" s="43">
        <f>LN('2.ΤΙΜΕΣ ΚΛΕΙΣΙΜΑΤΟΣ'!P12/'2.ΤΙΜΕΣ ΚΛΕΙΣΙΜΑΤΟΣ'!P11)</f>
        <v>-7.4906717291576257E-3</v>
      </c>
      <c r="Q11" s="43">
        <f>LN('2.ΤΙΜΕΣ ΚΛΕΙΣΙΜΑΤΟΣ'!Q12/'2.ΤΙΜΕΣ ΚΛΕΙΣΙΜΑΤΟΣ'!Q11)</f>
        <v>2.1005597766109923E-2</v>
      </c>
      <c r="R11" s="43">
        <f>LN('2.ΤΙΜΕΣ ΚΛΕΙΣΙΜΑΤΟΣ'!R12/'2.ΤΙΜΕΣ ΚΛΕΙΣΙΜΑΤΟΣ'!R11)</f>
        <v>1.0056281139038782E-2</v>
      </c>
      <c r="S11" s="43">
        <f>LN('2.ΤΙΜΕΣ ΚΛΕΙΣΙΜΑΤΟΣ'!S12/'2.ΤΙΜΕΣ ΚΛΕΙΣΙΜΑΤΟΣ'!S11)</f>
        <v>1.1173300598125255E-2</v>
      </c>
      <c r="T11" s="43">
        <f>LN('2.ΤΙΜΕΣ ΚΛΕΙΣΙΜΑΤΟΣ'!T12/'2.ΤΙΜΕΣ ΚΛΕΙΣΙΜΑΤΟΣ'!T11)</f>
        <v>-1.1644964196879855E-2</v>
      </c>
      <c r="U11" s="43">
        <f>LN('2.ΤΙΜΕΣ ΚΛΕΙΣΙΜΑΤΟΣ'!U12/'2.ΤΙΜΕΣ ΚΛΕΙΣΙΜΑΤΟΣ'!U11)</f>
        <v>1.9351770660950163E-2</v>
      </c>
      <c r="V11" s="43">
        <f>LN('2.ΤΙΜΕΣ ΚΛΕΙΣΙΜΑΤΟΣ'!V12/'2.ΤΙΜΕΣ ΚΛΕΙΣΙΜΑΤΟΣ'!V11)</f>
        <v>2.7459166200652505E-2</v>
      </c>
      <c r="W11" s="43">
        <f>LN('2.ΤΙΜΕΣ ΚΛΕΙΣΙΜΑΤΟΣ'!W12/'2.ΤΙΜΕΣ ΚΛΕΙΣΙΜΑΤΟΣ'!W11)</f>
        <v>1.2150817782512528E-2</v>
      </c>
      <c r="X11" s="43">
        <f>LN('2.ΤΙΜΕΣ ΚΛΕΙΣΙΜΑΤΟΣ'!X12/'2.ΤΙΜΕΣ ΚΛΕΙΣΙΜΑΤΟΣ'!X11)</f>
        <v>1.670780511843176E-2</v>
      </c>
      <c r="Y11" s="43">
        <f>LN('2.ΤΙΜΕΣ ΚΛΕΙΣΙΜΑΤΟΣ'!Y12/'2.ΤΙΜΕΣ ΚΛΕΙΣΙΜΑΤΟΣ'!Y11)</f>
        <v>-1.2959144642505341E-2</v>
      </c>
      <c r="Z11" s="43">
        <f>LN('2.ΤΙΜΕΣ ΚΛΕΙΣΙΜΑΤΟΣ'!Z12/'2.ΤΙΜΕΣ ΚΛΕΙΣΙΜΑΤΟΣ'!Z11)</f>
        <v>0</v>
      </c>
      <c r="AA11" s="43">
        <f>LN('2.ΤΙΜΕΣ ΚΛΕΙΣΙΜΑΤΟΣ'!AA12/'2.ΤΙΜΕΣ ΚΛΕΙΣΙΜΑΤΟΣ'!AA11)</f>
        <v>-3.8986404156571976E-3</v>
      </c>
      <c r="AB11" s="43">
        <f>LN('2.ΤΙΜΕΣ ΚΛΕΙΣΙΜΑΤΟΣ'!AB12/'2.ΤΙΜΕΣ ΚΛΕΙΣΙΜΑΤΟΣ'!AB11)</f>
        <v>0</v>
      </c>
      <c r="AC11" s="43">
        <f>LN('2.ΤΙΜΕΣ ΚΛΕΙΣΙΜΑΤΟΣ'!AC12/'2.ΤΙΜΕΣ ΚΛΕΙΣΙΜΑΤΟΣ'!AC11)</f>
        <v>0</v>
      </c>
      <c r="AD11" s="43">
        <f>LN('2.ΤΙΜΕΣ ΚΛΕΙΣΙΜΑΤΟΣ'!AD12/'2.ΤΙΜΕΣ ΚΛΕΙΣΙΜΑΤΟΣ'!AD11)</f>
        <v>-1.74469136037207E-2</v>
      </c>
      <c r="AE11" s="43">
        <f>LN('2.ΤΙΜΕΣ ΚΛΕΙΣΙΜΑΤΟΣ'!AE12/'2.ΤΙΜΕΣ ΚΛΕΙΣΙΜΑΤΟΣ'!AE11)</f>
        <v>-7.9681696491768449E-3</v>
      </c>
      <c r="AF11" s="43">
        <f>LN('2.ΤΙΜΕΣ ΚΛΕΙΣΙΜΑΤΟΣ'!AF12/'2.ΤΙΜΕΣ ΚΛΕΙΣΙΜΑΤΟΣ'!AF11)</f>
        <v>1.1911853701532321E-3</v>
      </c>
      <c r="AG11" s="43">
        <f>LN('2.ΤΙΜΕΣ ΚΛΕΙΣΙΜΑΤΟΣ'!AG12/'2.ΤΙΜΕΣ ΚΛΕΙΣΙΜΑΤΟΣ'!AG11)</f>
        <v>1.5190165493975238E-2</v>
      </c>
      <c r="AH11" s="43">
        <f>LN('2.ΤΙΜΕΣ ΚΛΕΙΣΙΜΑΤΟΣ'!AH12/'2.ΤΙΜΕΣ ΚΛΕΙΣΙΜΑΤΟΣ'!AH11)</f>
        <v>1.5194214740916314E-2</v>
      </c>
      <c r="AI11" s="43">
        <f>LN('2.ΤΙΜΕΣ ΚΛΕΙΣΙΜΑΤΟΣ'!AI12/'2.ΤΙΜΕΣ ΚΛΕΙΣΙΜΑΤΟΣ'!AI11)</f>
        <v>8.2304991365154435E-3</v>
      </c>
      <c r="AJ11" s="43">
        <f>LN('2.ΤΙΜΕΣ ΚΛΕΙΣΙΜΑΤΟΣ'!AJ12/'2.ΤΙΜΕΣ ΚΛΕΙΣΙΜΑΤΟΣ'!AJ11)</f>
        <v>-2.0534602441707753E-2</v>
      </c>
      <c r="AK11" s="43">
        <f>LN('2.ΤΙΜΕΣ ΚΛΕΙΣΙΜΑΤΟΣ'!AK12/'2.ΤΙΜΕΣ ΚΛΕΙΣΙΜΑΤΟΣ'!AK11)</f>
        <v>-4.2462908814509849E-3</v>
      </c>
      <c r="AL11" s="43">
        <f>LN('2.ΤΙΜΕΣ ΚΛΕΙΣΙΜΑΤΟΣ'!AL12/'2.ΤΙΜΕΣ ΚΛΕΙΣΙΜΑΤΟΣ'!AL11)</f>
        <v>-2.3530497410193932E-2</v>
      </c>
      <c r="AM11" s="43">
        <f>LN('2.ΤΙΜΕΣ ΚΛΕΙΣΙΜΑΤΟΣ'!AM12/'2.ΤΙΜΕΣ ΚΛΕΙΣΙΜΑΤΟΣ'!AM11)</f>
        <v>-1.7391742711868996E-2</v>
      </c>
      <c r="AN11" s="43">
        <f>LN('2.ΤΙΜΕΣ ΚΛΕΙΣΙΜΑΤΟΣ'!AN12/'2.ΤΙΜΕΣ ΚΛΕΙΣΙΜΑΤΟΣ'!AN11)</f>
        <v>3.1548357734926057E-2</v>
      </c>
      <c r="AO11" s="43">
        <f>LN('2.ΤΙΜΕΣ ΚΛΕΙΣΙΜΑΤΟΣ'!AO12/'2.ΤΙΜΕΣ ΚΛΕΙΣΙΜΑΤΟΣ'!AO11)</f>
        <v>-2.1180822079447024E-2</v>
      </c>
      <c r="AP11" s="43">
        <f>LN('2.ΤΙΜΕΣ ΚΛΕΙΣΙΜΑΤΟΣ'!AP12/'2.ΤΙΜΕΣ ΚΛΕΙΣΙΜΑΤΟΣ'!AP11)</f>
        <v>7.0924338336698575E-2</v>
      </c>
      <c r="AQ11" s="43">
        <f>LN('2.ΤΙΜΕΣ ΚΛΕΙΣΙΜΑΤΟΣ'!AQ12/'2.ΤΙΜΕΣ ΚΛΕΙΣΙΜΑΤΟΣ'!AQ11)</f>
        <v>-3.7194370008048927E-2</v>
      </c>
      <c r="AR11" s="43">
        <f>LN('2.ΤΙΜΕΣ ΚΛΕΙΣΙΜΑΤΟΣ'!AR12/'2.ΤΙΜΕΣ ΚΛΕΙΣΙΜΑΤΟΣ'!AR11)</f>
        <v>-3.2789822822990727E-2</v>
      </c>
      <c r="AS11" s="43">
        <f>LN('2.ΤΙΜΕΣ ΚΛΕΙΣΙΜΑΤΟΣ'!AS12/'2.ΤΙΜΕΣ ΚΛΕΙΣΙΜΑΤΟΣ'!AS11)</f>
        <v>-3.9375165234829937E-2</v>
      </c>
      <c r="AT11" s="43">
        <f>LN('2.ΤΙΜΕΣ ΚΛΕΙΣΙΜΑΤΟΣ'!AT12/'2.ΤΙΜΕΣ ΚΛΕΙΣΙΜΑΤΟΣ'!AT11)</f>
        <v>-1.160554612030789E-2</v>
      </c>
      <c r="AU11" s="43">
        <f>LN('2.ΤΙΜΕΣ ΚΛΕΙΣΙΜΑΤΟΣ'!AU12/'2.ΤΙΜΕΣ ΚΛΕΙΣΙΜΑΤΟΣ'!AU11)</f>
        <v>3.1418010983106908E-3</v>
      </c>
    </row>
    <row r="12" spans="1:47">
      <c r="A12" s="41">
        <v>43566</v>
      </c>
      <c r="B12" s="43">
        <f>LN('2.ΤΙΜΕΣ ΚΛΕΙΣΙΜΑΤΟΣ'!B13/'2.ΤΙΜΕΣ ΚΛΕΙΣΙΜΑΤΟΣ'!B12)</f>
        <v>-9.3771618125970436E-3</v>
      </c>
      <c r="C12" s="43">
        <f>LN('2.ΤΙΜΕΣ ΚΛΕΙΣΙΜΑΤΟΣ'!C13/'2.ΤΙΜΕΣ ΚΛΕΙΣΙΜΑΤΟΣ'!C12)</f>
        <v>1.8526506529604993E-2</v>
      </c>
      <c r="D12" s="43">
        <f>LN('2.ΤΙΜΕΣ ΚΛΕΙΣΙΜΑΤΟΣ'!D13/'2.ΤΙΜΕΣ ΚΛΕΙΣΙΜΑΤΟΣ'!D12)</f>
        <v>1.0687187081115956E-3</v>
      </c>
      <c r="E12" s="43">
        <f>LN('2.ΤΙΜΕΣ ΚΛΕΙΣΙΜΑΤΟΣ'!E13/'2.ΤΙΜΕΣ ΚΛΕΙΣΙΜΑΤΟΣ'!E12)</f>
        <v>-2.6990569691649467E-3</v>
      </c>
      <c r="F12" s="43">
        <f>LN('2.ΤΙΜΕΣ ΚΛΕΙΣΙΜΑΤΟΣ'!F13/'2.ΤΙΜΕΣ ΚΛΕΙΣΙΜΑΤΟΣ'!F12)</f>
        <v>-5.9701669865039079E-3</v>
      </c>
      <c r="G12" s="43">
        <f>LN('2.ΤΙΜΕΣ ΚΛΕΙΣΙΜΑΤΟΣ'!G13/'2.ΤΙΜΕΣ ΚΛΕΙΣΙΜΑΤΟΣ'!G12)</f>
        <v>7.1787817270057702E-3</v>
      </c>
      <c r="H12" s="43">
        <f>LN('2.ΤΙΜΕΣ ΚΛΕΙΣΙΜΑΤΟΣ'!H13/'2.ΤΙΜΕΣ ΚΛΕΙΣΙΜΑΤΟΣ'!H12)</f>
        <v>-4.7326165000989443E-3</v>
      </c>
      <c r="I12" s="43">
        <f>LN('2.ΤΙΜΕΣ ΚΛΕΙΣΙΜΑΤΟΣ'!I13/'2.ΤΙΜΕΣ ΚΛΕΙΣΙΜΑΤΟΣ'!I12)</f>
        <v>2.5746679629582062E-2</v>
      </c>
      <c r="J12" s="43">
        <f>LN('2.ΤΙΜΕΣ ΚΛΕΙΣΙΜΑΤΟΣ'!J13/'2.ΤΙΜΕΣ ΚΛΕΙΣΙΜΑΤΟΣ'!J12)</f>
        <v>3.2967049230189234E-2</v>
      </c>
      <c r="K12" s="43">
        <f>LN('2.ΤΙΜΕΣ ΚΛΕΙΣΙΜΑΤΟΣ'!K13/'2.ΤΙΜΕΣ ΚΛΕΙΣΙΜΑΤΟΣ'!K12)</f>
        <v>1.4028526967496337E-3</v>
      </c>
      <c r="L12" s="43">
        <f>LN('2.ΤΙΜΕΣ ΚΛΕΙΣΙΜΑΤΟΣ'!L13/'2.ΤΙΜΕΣ ΚΛΕΙΣΙΜΑΤΟΣ'!L12)</f>
        <v>1.8888284520205859E-2</v>
      </c>
      <c r="M12" s="43">
        <f>LN('2.ΤΙΜΕΣ ΚΛΕΙΣΙΜΑΤΟΣ'!M13/'2.ΤΙΜΕΣ ΚΛΕΙΣΙΜΑΤΟΣ'!M12)</f>
        <v>1.1609629077838942E-2</v>
      </c>
      <c r="N12" s="43">
        <f>LN('2.ΤΙΜΕΣ ΚΛΕΙΣΙΜΑΤΟΣ'!N13/'2.ΤΙΜΕΣ ΚΛΕΙΣΙΜΑΤΟΣ'!N12)</f>
        <v>4.4950862327624817E-3</v>
      </c>
      <c r="O12" s="43">
        <f>LN('2.ΤΙΜΕΣ ΚΛΕΙΣΙΜΑΤΟΣ'!O13/'2.ΤΙΜΕΣ ΚΛΕΙΣΙΜΑΤΟΣ'!O12)</f>
        <v>2.3530497410194036E-2</v>
      </c>
      <c r="P12" s="43">
        <f>LN('2.ΤΙΜΕΣ ΚΛΕΙΣΙΜΑΤΟΣ'!P13/'2.ΤΙΜΕΣ ΚΛΕΙΣΙΜΑΤΟΣ'!P12)</f>
        <v>1.4925650216675792E-2</v>
      </c>
      <c r="Q12" s="43">
        <f>LN('2.ΤΙΜΕΣ ΚΛΕΙΣΙΜΑΤΟΣ'!Q13/'2.ΤΙΜΕΣ ΚΛΕΙΣΙΜΑΤΟΣ'!Q12)</f>
        <v>3.5865913188496655E-2</v>
      </c>
      <c r="R12" s="43">
        <f>LN('2.ΤΙΜΕΣ ΚΛΕΙΣΙΜΑΤΟΣ'!R13/'2.ΤΙΜΕΣ ΚΛΕΙΣΙΜΑΤΟΣ'!R12)</f>
        <v>5.4965179250447166E-2</v>
      </c>
      <c r="S12" s="43">
        <f>LN('2.ΤΙΜΕΣ ΚΛΕΙΣΙΜΑΤΟΣ'!S13/'2.ΤΙΜΕΣ ΚΛΕΙΣΙΜΑΤΟΣ'!S12)</f>
        <v>1.3793322132335769E-2</v>
      </c>
      <c r="T12" s="43">
        <f>LN('2.ΤΙΜΕΣ ΚΛΕΙΣΙΜΑΤΟΣ'!T13/'2.ΤΙΜΕΣ ΚΛΕΙΣΙΜΑΤΟΣ'!T12)</f>
        <v>1.4535139619113223E-2</v>
      </c>
      <c r="U12" s="43">
        <f>LN('2.ΤΙΜΕΣ ΚΛΕΙΣΙΜΑΤΟΣ'!U13/'2.ΤΙΜΕΣ ΚΛΕΙΣΙΜΑΤΟΣ'!U12)</f>
        <v>1.4549781014731365E-2</v>
      </c>
      <c r="V12" s="43">
        <f>LN('2.ΤΙΜΕΣ ΚΛΕΙΣΙΜΑΤΟΣ'!V13/'2.ΤΙΜΕΣ ΚΛΕΙΣΙΜΑΤΟΣ'!V12)</f>
        <v>1.8250640761197433E-2</v>
      </c>
      <c r="W12" s="43">
        <f>LN('2.ΤΙΜΕΣ ΚΛΕΙΣΙΜΑΤΟΣ'!W13/'2.ΤΙΜΕΣ ΚΛΕΙΣΙΜΑΤΟΣ'!W12)</f>
        <v>4.8192864359489218E-3</v>
      </c>
      <c r="X12" s="43">
        <f>LN('2.ΤΙΜΕΣ ΚΛΕΙΣΙΜΑΤΟΣ'!X13/'2.ΤΙΜΕΣ ΚΛΕΙΣΙΜΑΤΟΣ'!X12)</f>
        <v>7.0029580500212074E-2</v>
      </c>
      <c r="Y12" s="43">
        <f>LN('2.ΤΙΜΕΣ ΚΛΕΙΣΙΜΑΤΟΣ'!Y13/'2.ΤΙΜΕΣ ΚΛΕΙΣΙΜΑΤΟΣ'!Y12)</f>
        <v>1.510276818575665E-2</v>
      </c>
      <c r="Z12" s="43">
        <f>LN('2.ΤΙΜΕΣ ΚΛΕΙΣΙΜΑΤΟΣ'!Z13/'2.ΤΙΜΕΣ ΚΛΕΙΣΙΜΑΤΟΣ'!Z12)</f>
        <v>0</v>
      </c>
      <c r="AA12" s="43">
        <f>LN('2.ΤΙΜΕΣ ΚΛΕΙΣΙΜΑΤΟΣ'!AA13/'2.ΤΙΜΕΣ ΚΛΕΙΣΙΜΑΤΟΣ'!AA12)</f>
        <v>0</v>
      </c>
      <c r="AB12" s="43">
        <f>LN('2.ΤΙΜΕΣ ΚΛΕΙΣΙΜΑΤΟΣ'!AB13/'2.ΤΙΜΕΣ ΚΛΕΙΣΙΜΑΤΟΣ'!AB12)</f>
        <v>9.6619109117368901E-3</v>
      </c>
      <c r="AC12" s="43">
        <f>LN('2.ΤΙΜΕΣ ΚΛΕΙΣΙΜΑΤΟΣ'!AC13/'2.ΤΙΜΕΣ ΚΛΕΙΣΙΜΑΤΟΣ'!AC12)</f>
        <v>5.4945193176407798E-3</v>
      </c>
      <c r="AD12" s="43">
        <f>LN('2.ΤΙΜΕΣ ΚΛΕΙΣΙΜΑΤΟΣ'!AD13/'2.ΤΙΜΕΣ ΚΛΕΙΣΙΜΑΤΟΣ'!AD12)</f>
        <v>1.901800583576195E-2</v>
      </c>
      <c r="AE12" s="43">
        <f>LN('2.ΤΙΜΕΣ ΚΛΕΙΣΙΜΑΤΟΣ'!AE13/'2.ΤΙΜΕΣ ΚΛΕΙΣΙΜΑΤΟΣ'!AE12)</f>
        <v>-4.0080213975387108E-3</v>
      </c>
      <c r="AF12" s="43">
        <f>LN('2.ΤΙΜΕΣ ΚΛΕΙΣΙΜΑΤΟΣ'!AF13/'2.ΤΙΜΕΣ ΚΛΕΙΣΙΜΑΤΟΣ'!AF12)</f>
        <v>2.2367030146895995E-2</v>
      </c>
      <c r="AG12" s="43">
        <f>LN('2.ΤΙΜΕΣ ΚΛΕΙΣΙΜΑΤΟΣ'!AG13/'2.ΤΙΜΕΣ ΚΛΕΙΣΙΜΑΤΟΣ'!AG12)</f>
        <v>1.9901154317295021E-2</v>
      </c>
      <c r="AH12" s="43">
        <f>LN('2.ΤΙΜΕΣ ΚΛΕΙΣΙΜΑΤΟΣ'!AH13/'2.ΤΙΜΕΣ ΚΛΕΙΣΙΜΑΤΟΣ'!AH12)</f>
        <v>1.5748356968139112E-2</v>
      </c>
      <c r="AI12" s="43">
        <f>LN('2.ΤΙΜΕΣ ΚΛΕΙΣΙΜΑΤΟΣ'!AI13/'2.ΤΙΜΕΣ ΚΛΕΙΣΙΜΑΤΟΣ'!AI12)</f>
        <v>0</v>
      </c>
      <c r="AJ12" s="43">
        <f>LN('2.ΤΙΜΕΣ ΚΛΕΙΣΙΜΑΤΟΣ'!AJ13/'2.ΤΙΜΕΣ ΚΛΕΙΣΙΜΑΤΟΣ'!AJ12)</f>
        <v>1.2371291802546829E-2</v>
      </c>
      <c r="AK12" s="43">
        <f>LN('2.ΤΙΜΕΣ ΚΛΕΙΣΙΜΑΤΟΣ'!AK13/'2.ΤΙΜΕΣ ΚΛΕΙΣΙΜΑΤΟΣ'!AK12)</f>
        <v>-1.2848142477849137E-2</v>
      </c>
      <c r="AL12" s="43">
        <f>LN('2.ΤΙΜΕΣ ΚΛΕΙΣΙΜΑΤΟΣ'!AL13/'2.ΤΙΜΕΣ ΚΛΕΙΣΙΜΑΤΟΣ'!AL12)</f>
        <v>4.6520015634892699E-2</v>
      </c>
      <c r="AM12" s="43">
        <f>LN('2.ΤΙΜΕΣ ΚΛΕΙΣΙΜΑΤΟΣ'!AM13/'2.ΤΙΜΕΣ ΚΛΕΙΣΙΜΑΤΟΣ'!AM12)</f>
        <v>-1.0075651988741587E-2</v>
      </c>
      <c r="AN12" s="43">
        <f>LN('2.ΤΙΜΕΣ ΚΛΕΙΣΙΜΑΤΟΣ'!AN13/'2.ΤΙΜΕΣ ΚΛΕΙΣΙΜΑΤΟΣ'!AN12)</f>
        <v>-9.360442759563695E-3</v>
      </c>
      <c r="AO12" s="43">
        <f>LN('2.ΤΙΜΕΣ ΚΛΕΙΣΙΜΑΤΟΣ'!AO13/'2.ΤΙΜΕΣ ΚΛΕΙΣΙΜΑΤΟΣ'!AO12)</f>
        <v>1.8182319083190547E-2</v>
      </c>
      <c r="AP12" s="43">
        <f>LN('2.ΤΙΜΕΣ ΚΛΕΙΣΙΜΑΤΟΣ'!AP13/'2.ΤΙΜΕΣ ΚΛΕΙΣΙΜΑΤΟΣ'!AP12)</f>
        <v>3.163224998839357E-2</v>
      </c>
      <c r="AQ12" s="43">
        <f>LN('2.ΤΙΜΕΣ ΚΛΕΙΣΙΜΑΤΟΣ'!AQ13/'2.ΤΙΜΕΣ ΚΛΕΙΣΙΜΑΤΟΣ'!AQ12)</f>
        <v>2.3922097591418532E-2</v>
      </c>
      <c r="AR12" s="43">
        <f>LN('2.ΤΙΜΕΣ ΚΛΕΙΣΙΜΑΤΟΣ'!AR13/'2.ΤΙΜΕΣ ΚΛΕΙΣΙΜΑΤΟΣ'!AR12)</f>
        <v>1.8349138668196398E-2</v>
      </c>
      <c r="AS12" s="43">
        <f>LN('2.ΤΙΜΕΣ ΚΛΕΙΣΙΜΑΤΟΣ'!AS13/'2.ΤΙΜΕΣ ΚΛΕΙΣΙΜΑΤΟΣ'!AS12)</f>
        <v>0</v>
      </c>
      <c r="AT12" s="43">
        <f>LN('2.ΤΙΜΕΣ ΚΛΕΙΣΙΜΑΤΟΣ'!AT13/'2.ΤΙΜΕΣ ΚΛΕΙΣΙΜΑΤΟΣ'!AT12)</f>
        <v>5.8196090532640025E-3</v>
      </c>
      <c r="AU12" s="43">
        <f>LN('2.ΤΙΜΕΣ ΚΛΕΙΣΙΜΑΤΟΣ'!AU13/'2.ΤΙΜΕΣ ΚΛΕΙΣΙΜΑΤΟΣ'!AU12)</f>
        <v>1.1318442032973032E-2</v>
      </c>
    </row>
    <row r="13" spans="1:47">
      <c r="A13" s="41">
        <v>43567</v>
      </c>
      <c r="B13" s="43">
        <f>LN('2.ΤΙΜΕΣ ΚΛΕΙΣΙΜΑΤΟΣ'!B14/'2.ΤΙΜΕΣ ΚΛΕΙΣΙΜΑΤΟΣ'!B13)</f>
        <v>8.7102728248933201E-3</v>
      </c>
      <c r="C13" s="43">
        <f>LN('2.ΤΙΜΕΣ ΚΛΕΙΣΙΜΑΤΟΣ'!C14/'2.ΤΙΜΕΣ ΚΛΕΙΣΙΜΑΤΟΣ'!C13)</f>
        <v>-8.8176924026441943E-3</v>
      </c>
      <c r="D13" s="43">
        <f>LN('2.ΤΙΜΕΣ ΚΛΕΙΣΙΜΑΤΟΣ'!D14/'2.ΤΙΜΕΣ ΚΛΕΙΣΙΜΑΤΟΣ'!D13)</f>
        <v>0</v>
      </c>
      <c r="E13" s="43">
        <f>LN('2.ΤΙΜΕΣ ΚΛΕΙΣΙΜΑΤΟΣ'!E14/'2.ΤΙΜΕΣ ΚΛΕΙΣΙΜΑΤΟΣ'!E13)</f>
        <v>1.6750810424815351E-2</v>
      </c>
      <c r="F13" s="43">
        <f>LN('2.ΤΙΜΕΣ ΚΛΕΙΣΙΜΑΤΟΣ'!F14/'2.ΤΙΜΕΣ ΚΛΕΙΣΙΜΑΤΟΣ'!F13)</f>
        <v>0</v>
      </c>
      <c r="G13" s="43">
        <f>LN('2.ΤΙΜΕΣ ΚΛΕΙΣΙΜΑΤΟΣ'!G14/'2.ΤΙΜΕΣ ΚΛΕΙΣΙΜΑΤΟΣ'!G13)</f>
        <v>-1.8773114507924887E-2</v>
      </c>
      <c r="H13" s="43">
        <f>LN('2.ΤΙΜΕΣ ΚΛΕΙΣΙΜΑΤΟΣ'!H14/'2.ΤΙΜΕΣ ΚΛΕΙΣΙΜΑΤΟΣ'!H13)</f>
        <v>-5.7088642203200922E-3</v>
      </c>
      <c r="I13" s="43">
        <f>LN('2.ΤΙΜΕΣ ΚΛΕΙΣΙΜΑΤΟΣ'!I14/'2.ΤΙΜΕΣ ΚΛΕΙΣΙΜΑΤΟΣ'!I13)</f>
        <v>-1.008411906662616E-2</v>
      </c>
      <c r="J13" s="43">
        <f>LN('2.ΤΙΜΕΣ ΚΛΕΙΣΙΜΑΤΟΣ'!J14/'2.ΤΙΜΕΣ ΚΛΕΙΣΙΜΑΤΟΣ'!J13)</f>
        <v>1.0576513187398854E-2</v>
      </c>
      <c r="K13" s="43">
        <f>LN('2.ΤΙΜΕΣ ΚΛΕΙΣΙΜΑΤΟΣ'!K14/'2.ΤΙΜΕΣ ΚΛΕΙΣΙΜΑΤΟΣ'!K13)</f>
        <v>7.2942047625859782E-3</v>
      </c>
      <c r="L13" s="43">
        <f>LN('2.ΤΙΜΕΣ ΚΛΕΙΣΙΜΑΤΟΣ'!L14/'2.ΤΙΜΕΣ ΚΛΕΙΣΙΜΑΤΟΣ'!L13)</f>
        <v>0</v>
      </c>
      <c r="M13" s="43">
        <f>LN('2.ΤΙΜΕΣ ΚΛΕΙΣΙΜΑΤΟΣ'!M14/'2.ΤΙΜΕΣ ΚΛΕΙΣΙΜΑΤΟΣ'!M13)</f>
        <v>6.2761712292362043E-3</v>
      </c>
      <c r="N13" s="43">
        <f>LN('2.ΤΙΜΕΣ ΚΛΕΙΣΙΜΑΤΟΣ'!N14/'2.ΤΙΜΕΣ ΚΛΕΙΣΙΜΑΤΟΣ'!N13)</f>
        <v>2.8510201456509111E-2</v>
      </c>
      <c r="O13" s="43">
        <f>LN('2.ΤΙΜΕΣ ΚΛΕΙΣΙΜΑΤΟΣ'!O14/'2.ΤΙΜΕΣ ΚΛΕΙΣΙΜΑΤΟΣ'!O13)</f>
        <v>-3.3277900926745796E-3</v>
      </c>
      <c r="P13" s="43">
        <f>LN('2.ΤΙΜΕΣ ΚΛΕΙΣΙΜΑΤΟΣ'!P14/'2.ΤΙΜΕΣ ΚΛΕΙΣΙΜΑΤΟΣ'!P13)</f>
        <v>-3.710579396535713E-3</v>
      </c>
      <c r="Q13" s="43">
        <f>LN('2.ΤΙΜΕΣ ΚΛΕΙΣΙΜΑΤΟΣ'!Q14/'2.ΤΙΜΕΣ ΚΛΕΙΣΙΜΑΤΟΣ'!Q13)</f>
        <v>3.7868587314970857E-3</v>
      </c>
      <c r="R13" s="43">
        <f>LN('2.ΤΙΜΕΣ ΚΛΕΙΣΙΜΑΤΟΣ'!R14/'2.ΤΙΜΕΣ ΚΛΕΙΣΙΜΑΤΟΣ'!R13)</f>
        <v>8.8741569610341336E-3</v>
      </c>
      <c r="S13" s="43">
        <f>LN('2.ΤΙΜΕΣ ΚΛΕΙΣΙΜΑΤΟΣ'!S14/'2.ΤΙΜΕΣ ΚΛΕΙΣΙΜΑΤΟΣ'!S13)</f>
        <v>1.8996500690655085E-2</v>
      </c>
      <c r="T13" s="43">
        <f>LN('2.ΤΙΜΕΣ ΚΛΕΙΣΙΜΑΤΟΣ'!T14/'2.ΤΙΜΕΣ ΚΛΕΙΣΙΜΑΤΟΣ'!T13)</f>
        <v>5.7554115706207522E-3</v>
      </c>
      <c r="U13" s="43">
        <f>LN('2.ΤΙΜΕΣ ΚΛΕΙΣΙΜΑΤΟΣ'!U14/'2.ΤΙΜΕΣ ΚΛΕΙΣΙΜΑΤΟΣ'!U13)</f>
        <v>0</v>
      </c>
      <c r="V13" s="43">
        <f>LN('2.ΤΙΜΕΣ ΚΛΕΙΣΙΜΑΤΟΣ'!V14/'2.ΤΙΜΕΣ ΚΛΕΙΣΙΜΑΤΟΣ'!V13)</f>
        <v>7.4192179220286467E-3</v>
      </c>
      <c r="W13" s="43">
        <f>LN('2.ΤΙΜΕΣ ΚΛΕΙΣΙΜΑΤΟΣ'!W14/'2.ΤΙΜΕΣ ΚΛΕΙΣΙΜΑΤΟΣ'!W13)</f>
        <v>-4.8192864359489947E-3</v>
      </c>
      <c r="X13" s="43">
        <f>LN('2.ΤΙΜΕΣ ΚΛΕΙΣΙΜΑΤΟΣ'!X14/'2.ΤΙΜΕΣ ΚΛΕΙΣΙΜΑΤΟΣ'!X13)</f>
        <v>4.512320578950918E-2</v>
      </c>
      <c r="Y13" s="43">
        <f>LN('2.ΤΙΜΕΣ ΚΛΕΙΣΙΜΑΤΟΣ'!Y14/'2.ΤΙΜΕΣ ΚΛΕΙΣΙΜΑΤΟΣ'!Y13)</f>
        <v>-2.1645866774692549E-2</v>
      </c>
      <c r="Z13" s="43">
        <f>LN('2.ΤΙΜΕΣ ΚΛΕΙΣΙΜΑΤΟΣ'!Z14/'2.ΤΙΜΕΣ ΚΛΕΙΣΙΜΑΤΟΣ'!Z13)</f>
        <v>5.7597491783336542E-2</v>
      </c>
      <c r="AA13" s="43">
        <f>LN('2.ΤΙΜΕΣ ΚΛΕΙΣΙΜΑΤΟΣ'!AA14/'2.ΤΙΜΕΣ ΚΛΕΙΣΙΜΑΤΟΣ'!AA13)</f>
        <v>-1.178795575204224E-2</v>
      </c>
      <c r="AB13" s="43">
        <f>LN('2.ΤΙΜΕΣ ΚΛΕΙΣΙΜΑΤΟΣ'!AB14/'2.ΤΙΜΕΣ ΚΛΕΙΣΙΜΑΤΟΣ'!AB13)</f>
        <v>2.4692612590371414E-2</v>
      </c>
      <c r="AC13" s="43">
        <f>LN('2.ΤΙΜΕΣ ΚΛΕΙΣΙΜΑΤΟΣ'!AC14/'2.ΤΙΜΕΣ ΚΛΕΙΣΙΜΑΤΟΣ'!AC13)</f>
        <v>-1.3708021337787146E-3</v>
      </c>
      <c r="AD13" s="43">
        <f>LN('2.ΤΙΜΕΣ ΚΛΕΙΣΙΜΑΤΟΣ'!AD14/'2.ΤΙΜΕΣ ΚΛΕΙΣΙΜΑΤΟΣ'!AD13)</f>
        <v>-6.2992334279872008E-3</v>
      </c>
      <c r="AE13" s="43">
        <f>LN('2.ΤΙΜΕΣ ΚΛΕΙΣΙΜΑΤΟΣ'!AE14/'2.ΤΙΜΕΣ ΚΛΕΙΣΙΜΑΤΟΣ'!AE13)</f>
        <v>1.197619104671562E-2</v>
      </c>
      <c r="AF13" s="43">
        <f>LN('2.ΤΙΜΕΣ ΚΛΕΙΣΙΜΑΤΟΣ'!AF14/'2.ΤΙΜΕΣ ΚΛΕΙΣΙΜΑΤΟΣ'!AF13)</f>
        <v>1.1634672632980494E-3</v>
      </c>
      <c r="AG13" s="43">
        <f>LN('2.ΤΙΜΕΣ ΚΛΕΙΣΙΜΑΤΟΣ'!AG14/'2.ΤΙΜΕΣ ΚΛΕΙΣΙΜΑΤΟΣ'!AG13)</f>
        <v>-1.9901154317294913E-2</v>
      </c>
      <c r="AH13" s="43">
        <f>LN('2.ΤΙΜΕΣ ΚΛΕΙΣΙΜΑΤΟΣ'!AH14/'2.ΤΙΜΕΣ ΚΛΕΙΣΙΜΑΤΟΣ'!AH13)</f>
        <v>1.9342962843130935E-2</v>
      </c>
      <c r="AI13" s="43">
        <f>LN('2.ΤΙΜΕΣ ΚΛΕΙΣΙΜΑΤΟΣ'!AI14/'2.ΤΙΜΕΣ ΚΛΕΙΣΙΜΑΤΟΣ'!AI13)</f>
        <v>-1.6529301951210471E-2</v>
      </c>
      <c r="AJ13" s="43">
        <f>LN('2.ΤΙΜΕΣ ΚΛΕΙΣΙΜΑΤΟΣ'!AJ14/'2.ΤΙΜΕΣ ΚΛΕΙΣΙΜΑΤΟΣ'!AJ13)</f>
        <v>0.11230356989175794</v>
      </c>
      <c r="AK13" s="43">
        <f>LN('2.ΤΙΜΕΣ ΚΛΕΙΣΙΜΑΤΟΣ'!AK14/'2.ΤΙΜΕΣ ΚΛΕΙΣΙΜΑΤΟΣ'!AK13)</f>
        <v>-1.7391742711869222E-2</v>
      </c>
      <c r="AL13" s="43">
        <f>LN('2.ΤΙΜΕΣ ΚΛΕΙΣΙΜΑΤΟΣ'!AL14/'2.ΤΙΜΕΣ ΚΛΕΙΣΙΜΑΤΟΣ'!AL13)</f>
        <v>4.4451762570833796E-2</v>
      </c>
      <c r="AM13" s="43">
        <f>LN('2.ΤΙΜΕΣ ΚΛΕΙΣΙΜΑΤΟΣ'!AM14/'2.ΤΙΜΕΣ ΚΛΕΙΣΙΜΑΤΟΣ'!AM13)</f>
        <v>-1.0178204915756153E-2</v>
      </c>
      <c r="AN13" s="43">
        <f>LN('2.ΤΙΜΕΣ ΚΛΕΙΣΙΜΑΤΟΣ'!AN14/'2.ΤΙΜΕΣ ΚΛΕΙΣΙΜΑΤΟΣ'!AN13)</f>
        <v>-1.2618463959211575E-2</v>
      </c>
      <c r="AO13" s="43">
        <f>LN('2.ΤΙΜΕΣ ΚΛΕΙΣΙΜΑΤΟΣ'!AO14/'2.ΤΙΜΕΣ ΚΛΕΙΣΙΜΑΤΟΣ'!AO13)</f>
        <v>3.5401927050916E-2</v>
      </c>
      <c r="AP13" s="43">
        <f>LN('2.ΤΙΜΕΣ ΚΛΕΙΣΙΜΑΤΟΣ'!AP14/'2.ΤΙΜΕΣ ΚΛΕΙΣΙΜΑΤΟΣ'!AP13)</f>
        <v>5.6155102829728742E-2</v>
      </c>
      <c r="AQ13" s="43">
        <f>LN('2.ΤΙΜΕΣ ΚΛΕΙΣΙΜΑΤΟΣ'!AQ14/'2.ΤΙΜΕΣ ΚΛΕΙΣΙΜΑΤΟΣ'!AQ13)</f>
        <v>1.1241814866248322E-2</v>
      </c>
      <c r="AR13" s="43">
        <f>LN('2.ΤΙΜΕΣ ΚΛΕΙΣΙΜΑΤΟΣ'!AR14/'2.ΤΙΜΕΣ ΚΛΕΙΣΙΜΑΤΟΣ'!AR13)</f>
        <v>2.7497249457222046E-2</v>
      </c>
      <c r="AS13" s="43">
        <f>LN('2.ΤΙΜΕΣ ΚΛΕΙΣΙΜΑΤΟΣ'!AS14/'2.ΤΙΜΕΣ ΚΛΕΙΣΙΜΑΤΟΣ'!AS13)</f>
        <v>8.0000426670761501E-3</v>
      </c>
      <c r="AT13" s="43">
        <f>LN('2.ΤΙΜΕΣ ΚΛΕΙΣΙΜΑΤΟΣ'!AT14/'2.ΤΙΜΕΣ ΚΛΕΙΣΙΜΑΤΟΣ'!AT13)</f>
        <v>4.3526265049890933E-2</v>
      </c>
      <c r="AU13" s="43">
        <f>LN('2.ΤΙΜΕΣ ΚΛΕΙΣΙΜΑΤΟΣ'!AU14/'2.ΤΙΜΕΣ ΚΛΕΙΣΙΜΑΤΟΣ'!AU13)</f>
        <v>2.0133357565718228E-3</v>
      </c>
    </row>
    <row r="14" spans="1:47">
      <c r="A14" s="41">
        <v>43570</v>
      </c>
      <c r="B14" s="43">
        <f>LN('2.ΤΙΜΕΣ ΚΛΕΙΣΙΜΑΤΟΣ'!B15/'2.ΤΙΜΕΣ ΚΛΕΙΣΙΜΑΤΟΣ'!B14)</f>
        <v>2.2428380769216376E-2</v>
      </c>
      <c r="C14" s="43">
        <f>LN('2.ΤΙΜΕΣ ΚΛΕΙΣΙΜΑΤΟΣ'!C15/'2.ΤΙΜΕΣ ΚΛΕΙΣΙΜΑΤΟΣ'!C14)</f>
        <v>-1.6116038943415328E-3</v>
      </c>
      <c r="D14" s="43">
        <f>LN('2.ΤΙΜΕΣ ΚΛΕΙΣΙΜΑΤΟΣ'!D15/'2.ΤΙΜΕΣ ΚΛΕΙΣΙΜΑΤΟΣ'!D14)</f>
        <v>0</v>
      </c>
      <c r="E14" s="43">
        <f>LN('2.ΤΙΜΕΣ ΚΛΕΙΣΙΜΑΤΟΣ'!E15/'2.ΤΙΜΕΣ ΚΛΕΙΣΙΜΑΤΟΣ'!E14)</f>
        <v>5.9622568144180434E-3</v>
      </c>
      <c r="F14" s="43">
        <f>LN('2.ΤΙΜΕΣ ΚΛΕΙΣΙΜΑΤΟΣ'!F15/'2.ΤΙΜΕΣ ΚΛΕΙΣΙΜΑΤΟΣ'!F14)</f>
        <v>-7.2115697155605866E-3</v>
      </c>
      <c r="G14" s="43">
        <f>LN('2.ΤΙΜΕΣ ΚΛΕΙΣΙΜΑΤΟΣ'!G15/'2.ΤΙΜΕΣ ΚΛΕΙΣΙΜΑΤΟΣ'!G14)</f>
        <v>6.4902886235426172E-2</v>
      </c>
      <c r="H14" s="43">
        <f>LN('2.ΤΙΜΕΣ ΚΛΕΙΣΙΜΑΤΟΣ'!H15/'2.ΤΙΜΕΣ ΚΛΕΙΣΙΜΑΤΟΣ'!H14)</f>
        <v>2.8585059959636717E-3</v>
      </c>
      <c r="I14" s="43">
        <f>LN('2.ΤΙΜΕΣ ΚΛΕΙΣΙΜΑΤΟΣ'!I15/'2.ΤΙΜΕΣ ΚΛΕΙΣΙΜΑΤΟΣ'!I14)</f>
        <v>2.6668247082161273E-2</v>
      </c>
      <c r="J14" s="43">
        <f>LN('2.ΤΙΜΕΣ ΚΛΕΙΣΙΜΑΤΟΣ'!J15/'2.ΤΙΜΕΣ ΚΛΕΙΣΙΜΑΤΟΣ'!J14)</f>
        <v>1.254590423345541E-2</v>
      </c>
      <c r="K14" s="43">
        <f>LN('2.ΤΙΜΕΣ ΚΛΕΙΣΙΜΑΤΟΣ'!K15/'2.ΤΙΜΕΣ ΚΛΕΙΣΙΜΑΤΟΣ'!K14)</f>
        <v>-1.3926501283721847E-3</v>
      </c>
      <c r="L14" s="43">
        <f>LN('2.ΤΙΜΕΣ ΚΛΕΙΣΙΜΑΤΟΣ'!L15/'2.ΤΙΜΕΣ ΚΛΕΙΣΙΜΑΤΟΣ'!L14)</f>
        <v>1.0341353794732751E-2</v>
      </c>
      <c r="M14" s="43">
        <f>LN('2.ΤΙΜΕΣ ΚΛΕΙΣΙΜΑΤΟΣ'!M15/'2.ΤΙΜΕΣ ΚΛΕΙΣΙΜΑΤΟΣ'!M14)</f>
        <v>5.2002197271074982E-3</v>
      </c>
      <c r="N14" s="43">
        <f>LN('2.ΤΙΜΕΣ ΚΛΕΙΣΙΜΑΤΟΣ'!N15/'2.ΤΙΜΕΣ ΚΛΕΙΣΙΜΑΤΟΣ'!N14)</f>
        <v>2.8517842966951654E-3</v>
      </c>
      <c r="O14" s="43">
        <f>LN('2.ΤΙΜΕΣ ΚΛΕΙΣΙΜΑΤΟΣ'!O15/'2.ΤΙΜΕΣ ΚΛΕΙΣΙΜΑΤΟΣ'!O14)</f>
        <v>4.9875415110391882E-3</v>
      </c>
      <c r="P14" s="43">
        <f>LN('2.ΤΙΜΕΣ ΚΛΕΙΣΙΜΑΤΟΣ'!P15/'2.ΤΙΜΕΣ ΚΛΕΙΣΙΜΑΤΟΣ'!P14)</f>
        <v>-1.4981553615616946E-2</v>
      </c>
      <c r="Q14" s="43">
        <f>LN('2.ΤΙΜΕΣ ΚΛΕΙΣΙΜΑΤΟΣ'!Q15/'2.ΤΙΜΕΣ ΚΛΕΙΣΙΜΑΤΟΣ'!Q14)</f>
        <v>-3.349201314541303E-2</v>
      </c>
      <c r="R14" s="43">
        <f>LN('2.ΤΙΜΕΣ ΚΛΕΙΣΙΜΑΤΟΣ'!R15/'2.ΤΙΜΕΣ ΚΛΕΙΣΙΜΑΤΟΣ'!R14)</f>
        <v>-2.2899632315538484E-2</v>
      </c>
      <c r="S14" s="43">
        <f>LN('2.ΤΙΜΕΣ ΚΛΕΙΣΙΜΑΤΟΣ'!S15/'2.ΤΙΜΕΣ ΚΛΕΙΣΙΜΑΤΟΣ'!S14)</f>
        <v>-8.0972102326194745E-3</v>
      </c>
      <c r="T14" s="43">
        <f>LN('2.ΤΙΜΕΣ ΚΛΕΙΣΙΜΑΤΟΣ'!T15/'2.ΤΙΜΕΣ ΚΛΕΙΣΙΜΑΤΟΣ'!T14)</f>
        <v>-1.0093813169218676E-2</v>
      </c>
      <c r="U14" s="43">
        <f>LN('2.ΤΙΜΕΣ ΚΛΕΙΣΙΜΑΤΟΣ'!U15/'2.ΤΙΜΕΣ ΚΛΕΙΣΙΜΑΤΟΣ'!U14)</f>
        <v>-6.688988150796652E-3</v>
      </c>
      <c r="V14" s="43">
        <f>LN('2.ΤΙΜΕΣ ΚΛΕΙΣΙΜΑΤΟΣ'!V15/'2.ΤΙΜΕΣ ΚΛΕΙΣΙΜΑΤΟΣ'!V14)</f>
        <v>2.8112210456456781E-2</v>
      </c>
      <c r="W14" s="43">
        <f>LN('2.ΤΙΜΕΣ ΚΛΕΙΣΙΜΑΤΟΣ'!W15/'2.ΤΙΜΕΣ ΚΛΕΙΣΙΜΑΤΟΣ'!W14)</f>
        <v>4.8192864359489218E-3</v>
      </c>
      <c r="X14" s="43">
        <f>LN('2.ΤΙΜΕΣ ΚΛΕΙΣΙΜΑΤΟΣ'!X15/'2.ΤΙΜΕΣ ΚΛΕΙΣΙΜΑΤΟΣ'!X14)</f>
        <v>2.3316887975384008E-2</v>
      </c>
      <c r="Y14" s="43">
        <f>LN('2.ΤΙΜΕΣ ΚΛΕΙΣΙΜΑΤΟΣ'!Y15/'2.ΤΙΜΕΣ ΚΛΕΙΣΙΜΑΤΟΣ'!Y14)</f>
        <v>8.7146521024439091E-3</v>
      </c>
      <c r="Z14" s="43">
        <f>LN('2.ΤΙΜΕΣ ΚΛΕΙΣΙΜΑΤΟΣ'!Z15/'2.ΤΙΜΕΣ ΚΛΕΙΣΙΜΑΤΟΣ'!Z14)</f>
        <v>4.0224801310508797E-2</v>
      </c>
      <c r="AA14" s="43">
        <f>LN('2.ΤΙΜΕΣ ΚΛΕΙΣΙΜΑΤΟΣ'!AA15/'2.ΤΙΜΕΣ ΚΛΕΙΣΙΜΑΤΟΣ'!AA14)</f>
        <v>3.9447782910163251E-3</v>
      </c>
      <c r="AB14" s="43">
        <f>LN('2.ΤΙΜΕΣ ΚΛΕΙΣΙΜΑΤΟΣ'!AB15/'2.ΤΙΜΕΣ ΚΛΕΙΣΙΜΑΤΟΣ'!AB14)</f>
        <v>2.4097551579060524E-2</v>
      </c>
      <c r="AC14" s="43">
        <f>LN('2.ΤΙΜΕΣ ΚΛΕΙΣΙΜΑΤΟΣ'!AC15/'2.ΤΙΜΕΣ ΚΛΕΙΣΙΜΑΤΟΣ'!AC14)</f>
        <v>1.3708021337786216E-3</v>
      </c>
      <c r="AD14" s="43">
        <f>LN('2.ΤΙΜΕΣ ΚΛΕΙΣΙΜΑΤΟΣ'!AD15/'2.ΤΙΜΕΣ ΚΛΕΙΣΙΜΑΤΟΣ'!AD14)</f>
        <v>2.4962294559913775E-2</v>
      </c>
      <c r="AE14" s="43">
        <f>LN('2.ΤΙΜΕΣ ΚΛΕΙΣΙΜΑΤΟΣ'!AE15/'2.ΤΙΜΕΣ ΚΛΕΙΣΙΜΑΤΟΣ'!AE14)</f>
        <v>3.9604012160969143E-3</v>
      </c>
      <c r="AF14" s="43">
        <f>LN('2.ΤΙΜΕΣ ΚΛΕΙΣΙΜΑΤΟΣ'!AF15/'2.ΤΙΜΕΣ ΚΛΕΙΣΙΜΑΤΟΣ'!AF14)</f>
        <v>4.6403795565023009E-3</v>
      </c>
      <c r="AG14" s="43">
        <f>LN('2.ΤΙΜΕΣ ΚΛΕΙΣΙΜΑΤΟΣ'!AG15/'2.ΤΙΜΕΣ ΚΛΕΙΣΙΜΑΤΟΣ'!AG14)</f>
        <v>8.6592528815967101E-2</v>
      </c>
      <c r="AH14" s="43">
        <f>LN('2.ΤΙΜΕΣ ΚΛΕΙΣΙΜΑΤΟΣ'!AH15/'2.ΤΙΜΕΣ ΚΛΕΙΣΙΜΑΤΟΣ'!AH14)</f>
        <v>4.4951387862266268E-2</v>
      </c>
      <c r="AI14" s="43">
        <f>LN('2.ΤΙΜΕΣ ΚΛΕΙΣΙΜΑΤΟΣ'!AI15/'2.ΤΙΜΕΣ ΚΛΕΙΣΙΜΑΤΟΣ'!AI14)</f>
        <v>4.08219945202552E-2</v>
      </c>
      <c r="AJ14" s="43">
        <f>LN('2.ΤΙΜΕΣ ΚΛΕΙΣΙΜΑΤΟΣ'!AJ15/'2.ΤΙΜΕΣ ΚΛΕΙΣΙΜΑΤΟΣ'!AJ14)</f>
        <v>-2.5975486403260563E-2</v>
      </c>
      <c r="AK14" s="43">
        <f>LN('2.ΤΙΜΕΣ ΚΛΕΙΣΙΜΑΤΟΣ'!AK15/'2.ΤΙΜΕΣ ΚΛΕΙΣΙΜΑΤΟΣ'!AK14)</f>
        <v>8.7336799687546315E-3</v>
      </c>
      <c r="AL14" s="43">
        <f>LN('2.ΤΙΜΕΣ ΚΛΕΙΣΙΜΑΤΟΣ'!AL15/'2.ΤΙΜΕΣ ΚΛΕΙΣΙΜΑΤΟΣ'!AL14)</f>
        <v>-2.197890671877523E-2</v>
      </c>
      <c r="AM14" s="43">
        <f>LN('2.ΤΙΜΕΣ ΚΛΕΙΣΙΜΑΤΟΣ'!AM15/'2.ΤΙΜΕΣ ΚΛΕΙΣΙΜΑΤΟΣ'!AM14)</f>
        <v>2.774452863365522E-2</v>
      </c>
      <c r="AN14" s="43">
        <f>LN('2.ΤΙΜΕΣ ΚΛΕΙΣΙΜΑΤΟΣ'!AN15/'2.ΤΙΜΕΣ ΚΛΕΙΣΙΜΑΤΟΣ'!AN14)</f>
        <v>-4.5462374076757399E-2</v>
      </c>
      <c r="AO14" s="43">
        <f>LN('2.ΤΙΜΕΣ ΚΛΕΙΣΙΜΑΤΟΣ'!AO15/'2.ΤΙΜΕΣ ΚΛΕΙΣΙΜΑΤΟΣ'!AO14)</f>
        <v>-2.9027596579614626E-3</v>
      </c>
      <c r="AP14" s="43">
        <f>LN('2.ΤΙΜΕΣ ΚΛΕΙΣΙΜΑΤΟΣ'!AP15/'2.ΤΙΜΕΣ ΚΛΕΙΣΙΜΑΤΟΣ'!AP14)</f>
        <v>0</v>
      </c>
      <c r="AQ14" s="43">
        <f>LN('2.ΤΙΜΕΣ ΚΛΕΙΣΙΜΑΤΟΣ'!AQ15/'2.ΤΙΜΕΣ ΚΛΕΙΣΙΜΑΤΟΣ'!AQ14)</f>
        <v>2.4097551579060524E-2</v>
      </c>
      <c r="AR14" s="43">
        <f>LN('2.ΤΙΜΕΣ ΚΛΕΙΣΙΜΑΤΟΣ'!AR15/'2.ΤΙΜΕΣ ΚΛΕΙΣΙΜΑΤΟΣ'!AR14)</f>
        <v>-1.7846993625060419E-2</v>
      </c>
      <c r="AS14" s="43">
        <f>LN('2.ΤΙΜΕΣ ΚΛΕΙΣΙΜΑΤΟΣ'!AS15/'2.ΤΙΜΕΣ ΚΛΕΙΣΙΜΑΤΟΣ'!AS14)</f>
        <v>3.9761483796394168E-3</v>
      </c>
      <c r="AT14" s="43">
        <f>LN('2.ΤΙΜΕΣ ΚΛΕΙΣΙΜΑΤΟΣ'!AT15/'2.ΤΙΜΕΣ ΚΛΕΙΣΙΜΑΤΟΣ'!AT14)</f>
        <v>2.0165669594594419E-2</v>
      </c>
      <c r="AU14" s="43">
        <f>LN('2.ΤΙΜΕΣ ΚΛΕΙΣΙΜΑΤΟΣ'!AU15/'2.ΤΙΜΕΣ ΚΛΕΙΣΙΜΑΤΟΣ'!AU14)</f>
        <v>1.0187330661690905E-2</v>
      </c>
    </row>
    <row r="15" spans="1:47">
      <c r="A15" s="41">
        <v>43571</v>
      </c>
      <c r="B15" s="43">
        <f>LN('2.ΤΙΜΕΣ ΚΛΕΙΣΙΜΑΤΟΣ'!B16/'2.ΤΙΜΕΣ ΚΛΕΙΣΙΜΑΤΟΣ'!B15)</f>
        <v>1.4248945741520492E-2</v>
      </c>
      <c r="C15" s="43">
        <f>LN('2.ΤΙΜΕΣ ΚΛΕΙΣΙΜΑΤΟΣ'!C16/'2.ΤΙΜΕΣ ΚΛΕΙΣΙΜΑΤΟΣ'!C15)</f>
        <v>7.2318515264951869E-3</v>
      </c>
      <c r="D15" s="43">
        <f>LN('2.ΤΙΜΕΣ ΚΛΕΙΣΙΜΑΤΟΣ'!D16/'2.ΤΙΜΕΣ ΚΛΕΙΣΙΜΑΤΟΣ'!D15)</f>
        <v>-2.1385807979624927E-3</v>
      </c>
      <c r="E15" s="43">
        <f>LN('2.ΤΙΜΕΣ ΚΛΕΙΣΙΜΑΤΟΣ'!E16/'2.ΤΙΜΕΣ ΚΛΕΙΣΙΜΑΤΟΣ'!E15)</f>
        <v>3.5683318735638396E-2</v>
      </c>
      <c r="F15" s="43">
        <f>LN('2.ΤΙΜΕΣ ΚΛΕΙΣΙΜΑΤΟΣ'!F16/'2.ΤΙΜΕΣ ΚΛΕΙΣΙΜΑΤΟΣ'!F15)</f>
        <v>1.6746802866560606E-2</v>
      </c>
      <c r="G15" s="43">
        <f>LN('2.ΤΙΜΕΣ ΚΛΕΙΣΙΜΑΤΟΣ'!G16/'2.ΤΙΜΕΣ ΚΛΕΙΣΙΜΑΤΟΣ'!G15)</f>
        <v>1.2220111334775397E-2</v>
      </c>
      <c r="H15" s="43">
        <f>LN('2.ΤΙΜΕΣ ΚΛΕΙΣΙΜΑΤΟΣ'!H16/'2.ΤΙΜΕΣ ΚΛΕΙΣΙΜΑΤΟΣ'!H15)</f>
        <v>7.5829747244553205E-3</v>
      </c>
      <c r="I15" s="43">
        <f>LN('2.ΤΙΜΕΣ ΚΛΕΙΣΙΜΑΤΟΣ'!I16/'2.ΤΙΜΕΣ ΚΛΕΙΣΙΜΑΤΟΣ'!I15)</f>
        <v>-4.095906531753641E-2</v>
      </c>
      <c r="J15" s="43">
        <f>LN('2.ΤΙΜΕΣ ΚΛΕΙΣΙΜΑΤΟΣ'!J16/'2.ΤΙΜΕΣ ΚΛΕΙΣΙΜΑΤΟΣ'!J15)</f>
        <v>1.5572284486063037E-3</v>
      </c>
      <c r="K15" s="43">
        <f>LN('2.ΤΙΜΕΣ ΚΛΕΙΣΙΜΑΤΟΣ'!K16/'2.ΤΙΜΕΣ ΚΛΕΙΣΙΜΑΤΟΣ'!K15)</f>
        <v>-1.1838144480031792E-2</v>
      </c>
      <c r="L15" s="43">
        <f>LN('2.ΤΙΜΕΣ ΚΛΕΙΣΙΜΑΤΟΣ'!L16/'2.ΤΙΜΕΣ ΚΛΕΙΣΙΜΑΤΟΣ'!L15)</f>
        <v>-5.1573090071448105E-3</v>
      </c>
      <c r="M15" s="43">
        <f>LN('2.ΤΙΜΕΣ ΚΛΕΙΣΙΜΑΤΟΣ'!M16/'2.ΤΙΜΕΣ ΚΛΕΙΣΙΜΑΤΟΣ'!M15)</f>
        <v>0</v>
      </c>
      <c r="N15" s="43">
        <f>LN('2.ΤΙΜΕΣ ΚΛΕΙΣΙΜΑΤΟΣ'!N16/'2.ΤΙΜΕΣ ΚΛΕΙΣΙΜΑΤΟΣ'!N15)</f>
        <v>-1.4999252849577148E-3</v>
      </c>
      <c r="O15" s="43">
        <f>LN('2.ΤΙΜΕΣ ΚΛΕΙΣΙΜΑΤΟΣ'!O16/'2.ΤΙΜΕΣ ΚΛΕΙΣΙΜΑΤΟΣ'!O15)</f>
        <v>8.2576852389816373E-3</v>
      </c>
      <c r="P15" s="43">
        <f>LN('2.ΤΙΜΕΣ ΚΛΕΙΣΙΜΑΤΟΣ'!P16/'2.ΤΙΜΕΣ ΚΛΕΙΣΙΜΑΤΟΣ'!P15)</f>
        <v>1.8850146957712041E-3</v>
      </c>
      <c r="Q15" s="43">
        <f>LN('2.ΤΙΜΕΣ ΚΛΕΙΣΙΜΑΤΟΣ'!Q16/'2.ΤΙΜΕΣ ΚΛΕΙΣΙΜΑΤΟΣ'!Q15)</f>
        <v>-3.7547072595251502E-2</v>
      </c>
      <c r="R15" s="43">
        <f>LN('2.ΤΙΜΕΣ ΚΛΕΙΣΙΜΑΤΟΣ'!R16/'2.ΤΙΜΕΣ ΚΛΕΙΣΙΜΑΤΟΣ'!R15)</f>
        <v>2.0688465024353599E-2</v>
      </c>
      <c r="S15" s="43">
        <f>LN('2.ΤΙΜΕΣ ΚΛΕΙΣΙΜΑΤΟΣ'!S16/'2.ΤΙΜΕΣ ΚΛΕΙΣΙΜΑΤΟΣ'!S15)</f>
        <v>-2.7137058715961618E-3</v>
      </c>
      <c r="T15" s="43">
        <f>LN('2.ΤΙΜΕΣ ΚΛΕΙΣΙΜΑΤΟΣ'!T16/'2.ΤΙΜΕΣ ΚΛΕΙΣΙΜΑΤΟΣ'!T15)</f>
        <v>0</v>
      </c>
      <c r="U15" s="43">
        <f>LN('2.ΤΙΜΕΣ ΚΛΕΙΣΙΜΑΤΟΣ'!U16/'2.ΤΙΜΕΣ ΚΛΕΙΣΙΜΑΤΟΣ'!U15)</f>
        <v>-6.7340321813440683E-3</v>
      </c>
      <c r="V15" s="43">
        <f>LN('2.ΤΙΜΕΣ ΚΛΕΙΣΙΜΑΤΟΣ'!V16/'2.ΤΙΜΕΣ ΚΛΕΙΣΙΜΑΤΟΣ'!V15)</f>
        <v>1.02145934097182E-2</v>
      </c>
      <c r="W15" s="43">
        <f>LN('2.ΤΙΜΕΣ ΚΛΕΙΣΙΜΑΤΟΣ'!W16/'2.ΤΙΜΕΣ ΚΛΕΙΣΙΜΑΤΟΣ'!W15)</f>
        <v>1.1947573421117982E-2</v>
      </c>
      <c r="X15" s="43">
        <f>LN('2.ΤΙΜΕΣ ΚΛΕΙΣΙΜΑΤΟΣ'!X16/'2.ΤΙΜΕΣ ΚΛΕΙΣΙΜΑΤΟΣ'!X15)</f>
        <v>-2.6202372394024072E-2</v>
      </c>
      <c r="Y15" s="43">
        <f>LN('2.ΤΙΜΕΣ ΚΛΕΙΣΙΜΑΤΟΣ'!Y16/'2.ΤΙΜΕΣ ΚΛΕΙΣΙΜΑΤΟΣ'!Y15)</f>
        <v>-9.8093429616252972E-3</v>
      </c>
      <c r="Z15" s="43">
        <f>LN('2.ΤΙΜΕΣ ΚΛΕΙΣΙΜΑΤΟΣ'!Z16/'2.ΤΙΜΕΣ ΚΛΕΙΣΙΜΑΤΟΣ'!Z15)</f>
        <v>2.8270433938255526E-2</v>
      </c>
      <c r="AA15" s="43">
        <f>LN('2.ΤΙΜΕΣ ΚΛΕΙΣΙΜΑΤΟΣ'!AA16/'2.ΤΙΜΕΣ ΚΛΕΙΣΙΜΑΤΟΣ'!AA15)</f>
        <v>-7.9051795071132611E-3</v>
      </c>
      <c r="AB15" s="43">
        <f>LN('2.ΤΙΜΕΣ ΚΛΕΙΣΙΜΑΤΟΣ'!AB16/'2.ΤΙΜΕΣ ΚΛΕΙΣΙΜΑΤΟΣ'!AB15)</f>
        <v>2.5317807984289786E-2</v>
      </c>
      <c r="AC15" s="43">
        <f>LN('2.ΤΙΜΕΣ ΚΛΕΙΣΙΜΑΤΟΣ'!AC16/'2.ΤΙΜΕΣ ΚΛΕΙΣΙΜΑΤΟΣ'!AC15)</f>
        <v>0</v>
      </c>
      <c r="AD15" s="43">
        <f>LN('2.ΤΙΜΕΣ ΚΛΕΙΣΙΜΑΤΟΣ'!AD16/'2.ΤΙΜΕΣ ΚΛΕΙΣΙΜΑΤΟΣ'!AD15)</f>
        <v>0</v>
      </c>
      <c r="AE15" s="43">
        <f>LN('2.ΤΙΜΕΣ ΚΛΕΙΣΙΜΑΤΟΣ'!AE16/'2.ΤΙΜΕΣ ΚΛΕΙΣΙΜΑΤΟΣ'!AE15)</f>
        <v>2.3438572972017596E-2</v>
      </c>
      <c r="AF15" s="43">
        <f>LN('2.ΤΙΜΕΣ ΚΛΕΙΣΙΜΑΤΟΣ'!AF16/'2.ΤΙΜΕΣ ΚΛΕΙΣΙΜΑΤΟΣ'!AF15)</f>
        <v>1.7212128881121426E-2</v>
      </c>
      <c r="AG15" s="43">
        <f>LN('2.ΤΙΜΕΣ ΚΛΕΙΣΙΜΑΤΟΣ'!AG16/'2.ΤΙΜΕΣ ΚΛΕΙΣΙΜΑΤΟΣ'!AG15)</f>
        <v>-2.3311078868447108E-2</v>
      </c>
      <c r="AH15" s="43">
        <f>LN('2.ΤΙΜΕΣ ΚΛΕΙΣΙΜΑΤΟΣ'!AH16/'2.ΤΙΜΕΣ ΚΛΕΙΣΙΜΑΤΟΣ'!AH15)</f>
        <v>5.8436981489109214E-3</v>
      </c>
      <c r="AI15" s="43">
        <f>LN('2.ΤΙΜΕΣ ΚΛΕΙΣΙΜΑΤΟΣ'!AI16/'2.ΤΙΜΕΣ ΚΛΕΙΣΙΜΑΤΟΣ'!AI15)</f>
        <v>-8.0321716972642666E-3</v>
      </c>
      <c r="AJ15" s="43">
        <f>LN('2.ΤΙΜΕΣ ΚΛΕΙΣΙΜΑΤΟΣ'!AJ16/'2.ΤΙΜΕΣ ΚΛΕΙΣΙΜΑΤΟΣ'!AJ15)</f>
        <v>3.6904556935450764E-2</v>
      </c>
      <c r="AK15" s="43">
        <f>LN('2.ΤΙΜΕΣ ΚΛΕΙΣΙΜΑΤΟΣ'!AK16/'2.ΤΙΜΕΣ ΚΛΕΙΣΙΜΑΤΟΣ'!AK15)</f>
        <v>-2.1978906718775115E-2</v>
      </c>
      <c r="AL15" s="43">
        <f>LN('2.ΤΙΜΕΣ ΚΛΕΙΣΙΜΑΤΟΣ'!AL16/'2.ΤΙΜΕΣ ΚΛΕΙΣΙΜΑΤΟΣ'!AL15)</f>
        <v>-3.3901551675681339E-2</v>
      </c>
      <c r="AM15" s="43">
        <f>LN('2.ΤΙΜΕΣ ΚΛΕΙΣΙΜΑΤΟΣ'!AM16/'2.ΤΙΜΕΣ ΚΛΕΙΣΙΜΑΤΟΣ'!AM15)</f>
        <v>2.2141125877213719E-2</v>
      </c>
      <c r="AN15" s="43">
        <f>LN('2.ΤΙΜΕΣ ΚΛΕΙΣΙΜΑΤΟΣ'!AN16/'2.ΤΙΜΕΣ ΚΛΕΙΣΙΜΑΤΟΣ'!AN15)</f>
        <v>3.9092925791277523E-2</v>
      </c>
      <c r="AO15" s="43">
        <f>LN('2.ΤΙΜΕΣ ΚΛΕΙΣΙΜΑΤΟΣ'!AO16/'2.ΤΙΜΕΣ ΚΛΕΙΣΙΜΑΤΟΣ'!AO15)</f>
        <v>0</v>
      </c>
      <c r="AP15" s="43">
        <f>LN('2.ΤΙΜΕΣ ΚΛΕΙΣΙΜΑΤΟΣ'!AP16/'2.ΤΙΜΕΣ ΚΛΕΙΣΙΜΑΤΟΣ'!AP15)</f>
        <v>0</v>
      </c>
      <c r="AQ15" s="43">
        <f>LN('2.ΤΙΜΕΣ ΚΛΕΙΣΙΜΑΤΟΣ'!AQ16/'2.ΤΙΜΕΣ ΚΛΕΙΣΙΜΑΤΟΣ'!AQ15)</f>
        <v>-3.4312144988778819E-2</v>
      </c>
      <c r="AR15" s="43">
        <f>LN('2.ΤΙΜΕΣ ΚΛΕΙΣΙΜΑΤΟΣ'!AR16/'2.ΤΙΜΕΣ ΚΛΕΙΣΙΜΑΤΟΣ'!AR15)</f>
        <v>-3.9172695098483347E-2</v>
      </c>
      <c r="AS15" s="43">
        <f>LN('2.ΤΙΜΕΣ ΚΛΕΙΣΙΜΑΤΟΣ'!AS16/'2.ΤΙΜΕΣ ΚΛΕΙΣΙΜΑΤΟΣ'!AS15)</f>
        <v>-1.6000341346441189E-2</v>
      </c>
      <c r="AT15" s="43">
        <f>LN('2.ΤΙΜΕΣ ΚΛΕΙΣΙΜΑΤΟΣ'!AT16/'2.ΤΙΜΕΣ ΚΛΕΙΣΙΜΑΤΟΣ'!AT15)</f>
        <v>-8.7176379877554777E-2</v>
      </c>
      <c r="AU15" s="43">
        <f>LN('2.ΤΙΜΕΣ ΚΛΕΙΣΙΜΑΤΟΣ'!AU16/'2.ΤΙΜΕΣ ΚΛΕΙΣΙΜΑΤΟΣ'!AU15)</f>
        <v>2.930376655621967E-3</v>
      </c>
    </row>
    <row r="16" spans="1:47">
      <c r="A16" s="41">
        <v>43572</v>
      </c>
      <c r="B16" s="43">
        <f>LN('2.ΤΙΜΕΣ ΚΛΕΙΣΙΜΑΤΟΣ'!B17/'2.ΤΙΜΕΣ ΚΛΕΙΣΙΜΑΤΟΣ'!B16)</f>
        <v>-3.2159511452609243E-4</v>
      </c>
      <c r="C16" s="43">
        <f>LN('2.ΤΙΜΕΣ ΚΛΕΙΣΙΜΑΤΟΣ'!C17/'2.ΤΙΜΕΣ ΚΛΕΙΣΙΜΑΤΟΣ'!C16)</f>
        <v>-1.9402387146750365E-2</v>
      </c>
      <c r="D16" s="43">
        <f>LN('2.ΤΙΜΕΣ ΚΛΕΙΣΙΜΑΤΟΣ'!D17/'2.ΤΙΜΕΣ ΚΛΕΙΣΙΜΑΤΟΣ'!D16)</f>
        <v>1.0698620898509212E-3</v>
      </c>
      <c r="E16" s="43">
        <f>LN('2.ΤΙΜΕΣ ΚΛΕΙΣΙΜΑΤΟΣ'!E17/'2.ΤΙΜΕΣ ΚΛΕΙΣΙΜΑΤΟΣ'!E16)</f>
        <v>2.8896482923724286E-2</v>
      </c>
      <c r="F16" s="43">
        <f>LN('2.ΤΙΜΕΣ ΚΛΕΙΣΙΜΑΤΟΣ'!F17/'2.ΤΙΜΕΣ ΚΛΕΙΣΙΜΑΤΟΣ'!F16)</f>
        <v>1.1792589489823624E-2</v>
      </c>
      <c r="G16" s="43">
        <f>LN('2.ΤΙΜΕΣ ΚΛΕΙΣΙΜΑΤΟΣ'!G17/'2.ΤΙΜΕΣ ΚΛΕΙΣΙΜΑΤΟΣ'!G16)</f>
        <v>-1.4956091153650104E-2</v>
      </c>
      <c r="H16" s="43">
        <f>LN('2.ΤΙΜΕΣ ΚΛΕΙΣΙΜΑΤΟΣ'!H17/'2.ΤΙΜΕΣ ΚΛΕΙΣΙΜΑΤΟΣ'!H16)</f>
        <v>4.710324300183354E-3</v>
      </c>
      <c r="I16" s="43">
        <f>LN('2.ΤΙΜΕΣ ΚΛΕΙΣΙΜΑΤΟΣ'!I17/'2.ΤΙΜΕΣ ΚΛΕΙΣΙΜΑΤΟΣ'!I16)</f>
        <v>-7.5679755771240129E-3</v>
      </c>
      <c r="J16" s="43">
        <f>LN('2.ΤΙΜΕΣ ΚΛΕΙΣΙΜΑΤΟΣ'!J17/'2.ΤΙΜΕΣ ΚΛΕΙΣΙΜΑΤΟΣ'!J16)</f>
        <v>0</v>
      </c>
      <c r="K16" s="43">
        <f>LN('2.ΤΙΜΕΣ ΚΛΕΙΣΙΜΑΤΟΣ'!K17/'2.ΤΙΜΕΣ ΚΛΕΙΣΙΜΑΤΟΣ'!K16)</f>
        <v>1.4621507959336958E-2</v>
      </c>
      <c r="L16" s="43">
        <f>LN('2.ΤΙΜΕΣ ΚΛΕΙΣΙΜΑΤΟΣ'!L17/'2.ΤΙΜΕΣ ΚΛΕΙΣΙΜΑΤΟΣ'!L16)</f>
        <v>2.0661164374719087E-3</v>
      </c>
      <c r="M16" s="43">
        <f>LN('2.ΤΙΜΕΣ ΚΛΕΙΣΙΜΑΤΟΣ'!M17/'2.ΤΙΜΕΣ ΚΛΕΙΣΙΜΑΤΟΣ'!M16)</f>
        <v>-1.3577232065155372E-2</v>
      </c>
      <c r="N16" s="43">
        <f>LN('2.ΤΙΜΕΣ ΚΛΕΙΣΙΜΑΤΟΣ'!N17/'2.ΤΙΜΕΣ ΚΛΕΙΣΙΜΑΤΟΣ'!N16)</f>
        <v>5.9862495436308052E-3</v>
      </c>
      <c r="O16" s="43">
        <f>LN('2.ΤΙΜΕΣ ΚΛΕΙΣΙΜΑΤΟΣ'!O17/'2.ΤΙΜΕΣ ΚΛΕΙΣΙΜΑΤΟΣ'!O16)</f>
        <v>-1.6460909066686805E-3</v>
      </c>
      <c r="P16" s="43">
        <f>LN('2.ΤΙΜΕΣ ΚΛΕΙΣΙΜΑΤΟΣ'!P17/'2.ΤΙΜΕΣ ΚΛΕΙΣΙΜΑΤΟΣ'!P16)</f>
        <v>-1.1363758650314982E-2</v>
      </c>
      <c r="Q16" s="43">
        <f>LN('2.ΤΙΜΕΣ ΚΛΕΙΣΙΜΑΤΟΣ'!Q17/'2.ΤΙΜΕΣ ΚΛΕΙΣΙΜΑΤΟΣ'!Q16)</f>
        <v>-1.9315789299291633E-2</v>
      </c>
      <c r="R16" s="43">
        <f>LN('2.ΤΙΜΕΣ ΚΛΕΙΣΙΜΑΤΟΣ'!R17/'2.ΤΙΜΕΣ ΚΛΕΙΣΙΜΑΤΟΣ'!R16)</f>
        <v>-7.2202479734870201E-3</v>
      </c>
      <c r="S16" s="43">
        <f>LN('2.ΤΙΜΕΣ ΚΛΕΙΣΙΜΑΤΟΣ'!S17/'2.ΤΙΜΕΣ ΚΛΕΙΣΙΜΑΤΟΣ'!S16)</f>
        <v>2.7137058715961042E-3</v>
      </c>
      <c r="T16" s="43">
        <f>LN('2.ΤΙΜΕΣ ΚΛΕΙΣΙΜΑΤΟΣ'!T17/'2.ΤΙΜΕΣ ΚΛΕΙΣΙΜΑΤΟΣ'!T16)</f>
        <v>-8.7336799687546662E-3</v>
      </c>
      <c r="U16" s="43">
        <f>LN('2.ΤΙΜΕΣ ΚΛΕΙΣΙΜΑΤΟΣ'!U17/'2.ΤΙΜΕΣ ΚΛΕΙΣΙΜΑΤΟΣ'!U16)</f>
        <v>1.6750810424815351E-2</v>
      </c>
      <c r="V16" s="43">
        <f>LN('2.ΤΙΜΕΣ ΚΛΕΙΣΙΜΑΤΟΣ'!V17/'2.ΤΙΜΕΣ ΚΛΕΙΣΙΜΑΤΟΣ'!V16)</f>
        <v>-9.1884260544062551E-3</v>
      </c>
      <c r="W16" s="43">
        <f>LN('2.ΤΙΜΕΣ ΚΛΕΙΣΙΜΑΤΟΣ'!W17/'2.ΤΙΜΕΣ ΚΛΕΙΣΙΜΑΤΟΣ'!W16)</f>
        <v>1.5321454694433651E-2</v>
      </c>
      <c r="X16" s="43">
        <f>LN('2.ΤΙΜΕΣ ΚΛΕΙΣΙΜΑΤΟΣ'!X17/'2.ΤΙΜΕΣ ΚΛΕΙΣΙΜΑΤΟΣ'!X16)</f>
        <v>8.8106296821549059E-3</v>
      </c>
      <c r="Y16" s="43">
        <f>LN('2.ΤΙΜΕΣ ΚΛΕΙΣΙΜΑΤΟΣ'!Y17/'2.ΤΙΜΕΣ ΚΛΕΙΣΙΜΑΤΟΣ'!Y16)</f>
        <v>-5.4915019936752317E-3</v>
      </c>
      <c r="Z16" s="43">
        <f>LN('2.ΤΙΜΕΣ ΚΛΕΙΣΙΜΑΤΟΣ'!Z17/'2.ΤΙΜΕΣ ΚΛΕΙΣΙΜΑΤΟΣ'!Z16)</f>
        <v>3.4782643763247925E-3</v>
      </c>
      <c r="AA16" s="43">
        <f>LN('2.ΤΙΜΕΣ ΚΛΕΙΣΙΜΑΤΟΣ'!AA17/'2.ΤΙΜΕΣ ΚΛΕΙΣΙΜΑΤΟΣ'!AA16)</f>
        <v>1.1834457647002798E-2</v>
      </c>
      <c r="AB16" s="43">
        <f>LN('2.ΤΙΜΕΣ ΚΛΕΙΣΙΜΑΤΟΣ'!AB17/'2.ΤΙΜΕΣ ΚΛΕΙΣΙΜΑΤΟΣ'!AB16)</f>
        <v>0</v>
      </c>
      <c r="AC16" s="43">
        <f>LN('2.ΤΙΜΕΣ ΚΛΕΙΣΙΜΑΤΟΣ'!AC17/'2.ΤΙΜΕΣ ΚΛΕΙΣΙΜΑΤΟΣ'!AC16)</f>
        <v>0</v>
      </c>
      <c r="AD16" s="43">
        <f>LN('2.ΤΙΜΕΣ ΚΛΕΙΣΙΜΑΤΟΣ'!AD17/'2.ΤΙΜΕΣ ΚΛΕΙΣΙΜΑΤΟΣ'!AD16)</f>
        <v>1.6807118316381191E-2</v>
      </c>
      <c r="AE16" s="43">
        <f>LN('2.ΤΙΜΕΣ ΚΛΕΙΣΙΜΑΤΟΣ'!AE17/'2.ΤΙΜΕΣ ΚΛΕΙΣΙΜΑΤΟΣ'!AE16)</f>
        <v>-1.165061721997525E-2</v>
      </c>
      <c r="AF16" s="43">
        <f>LN('2.ΤΙΜΕΣ ΚΛΕΙΣΙΜΑΤΟΣ'!AF17/'2.ΤΙΜΕΣ ΚΛΕΙΣΙΜΑΤΟΣ'!AF16)</f>
        <v>2.2727282510026188E-3</v>
      </c>
      <c r="AG16" s="43">
        <f>LN('2.ΤΙΜΕΣ ΚΛΕΙΣΙΜΑΤΟΣ'!AG17/'2.ΤΙΜΕΣ ΚΛΕΙΣΙΜΑΤΟΣ'!AG16)</f>
        <v>9.3897403498391374E-3</v>
      </c>
      <c r="AH16" s="43">
        <f>LN('2.ΤΙΜΕΣ ΚΛΕΙΣΙΜΑΤΟΣ'!AH17/'2.ΤΙΜΕΣ ΚΛΕΙΣΙΜΑΤΟΣ'!AH16)</f>
        <v>-9.5134270378732511E-3</v>
      </c>
      <c r="AI16" s="43">
        <f>LN('2.ΤΙΜΕΣ ΚΛΕΙΣΙΜΑΤΟΣ'!AI17/'2.ΤΙΜΕΣ ΚΛΕΙΣΙΜΑΤΟΣ'!AI16)</f>
        <v>4.7252884850545511E-2</v>
      </c>
      <c r="AJ16" s="43">
        <f>LN('2.ΤΙΜΕΣ ΚΛΕΙΣΙΜΑΤΟΣ'!AJ17/'2.ΤΙΜΕΣ ΚΛΕΙΣΙΜΑΤΟΣ'!AJ16)</f>
        <v>-2.5689486115310783E-2</v>
      </c>
      <c r="AK16" s="43">
        <f>LN('2.ΤΙΜΕΣ ΚΛΕΙΣΙΜΑΤΟΣ'!AK17/'2.ΤΙΜΕΣ ΚΛΕΙΣΙΜΑΤΟΣ'!AK16)</f>
        <v>-3.6203048663960589E-2</v>
      </c>
      <c r="AL16" s="43">
        <f>LN('2.ΤΙΜΕΣ ΚΛΕΙΣΙΜΑΤΟΣ'!AL17/'2.ΤΙΜΕΣ ΚΛΕΙΣΙΜΑΤΟΣ'!AL16)</f>
        <v>2.2728251077556091E-2</v>
      </c>
      <c r="AM16" s="43">
        <f>LN('2.ΤΙΜΕΣ ΚΛΕΙΣΙΜΑΤΟΣ'!AM17/'2.ΤΙΜΕΣ ΚΛΕΙΣΙΜΑΤΟΣ'!AM16)</f>
        <v>2.6412099539777058E-2</v>
      </c>
      <c r="AN16" s="43">
        <f>LN('2.ΤΙΜΕΣ ΚΛΕΙΣΙΜΑΤΟΣ'!AN17/'2.ΤΙΜΕΣ ΚΛΕΙΣΙΜΑΤΟΣ'!AN16)</f>
        <v>-3.2000027306709027E-3</v>
      </c>
      <c r="AO16" s="43">
        <f>LN('2.ΤΙΜΕΣ ΚΛΕΙΣΙΜΑΤΟΣ'!AO17/'2.ΤΙΜΕΣ ΚΛΕΙΣΙΜΑΤΟΣ'!AO16)</f>
        <v>-1.1696039763191298E-2</v>
      </c>
      <c r="AP16" s="43">
        <f>LN('2.ΤΙΜΕΣ ΚΛΕΙΣΙΜΑΤΟΣ'!AP17/'2.ΤΙΜΕΣ ΚΛΕΙΣΙΜΑΤΟΣ'!AP16)</f>
        <v>1.6920877488337177E-2</v>
      </c>
      <c r="AQ16" s="43">
        <f>LN('2.ΤΙΜΕΣ ΚΛΕΙΣΙΜΑΤΟΣ'!AQ17/'2.ΤΙΜΕΣ ΚΛΕΙΣΙΜΑΤΟΣ'!AQ16)</f>
        <v>-2.055499182095999E-3</v>
      </c>
      <c r="AR16" s="43">
        <f>LN('2.ΤΙΜΕΣ ΚΛΕΙΣΙΜΑΤΟΣ'!AR17/'2.ΤΙΜΕΣ ΚΛΕΙΣΙΜΑΤΟΣ'!AR16)</f>
        <v>1.1173300598125255E-2</v>
      </c>
      <c r="AS16" s="43">
        <f>LN('2.ΤΙΜΕΣ ΚΛΕΙΣΙΜΑΤΟΣ'!AS17/'2.ΤΙΜΕΣ ΚΛΕΙΣΙΜΑΤΟΣ'!AS16)</f>
        <v>8.0321716972642527E-3</v>
      </c>
      <c r="AT16" s="43">
        <f>LN('2.ΤΙΜΕΣ ΚΛΕΙΣΙΜΑΤΟΣ'!AT17/'2.ΤΙΜΕΣ ΚΛΕΙΣΙΜΑΤΟΣ'!AT16)</f>
        <v>-1.7982502550432357E-2</v>
      </c>
      <c r="AU16" s="43">
        <f>LN('2.ΤΙΜΕΣ ΚΛΕΙΣΙΜΑΤΟΣ'!AU17/'2.ΤΙΜΕΣ ΚΛΕΙΣΙΜΑΤΟΣ'!AU16)</f>
        <v>-3.0208773182776772E-3</v>
      </c>
    </row>
    <row r="17" spans="1:47">
      <c r="A17" s="41">
        <v>43573</v>
      </c>
      <c r="B17" s="43">
        <f>LN('2.ΤΙΜΕΣ ΚΛΕΙΣΙΜΑΤΟΣ'!B18/'2.ΤΙΜΕΣ ΚΛΕΙΣΙΜΑΤΟΣ'!B17)</f>
        <v>2.5698697085832986E-3</v>
      </c>
      <c r="C17" s="43">
        <f>LN('2.ΤΙΜΕΣ ΚΛΕΙΣΙΜΑΤΟΣ'!C18/'2.ΤΙΜΕΣ ΚΛΕΙΣΙΜΑΤΟΣ'!C17)</f>
        <v>5.6980211146377959E-3</v>
      </c>
      <c r="D17" s="43">
        <f>LN('2.ΤΙΜΕΣ ΚΛΕΙΣΙΜΑΤΟΣ'!D18/'2.ΤΙΜΕΣ ΚΛΕΙΣΙΜΑΤΟΣ'!D17)</f>
        <v>0</v>
      </c>
      <c r="E17" s="43">
        <f>LN('2.ΤΙΜΕΣ ΚΛΕΙΣΙΜΑΤΟΣ'!E18/'2.ΤΙΜΕΣ ΚΛΕΙΣΙΜΑΤΟΣ'!E17)</f>
        <v>-5.5883411500499301E-3</v>
      </c>
      <c r="F17" s="43">
        <f>LN('2.ΤΙΜΕΣ ΚΛΕΙΣΙΜΑΤΟΣ'!F18/'2.ΤΙΜΕΣ ΚΛΕΙΣΙΜΑΤΟΣ'!F17)</f>
        <v>-3.5231980073169053E-3</v>
      </c>
      <c r="G17" s="43">
        <f>LN('2.ΤΙΜΕΣ ΚΛΕΙΣΙΜΑΤΟΣ'!G18/'2.ΤΙΜΕΣ ΚΛΕΙΣΙΜΑΤΟΣ'!G17)</f>
        <v>9.543358046899696E-3</v>
      </c>
      <c r="H17" s="43">
        <f>LN('2.ΤΙΜΕΣ ΚΛΕΙΣΙΜΑΤΟΣ'!H18/'2.ΤΙΜΕΣ ΚΛΕΙΣΙΜΑΤΟΣ'!H17)</f>
        <v>2.4142305321599593E-2</v>
      </c>
      <c r="I17" s="43">
        <f>LN('2.ΤΙΜΕΣ ΚΛΕΙΣΙΜΑΤΟΣ'!I18/'2.ΤΙΜΕΣ ΚΛΕΙΣΙΜΑΤΟΣ'!I17)</f>
        <v>1.5079106827120299E-2</v>
      </c>
      <c r="J17" s="43">
        <f>LN('2.ΤΙΜΕΣ ΚΛΕΙΣΙΜΑΤΟΣ'!J18/'2.ΤΙΜΕΣ ΚΛΕΙΣΙΜΑΤΟΣ'!J17)</f>
        <v>1.1346176387301522E-2</v>
      </c>
      <c r="K17" s="43">
        <f>LN('2.ΤΙΜΕΣ ΚΛΕΙΣΙΜΑΤΟΣ'!K18/'2.ΤΙΜΕΣ ΚΛΕΙΣΙΜΑΤΟΣ'!K17)</f>
        <v>0</v>
      </c>
      <c r="L17" s="43">
        <f>LN('2.ΤΙΜΕΣ ΚΛΕΙΣΙΜΑΤΟΣ'!L18/'2.ΤΙΜΕΣ ΚΛΕΙΣΙΜΑΤΟΣ'!L17)</f>
        <v>-8.2902029204737979E-3</v>
      </c>
      <c r="M17" s="43">
        <f>LN('2.ΤΙΜΕΣ ΚΛΕΙΣΙΜΑΤΟΣ'!M18/'2.ΤΙΜΕΣ ΚΛΕΙΣΙΜΑΤΟΣ'!M17)</f>
        <v>-1.0520779508037803E-3</v>
      </c>
      <c r="N17" s="43">
        <f>LN('2.ΤΙΜΕΣ ΚΛΕΙΣΙΜΑΤΟΣ'!N18/'2.ΤΙΜΕΣ ΚΛΕΙΣΙΜΑΤΟΣ'!N17)</f>
        <v>4.3177317134572811E-3</v>
      </c>
      <c r="O17" s="43">
        <f>LN('2.ΤΙΜΕΣ ΚΛΕΙΣΙΜΑΤΟΣ'!O18/'2.ΤΙΜΕΣ ΚΛΕΙΣΙΜΑΤΟΣ'!O17)</f>
        <v>9.8361448767129694E-3</v>
      </c>
      <c r="P17" s="43">
        <f>LN('2.ΤΙΜΕΣ ΚΛΕΙΣΙΜΑΤΟΣ'!P18/'2.ΤΙΜΕΣ ΚΛΕΙΣΙΜΑΤΟΣ'!P17)</f>
        <v>5.6980211146377959E-3</v>
      </c>
      <c r="Q17" s="43">
        <f>LN('2.ΤΙΜΕΣ ΚΛΕΙΣΙΜΑΤΟΣ'!Q18/'2.ΤΙΜΕΣ ΚΛΕΙΣΙΜΑΤΟΣ'!Q17)</f>
        <v>5.0702103119962316E-2</v>
      </c>
      <c r="R17" s="43">
        <f>LN('2.ΤΙΜΕΣ ΚΛΕΙΣΙΜΑΤΟΣ'!R18/'2.ΤΙΜΕΣ ΚΛΕΙΣΙΜΑΤΟΣ'!R17)</f>
        <v>5.5725830363785654E-4</v>
      </c>
      <c r="S17" s="43">
        <f>LN('2.ΤΙΜΕΣ ΚΛΕΙΣΙΜΑΤΟΣ'!S18/'2.ΤΙΜΕΣ ΚΛΕΙΣΙΜΑΤΟΣ'!S17)</f>
        <v>9.4403937790871265E-3</v>
      </c>
      <c r="T17" s="43">
        <f>LN('2.ΤΙΜΕΣ ΚΛΕΙΣΙΜΑΤΟΣ'!T18/'2.ΤΙΜΕΣ ΚΛΕΙΣΙΜΑΤΟΣ'!T17)</f>
        <v>5.8309203107931437E-3</v>
      </c>
      <c r="U17" s="43">
        <f>LN('2.ΤΙΜΕΣ ΚΛΕΙΣΙΜΑΤΟΣ'!U18/'2.ΤΙΜΕΣ ΚΛΕΙΣΙΜΑΤΟΣ'!U17)</f>
        <v>2.2123902829406421E-3</v>
      </c>
      <c r="V17" s="43">
        <f>LN('2.ΤΙΜΕΣ ΚΛΕΙΣΙΜΑΤΟΣ'!V18/'2.ΤΙΜΕΣ ΚΛΕΙΣΙΜΑΤΟΣ'!V17)</f>
        <v>0</v>
      </c>
      <c r="W17" s="43">
        <f>LN('2.ΤΙΜΕΣ ΚΛΕΙΣΙΜΑΤΟΣ'!W18/'2.ΤΙΜΕΣ ΚΛΕΙΣΙΜΑΤΟΣ'!W17)</f>
        <v>5.8309203107931437E-3</v>
      </c>
      <c r="X17" s="43">
        <f>LN('2.ΤΙΜΕΣ ΚΛΕΙΣΙΜΑΤΟΣ'!X18/'2.ΤΙΜΕΣ ΚΛΕΙΣΙΜΑΤΟΣ'!X17)</f>
        <v>2.8762459118168673E-2</v>
      </c>
      <c r="Y17" s="43">
        <f>LN('2.ΤΙΜΕΣ ΚΛΕΙΣΙΜΑΤΟΣ'!Y18/'2.ΤΙΜΕΣ ΚΛΕΙΣΙΜΑΤΟΣ'!Y17)</f>
        <v>-6.6298585386696885E-3</v>
      </c>
      <c r="Z17" s="43">
        <f>LN('2.ΤΙΜΕΣ ΚΛΕΙΣΙΜΑΤΟΣ'!Z18/'2.ΤΙΜΕΣ ΚΛΕΙΣΙΜΑΤΟΣ'!Z17)</f>
        <v>-1.0471299867295478E-2</v>
      </c>
      <c r="AA17" s="43">
        <f>LN('2.ΤΙΜΕΣ ΚΛΕΙΣΙΜΑΤΟΣ'!AA18/'2.ΤΙΜΕΣ ΚΛΕΙΣΙΜΑΤΟΣ'!AA17)</f>
        <v>-7.874056430905883E-3</v>
      </c>
      <c r="AB17" s="43">
        <f>LN('2.ΤΙΜΕΣ ΚΛΕΙΣΙΜΑΤΟΣ'!AB18/'2.ΤΙΜΕΣ ΚΛΕΙΣΙΜΑΤΟΣ'!AB17)</f>
        <v>8.8889474172462145E-3</v>
      </c>
      <c r="AC17" s="43">
        <f>LN('2.ΤΙΜΕΣ ΚΛΕΙΣΙΜΑΤΟΣ'!AC18/'2.ΤΙΜΕΣ ΚΛΕΙΣΙΜΑΤΟΣ'!AC17)</f>
        <v>4.1011677442146068E-3</v>
      </c>
      <c r="AD17" s="43">
        <f>LN('2.ΤΙΜΕΣ ΚΛΕΙΣΙΜΑΤΟΣ'!AD18/'2.ΤΙΜΕΣ ΚΛΕΙΣΙΜΑΤΟΣ'!AD17)</f>
        <v>-1.066270574404018E-2</v>
      </c>
      <c r="AE17" s="43">
        <f>LN('2.ΤΙΜΕΣ ΚΛΕΙΣΙΜΑΤΟΣ'!AE18/'2.ΤΙΜΕΣ ΚΛΕΙΣΙΜΑΤΟΣ'!AE17)</f>
        <v>-7.8431774610258926E-3</v>
      </c>
      <c r="AF17" s="43">
        <f>LN('2.ΤΙΜΕΣ ΚΛΕΙΣΙΜΑΤΟΣ'!AF18/'2.ΤΙΜΕΣ ΚΛΕΙΣΙΜΑΤΟΣ'!AF17)</f>
        <v>1.3528954940319648E-2</v>
      </c>
      <c r="AG17" s="43">
        <f>LN('2.ΤΙΜΕΣ ΚΛΕΙΣΙΜΑΤΟΣ'!AG18/'2.ΤΙΜΕΣ ΚΛΕΙΣΙΜΑΤΟΣ'!AG17)</f>
        <v>5.0124387182568599E-2</v>
      </c>
      <c r="AH17" s="43">
        <f>LN('2.ΤΙΜΕΣ ΚΛΕΙΣΙΜΑΤΟΣ'!AH18/'2.ΤΙΜΕΣ ΚΛΕΙΣΙΜΑΤΟΣ'!AH17)</f>
        <v>1.0969031370573937E-2</v>
      </c>
      <c r="AI17" s="43">
        <f>LN('2.ΤΙΜΕΣ ΚΛΕΙΣΙΜΑΤΟΣ'!AI18/'2.ΤΙΜΕΣ ΚΛΕΙΣΙΜΑΤΟΣ'!AI17)</f>
        <v>-7.7220460939102778E-3</v>
      </c>
      <c r="AJ17" s="43">
        <f>LN('2.ΤΙΜΕΣ ΚΛΕΙΣΙΜΑΤΟΣ'!AJ18/'2.ΤΙΜΕΣ ΚΛΕΙΣΙΜΑΤΟΣ'!AJ17)</f>
        <v>6.1280431218013361E-2</v>
      </c>
      <c r="AK17" s="43">
        <f>LN('2.ΤΙΜΕΣ ΚΛΕΙΣΙΜΑΤΟΣ'!AK18/'2.ΤΙΜΕΣ ΚΛΕΙΣΙΜΑΤΟΣ'!AK17)</f>
        <v>-3.7563101575648614E-2</v>
      </c>
      <c r="AL17" s="43">
        <f>LN('2.ΤΙΜΕΣ ΚΛΕΙΣΙΜΑΤΟΣ'!AL18/'2.ΤΙΜΕΣ ΚΛΕΙΣΙΜΑΤΟΣ'!AL17)</f>
        <v>1.1173300598125255E-2</v>
      </c>
      <c r="AM17" s="43">
        <f>LN('2.ΤΙΜΕΣ ΚΛΕΙΣΙΜΑΤΟΣ'!AM18/'2.ΤΙΜΕΣ ΚΛΕΙΣΙΜΑΤΟΣ'!AM17)</f>
        <v>1.1778699192612705E-2</v>
      </c>
      <c r="AN17" s="43">
        <f>LN('2.ΤΙΜΕΣ ΚΛΕΙΣΙΜΑΤΟΣ'!AN18/'2.ΤΙΜΕΣ ΚΛΕΙΣΙΜΑΤΟΣ'!AN17)</f>
        <v>-2.2691411202070765E-2</v>
      </c>
      <c r="AO17" s="43">
        <f>LN('2.ΤΙΜΕΣ ΚΛΕΙΣΙΜΑΤΟΣ'!AO18/'2.ΤΙΜΕΣ ΚΛΕΙΣΙΜΑΤΟΣ'!AO17)</f>
        <v>-5.8997221271882708E-3</v>
      </c>
      <c r="AP17" s="43">
        <f>LN('2.ΤΙΜΕΣ ΚΛΕΙΣΙΜΑΤΟΣ'!AP18/'2.ΤΙΜΕΣ ΚΛΕΙΣΙΜΑΤΟΣ'!AP17)</f>
        <v>2.8532016073248862E-2</v>
      </c>
      <c r="AQ17" s="43">
        <f>LN('2.ΤΙΜΕΣ ΚΛΕΙΣΙΜΑΤΟΣ'!AQ18/'2.ΤΙΜΕΣ ΚΛΕΙΣΙΜΑΤΟΣ'!AQ17)</f>
        <v>-1.0341353794732595E-2</v>
      </c>
      <c r="AR17" s="43">
        <f>LN('2.ΤΙΜΕΣ ΚΛΕΙΣΙΜΑΤΟΣ'!AR18/'2.ΤΙΜΕΣ ΚΛΕΙΣΙΜΑΤΟΣ'!AR17)</f>
        <v>0</v>
      </c>
      <c r="AS17" s="43">
        <f>LN('2.ΤΙΜΕΣ ΚΛΕΙΣΙΜΑΤΟΣ'!AS18/'2.ΤΙΜΕΣ ΚΛΕΙΣΙΜΑΤΟΣ'!AS17)</f>
        <v>-8.0321716972642666E-3</v>
      </c>
      <c r="AT17" s="43">
        <f>LN('2.ΤΙΜΕΣ ΚΛΕΙΣΙΜΑΤΟΣ'!AT18/'2.ΤΙΜΕΣ ΚΛΕΙΣΙΜΑΤΟΣ'!AT17)</f>
        <v>-6.4538521137571053E-2</v>
      </c>
      <c r="AU17" s="43">
        <f>LN('2.ΤΙΜΕΣ ΚΛΕΙΣΙΜΑΤΟΣ'!AU18/'2.ΤΙΜΕΣ ΚΛΕΙΣΙΜΑΤΟΣ'!AU17)</f>
        <v>6.418126757328356E-3</v>
      </c>
    </row>
    <row r="18" spans="1:47">
      <c r="A18" s="41">
        <v>43578</v>
      </c>
      <c r="B18" s="43">
        <f>LN('2.ΤΙΜΕΣ ΚΛΕΙΣΙΜΑΤΟΣ'!B19/'2.ΤΙΜΕΣ ΚΛΕΙΣΙΜΑΤΟΣ'!B18)</f>
        <v>2.7216869841821034E-2</v>
      </c>
      <c r="C18" s="43">
        <f>LN('2.ΤΙΜΕΣ ΚΛΕΙΣΙΜΑΤΟΣ'!C19/'2.ΤΙΜΕΣ ΚΛΕΙΣΙΜΑΤΟΣ'!C18)</f>
        <v>-6.5146810211937538E-3</v>
      </c>
      <c r="D18" s="43">
        <f>LN('2.ΤΙΜΕΣ ΚΛΕΙΣΙΜΑΤΟΣ'!D19/'2.ΤΙΜΕΣ ΚΛΕΙΣΙΜΑΤΟΣ'!D18)</f>
        <v>2.1362964757818174E-3</v>
      </c>
      <c r="E18" s="43">
        <f>LN('2.ΤΙΜΕΣ ΚΛΕΙΣΙΜΑΤΟΣ'!E19/'2.ΤΙΜΕΣ ΚΛΕΙΣΙΜΑΤΟΣ'!E18)</f>
        <v>-1.1271252699625771E-2</v>
      </c>
      <c r="F18" s="43">
        <f>LN('2.ΤΙΜΕΣ ΚΛΕΙΣΙΜΑΤΟΣ'!F19/'2.ΤΙΜΕΣ ΚΛΕΙΣΙΜΑΤΟΣ'!F18)</f>
        <v>1.1757790890120365E-3</v>
      </c>
      <c r="G18" s="43">
        <f>LN('2.ΤΙΜΕΣ ΚΛΕΙΣΙΜΑΤΟΣ'!G19/'2.ΤΙΜΕΣ ΚΛΕΙΣΙΜΑΤΟΣ'!G18)</f>
        <v>-1.3577734604603596E-3</v>
      </c>
      <c r="H18" s="43">
        <f>LN('2.ΤΙΜΕΣ ΚΛΕΙΣΙΜΑΤΟΣ'!H19/'2.ΤΙΜΕΣ ΚΛΕΙΣΙΜΑΤΟΣ'!H18)</f>
        <v>-3.6764747293087483E-3</v>
      </c>
      <c r="I18" s="43">
        <f>LN('2.ΤΙΜΕΣ ΚΛΕΙΣΙΜΑΤΟΣ'!I19/'2.ΤΙΜΕΣ ΚΛΕΙΣΙΜΑΤΟΣ'!I18)</f>
        <v>-1.7153079226249358E-2</v>
      </c>
      <c r="J18" s="43">
        <f>LN('2.ΤΙΜΕΣ ΚΛΕΙΣΙΜΑΤΟΣ'!J19/'2.ΤΙΜΕΣ ΚΛΕΙΣΙΜΑΤΟΣ'!J18)</f>
        <v>7.6628727455690972E-3</v>
      </c>
      <c r="K18" s="43">
        <f>LN('2.ΤΙΜΕΣ ΚΛΕΙΣΙΜΑΤΟΣ'!K19/'2.ΤΙΜΕΣ ΚΛΕΙΣΙΜΑΤΟΣ'!K18)</f>
        <v>-1.3055827351415125E-2</v>
      </c>
      <c r="L18" s="43">
        <f>LN('2.ΤΙΜΕΣ ΚΛΕΙΣΙΜΑΤΟΣ'!L19/'2.ΤΙΜΕΣ ΚΛΕΙΣΙΜΑΤΟΣ'!L18)</f>
        <v>-5.216495918891101E-3</v>
      </c>
      <c r="M18" s="43">
        <f>LN('2.ΤΙΜΕΣ ΚΛΕΙΣΙΜΑΤΟΣ'!M19/'2.ΤΙΜΕΣ ΚΛΕΙΣΙΜΑΤΟΣ'!M18)</f>
        <v>-2.1074823395646983E-3</v>
      </c>
      <c r="N18" s="43">
        <f>LN('2.ΤΙΜΕΣ ΚΛΕΙΣΙΜΑΤΟΣ'!N19/'2.ΤΙΜΕΣ ΚΛΕΙΣΙΜΑΤΟΣ'!N18)</f>
        <v>5.7773658956076137E-3</v>
      </c>
      <c r="O18" s="43">
        <f>LN('2.ΤΙΜΕΣ ΚΛΕΙΣΙΜΑΤΟΣ'!O19/'2.ΤΙΜΕΣ ΚΛΕΙΣΙΜΑΤΟΣ'!O18)</f>
        <v>-4.9059787688545183E-3</v>
      </c>
      <c r="P18" s="43">
        <f>LN('2.ΤΙΜΕΣ ΚΛΕΙΣΙΜΑΤΟΣ'!P19/'2.ΤΙΜΕΣ ΚΛΕΙΣΙΜΑΤΟΣ'!P18)</f>
        <v>-1.5267472130788421E-2</v>
      </c>
      <c r="Q18" s="43">
        <f>LN('2.ΤΙΜΕΣ ΚΛΕΙΣΙΜΑΤΟΣ'!Q19/'2.ΤΙΜΕΣ ΚΛΕΙΣΙΜΑΤΟΣ'!Q18)</f>
        <v>4.1271331755404726E-2</v>
      </c>
      <c r="R18" s="43">
        <f>LN('2.ΤΙΜΕΣ ΚΛΕΙΣΙΜΑΤΟΣ'!R19/'2.ΤΙΜΕΣ ΚΛΕΙΣΙΜΑΤΟΣ'!R18)</f>
        <v>-0.12505172854800797</v>
      </c>
      <c r="S18" s="43">
        <f>LN('2.ΤΙΜΕΣ ΚΛΕΙΣΙΜΑΤΟΣ'!S19/'2.ΤΙΜΕΣ ΚΛΕΙΣΙΜΑΤΟΣ'!S18)</f>
        <v>-5.3835930834726427E-3</v>
      </c>
      <c r="T18" s="43">
        <f>LN('2.ΤΙΜΕΣ ΚΛΕΙΣΙΜΑΤΟΣ'!T19/'2.ΤΙΜΕΣ ΚΛΕΙΣΙΜΑΤΟΣ'!T18)</f>
        <v>-3.4001797277489469E-2</v>
      </c>
      <c r="U18" s="43">
        <f>LN('2.ΤΙΜΕΣ ΚΛΕΙΣΙΜΑΤΟΣ'!U19/'2.ΤΙΜΕΣ ΚΛΕΙΣΙΜΑΤΟΣ'!U18)</f>
        <v>-2.3477881062282761E-2</v>
      </c>
      <c r="V18" s="43">
        <f>LN('2.ΤΙΜΕΣ ΚΛΕΙΣΙΜΑΤΟΣ'!V19/'2.ΤΙΜΕΣ ΚΛΕΙΣΙΜΑΤΟΣ'!V18)</f>
        <v>2.0305266160745523E-2</v>
      </c>
      <c r="W18" s="43">
        <f>LN('2.ΤΙΜΕΣ ΚΛΕΙΣΙΜΑΤΟΣ'!W19/'2.ΤΙΜΕΣ ΚΛΕΙΣΙΜΑΤΟΣ'!W18)</f>
        <v>-1.0520260674179278E-2</v>
      </c>
      <c r="X18" s="43">
        <f>LN('2.ΤΙΜΕΣ ΚΛΕΙΣΙΜΑΤΟΣ'!X19/'2.ΤΙΜΕΣ ΚΛΕΙΣΙΜΑΤΟΣ'!X18)</f>
        <v>2.9526725750566923E-3</v>
      </c>
      <c r="Y18" s="43">
        <f>LN('2.ΤΙΜΕΣ ΚΛΕΙΣΙΜΑΤΟΣ'!Y19/'2.ΤΙΜΕΣ ΚΛΕΙΣΙΜΑΤΟΣ'!Y18)</f>
        <v>-1.5642777070453463E-2</v>
      </c>
      <c r="Z18" s="43">
        <f>LN('2.ΤΙΜΕΣ ΚΛΕΙΣΙΜΑΤΟΣ'!Z19/'2.ΤΙΜΕΣ ΚΛΕΙΣΙΜΑΤΟΣ'!Z18)</f>
        <v>0</v>
      </c>
      <c r="AA18" s="43">
        <f>LN('2.ΤΙΜΕΣ ΚΛΕΙΣΙΜΑΤΟΣ'!AA19/'2.ΤΙΜΕΣ ΚΛΕΙΣΙΜΑΤΟΣ'!AA18)</f>
        <v>-7.9365495957363034E-3</v>
      </c>
      <c r="AB18" s="43">
        <f>LN('2.ΤΙΜΕΣ ΚΛΕΙΣΙΜΑΤΟΣ'!AB19/'2.ΤΙΜΕΣ ΚΛΕΙΣΙΜΑΤΟΣ'!AB18)</f>
        <v>-2.1467729624106199E-2</v>
      </c>
      <c r="AC18" s="43">
        <f>LN('2.ΤΙΜΕΣ ΚΛΕΙΣΙΜΑΤΟΣ'!AC19/'2.ΤΙΜΕΣ ΚΛΕΙΣΙΜΑΤΟΣ'!AC18)</f>
        <v>-1.3651879253399699E-3</v>
      </c>
      <c r="AD18" s="43">
        <f>LN('2.ΤΙΜΕΣ ΚΛΕΙΣΙΜΑΤΟΣ'!AD19/'2.ΤΙΜΕΣ ΚΛΕΙΣΙΜΑΤΟΣ'!AD18)</f>
        <v>-9.2308347755305428E-3</v>
      </c>
      <c r="AE18" s="43">
        <f>LN('2.ΤΙΜΕΣ ΚΛΕΙΣΙΜΑΤΟΣ'!AE19/'2.ΤΙΜΕΣ ΚΛΕΙΣΙΜΑΤΟΣ'!AE18)</f>
        <v>1.5625317903080815E-2</v>
      </c>
      <c r="AF18" s="43">
        <f>LN('2.ΤΙΜΕΣ ΚΛΕΙΣΙΜΑΤΟΣ'!AF19/'2.ΤΙΜΕΣ ΚΛΕΙΣΙΜΑΤΟΣ'!AF18)</f>
        <v>-2.0362694518884599E-2</v>
      </c>
      <c r="AG18" s="43">
        <f>LN('2.ΤΙΜΕΣ ΚΛΕΙΣΙΜΑΤΟΣ'!AG19/'2.ΤΙΜΕΣ ΚΛΕΙΣΙΜΑΤΟΣ'!AG18)</f>
        <v>-2.2472855852058628E-2</v>
      </c>
      <c r="AH18" s="43">
        <f>LN('2.ΤΙΜΕΣ ΚΛΕΙΣΙΜΑΤΟΣ'!AH19/'2.ΤΙΜΕΣ ΚΛΕΙΣΙΜΑΤΟΣ'!AH18)</f>
        <v>3.6297680505787311E-3</v>
      </c>
      <c r="AI18" s="43">
        <f>LN('2.ΤΙΜΕΣ ΚΛΕΙΣΙΜΑΤΟΣ'!AI19/'2.ΤΙΜΕΣ ΚΛΕΙΣΙΜΑΤΟΣ'!AI18)</f>
        <v>7.7220460939103185E-3</v>
      </c>
      <c r="AJ18" s="43">
        <f>LN('2.ΤΙΜΕΣ ΚΛΕΙΣΙΜΑΤΟΣ'!AJ19/'2.ΤΙΜΕΣ ΚΛΕΙΣΙΜΑΤΟΣ'!AJ18)</f>
        <v>-2.1202207650603051E-2</v>
      </c>
      <c r="AK18" s="43">
        <f>LN('2.ΤΙΜΕΣ ΚΛΕΙΣΙΜΑΤΟΣ'!AK19/'2.ΤΙΜΕΣ ΚΛΕΙΣΙΜΑΤΟΣ'!AK18)</f>
        <v>-1.9324272826402814E-2</v>
      </c>
      <c r="AL18" s="43">
        <f>LN('2.ΤΙΜΕΣ ΚΛΕΙΣΙΜΑΤΟΣ'!AL19/'2.ΤΙΜΕΣ ΚΛΕΙΣΙΜΑΤΟΣ'!AL18)</f>
        <v>-5.7158413839948519E-2</v>
      </c>
      <c r="AM18" s="43">
        <f>LN('2.ΤΙΜΕΣ ΚΛΕΙΣΙΜΑΤΟΣ'!AM19/'2.ΤΙΜΕΣ ΚΛΕΙΣΙΜΑΤΟΣ'!AM18)</f>
        <v>-9.4118341823463698E-3</v>
      </c>
      <c r="AN18" s="43">
        <f>LN('2.ΤΙΜΕΣ ΚΛΕΙΣΙΜΑΤΟΣ'!AN19/'2.ΤΙΜΕΣ ΚΛΕΙΣΙΜΑΤΟΣ'!AN18)</f>
        <v>1.6260520871780326E-2</v>
      </c>
      <c r="AO18" s="43">
        <f>LN('2.ΤΙΜΕΣ ΚΛΕΙΣΙΜΑΤΟΣ'!AO19/'2.ΤΙΜΕΣ ΚΛΕΙΣΙΜΑΤΟΣ'!AO18)</f>
        <v>-2.3953241022492872E-2</v>
      </c>
      <c r="AP18" s="43">
        <f>LN('2.ΤΙΜΕΣ ΚΛΕΙΣΙΜΑΤΟΣ'!AP19/'2.ΤΙΜΕΣ ΚΛΕΙΣΙΜΑΤΟΣ'!AP18)</f>
        <v>4.0683538620486619E-3</v>
      </c>
      <c r="AQ18" s="43">
        <f>LN('2.ΤΙΜΕΣ ΚΛΕΙΣΙΜΑΤΟΣ'!AQ19/'2.ΤΙΜΕΣ ΚΛΕΙΣΙΜΑΤΟΣ'!AQ18)</f>
        <v>-9.3995470115043507E-3</v>
      </c>
      <c r="AR18" s="43">
        <f>LN('2.ΤΙΜΕΣ ΚΛΕΙΣΙΜΑΤΟΣ'!AR19/'2.ΤΙΜΕΣ ΚΛΕΙΣΙΜΑΤΟΣ'!AR18)</f>
        <v>6.569525926539474E-2</v>
      </c>
      <c r="AS18" s="43">
        <f>LN('2.ΤΙΜΕΣ ΚΛΕΙΣΙΜΑΤΟΣ'!AS19/'2.ΤΙΜΕΣ ΚΛΕΙΣΙΜΑΤΟΣ'!AS18)</f>
        <v>-3.2789822822990956E-2</v>
      </c>
      <c r="AT18" s="43">
        <f>LN('2.ΤΙΜΕΣ ΚΛΕΙΣΙΜΑΤΟΣ'!AT19/'2.ΤΙΜΕΣ ΚΛΕΙΣΙΜΑΤΟΣ'!AT18)</f>
        <v>1.9169916107720123E-2</v>
      </c>
      <c r="AU18" s="43">
        <f>LN('2.ΤΙΜΕΣ ΚΛΕΙΣΙΜΑΤΟΣ'!AU19/'2.ΤΙΜΕΣ ΚΛΕΙΣΙΜΑΤΟΣ'!AU18)</f>
        <v>-2.5983729775915826E-3</v>
      </c>
    </row>
    <row r="19" spans="1:47">
      <c r="A19" s="41">
        <v>43579</v>
      </c>
      <c r="B19" s="43">
        <f>LN('2.ΤΙΜΕΣ ΚΛΕΙΣΙΜΑΤΟΣ'!B20/'2.ΤΙΜΕΣ ΚΛΕΙΣΙΜΑΤΟΣ'!B19)</f>
        <v>-2.8138208342004508E-3</v>
      </c>
      <c r="C19" s="43">
        <f>LN('2.ΤΙΜΕΣ ΚΛΕΙΣΙΜΑΤΟΣ'!C20/'2.ΤΙΜΕΣ ΚΛΕΙΣΙΜΑΤΟΣ'!C19)</f>
        <v>8.1665990655596524E-4</v>
      </c>
      <c r="D19" s="43">
        <f>LN('2.ΤΙΜΕΣ ΚΛΕΙΣΙΜΑΤΟΣ'!D20/'2.ΤΙΜΕΣ ΚΛΕΙΣΙΜΑΤΟΣ'!D19)</f>
        <v>0</v>
      </c>
      <c r="E19" s="43">
        <f>LN('2.ΤΙΜΕΣ ΚΛΕΙΣΙΜΑΤΟΣ'!E20/'2.ΤΙΜΕΣ ΚΛΕΙΣΙΜΑΤΟΣ'!E19)</f>
        <v>1.9950786419348693E-2</v>
      </c>
      <c r="F19" s="43">
        <f>LN('2.ΤΙΜΕΣ ΚΛΕΙΣΙΜΑΤΟΣ'!F20/'2.ΤΙΜΕΣ ΚΛΕΙΣΙΜΑΤΟΣ'!F19)</f>
        <v>-9.4451705715186459E-3</v>
      </c>
      <c r="G19" s="43">
        <f>LN('2.ΤΙΜΕΣ ΚΛΕΙΣΙΜΑΤΟΣ'!G20/'2.ΤΙΜΕΣ ΚΛΕΙΣΙΜΑΤΟΣ'!G19)</f>
        <v>-2.7210901143606132E-3</v>
      </c>
      <c r="H19" s="43">
        <f>LN('2.ΤΙΜΕΣ ΚΛΕΙΣΙΜΑΤΟΣ'!H20/'2.ΤΙΜΕΣ ΚΛΕΙΣΙΜΑΤΟΣ'!H19)</f>
        <v>2.0055366813348428E-2</v>
      </c>
      <c r="I19" s="43">
        <f>LN('2.ΤΙΜΕΣ ΚΛΕΙΣΙΜΑΤΟΣ'!I20/'2.ΤΙΜΕΣ ΚΛΕΙΣΙΜΑΤΟΣ'!I19)</f>
        <v>-6.9444723528110461E-3</v>
      </c>
      <c r="J19" s="43">
        <f>LN('2.ΤΙΜΕΣ ΚΛΕΙΣΙΜΑΤΟΣ'!J20/'2.ΤΙΜΕΣ ΚΛΕΙΣΙΜΑΤΟΣ'!J19)</f>
        <v>7.6045993852192125E-3</v>
      </c>
      <c r="K19" s="43">
        <f>LN('2.ΤΙΜΕΣ ΚΛΕΙΣΙΜΑΤΟΣ'!K20/'2.ΤΙΜΕΣ ΚΛΕΙΣΙΜΑΤΟΣ'!K19)</f>
        <v>-5.9626726166491948E-3</v>
      </c>
      <c r="L19" s="43">
        <f>LN('2.ΤΙΜΕΣ ΚΛΕΙΣΙΜΑΤΟΣ'!L20/'2.ΤΙΜΕΣ ΚΛΕΙΣΙΜΑΤΟΣ'!L19)</f>
        <v>-6.2959284568148118E-3</v>
      </c>
      <c r="M19" s="43">
        <f>LN('2.ΤΙΜΕΣ ΚΛΕΙΣΙΜΑΤΟΣ'!M20/'2.ΤΙΜΕΣ ΚΛΕΙΣΙΜΑΤΟΣ'!M19)</f>
        <v>1.0542963549059923E-3</v>
      </c>
      <c r="N19" s="43">
        <f>LN('2.ΤΙΜΕΣ ΚΛΕΙΣΙΜΑΤΟΣ'!N20/'2.ΤΙΜΕΣ ΚΛΕΙΣΙΜΑΤΟΣ'!N19)</f>
        <v>-1.4781968693108945E-3</v>
      </c>
      <c r="O19" s="43">
        <f>LN('2.ΤΙΜΕΣ ΚΛΕΙΣΙΜΑΤΟΣ'!O20/'2.ΤΙΜΕΣ ΚΛΕΙΣΙΜΑΤΟΣ'!O19)</f>
        <v>-1.486402263214928E-2</v>
      </c>
      <c r="P19" s="43">
        <f>LN('2.ΤΙΜΕΣ ΚΛΕΙΣΙΜΑΤΟΣ'!P20/'2.ΤΙΜΕΣ ΚΛΕΙΣΙΜΑΤΟΣ'!P19)</f>
        <v>-1.9249284095843938E-3</v>
      </c>
      <c r="Q19" s="43">
        <f>LN('2.ΤΙΜΕΣ ΚΛΕΙΣΙΜΑΤΟΣ'!Q20/'2.ΤΙΜΕΣ ΚΛΕΙΣΙΜΑΤΟΣ'!Q19)</f>
        <v>-2.4005517158122193E-2</v>
      </c>
      <c r="R19" s="43">
        <f>LN('2.ΤΙΜΕΣ ΚΛΕΙΣΙΜΑΤΟΣ'!R20/'2.ΤΙΜΕΣ ΚΛΕΙΣΙΜΑΤΟΣ'!R19)</f>
        <v>-0.19758902892474306</v>
      </c>
      <c r="S19" s="43">
        <f>LN('2.ΤΙΜΕΣ ΚΛΕΙΣΙΜΑΤΟΣ'!S20/'2.ΤΙΜΕΣ ΚΛΕΙΣΙΜΑΤΟΣ'!S19)</f>
        <v>-6.7705065672106022E-3</v>
      </c>
      <c r="T19" s="43">
        <f>LN('2.ΤΙΜΕΣ ΚΛΕΙΣΙΜΑΤΟΣ'!T20/'2.ΤΙΜΕΣ ΚΛΕΙΣΙΜΑΤΟΣ'!T19)</f>
        <v>-1.8209911379423054E-2</v>
      </c>
      <c r="U19" s="43">
        <f>LN('2.ΤΙΜΕΣ ΚΛΕΙΣΙΜΑΤΟΣ'!U20/'2.ΤΙΜΕΣ ΚΛΕΙΣΙΜΑΤΟΣ'!U19)</f>
        <v>-1.5963850989014088E-2</v>
      </c>
      <c r="V19" s="43">
        <f>LN('2.ΤΙΜΕΣ ΚΛΕΙΣΙΜΑΤΟΣ'!V20/'2.ΤΙΜΕΣ ΚΛΕΙΣΙΜΑΤΟΣ'!V19)</f>
        <v>5.0125418235444138E-3</v>
      </c>
      <c r="W19" s="43">
        <f>LN('2.ΤΙΜΕΣ ΚΛΕΙΣΙΜΑΤΟΣ'!W20/'2.ΤΙΜΕΣ ΚΛΕΙΣΙΜΑΤΟΣ'!W19)</f>
        <v>-2.3529422620267274E-3</v>
      </c>
      <c r="X19" s="43">
        <f>LN('2.ΤΙΜΕΣ ΚΛΕΙΣΙΜΑΤΟΣ'!X20/'2.ΤΙΜΕΣ ΚΛΕΙΣΙΜΑΤΟΣ'!X19)</f>
        <v>-2.0146078568504248E-2</v>
      </c>
      <c r="Y19" s="43">
        <f>LN('2.ΤΙΜΕΣ ΚΛΕΙΣΙΜΑΤΟΣ'!Y20/'2.ΤΙΜΕΣ ΚΛΕΙΣΙΜΑΤΟΣ'!Y19)</f>
        <v>-9.0498355199179273E-3</v>
      </c>
      <c r="Z19" s="43">
        <f>LN('2.ΤΙΜΕΣ ΚΛΕΙΣΙΜΑΤΟΣ'!Z20/'2.ΤΙΜΕΣ ΚΛΕΙΣΙΜΑΤΟΣ'!Z19)</f>
        <v>-1.4134510934904693E-2</v>
      </c>
      <c r="AA19" s="43">
        <f>LN('2.ΤΙΜΕΣ ΚΛΕΙΣΙΜΑΤΟΣ'!AA20/'2.ΤΙΜΕΣ ΚΛΕΙΣΙΜΑΤΟΣ'!AA19)</f>
        <v>-3.9920212695375608E-3</v>
      </c>
      <c r="AB19" s="43">
        <f>LN('2.ΤΙΜΕΣ ΚΛΕΙΣΙΜΑΤΟΣ'!AB20/'2.ΤΙΜΕΣ ΚΛΕΙΣΙΜΑΤΟΣ'!AB19)</f>
        <v>-2.3788861964014713E-2</v>
      </c>
      <c r="AC19" s="43">
        <f>LN('2.ΤΙΜΕΣ ΚΛΕΙΣΙΜΑΤΟΣ'!AC20/'2.ΤΙΜΕΣ ΚΛΕΙΣΙΜΑΤΟΣ'!AC19)</f>
        <v>0</v>
      </c>
      <c r="AD19" s="43">
        <f>LN('2.ΤΙΜΕΣ ΚΛΕΙΣΙΜΑΤΟΣ'!AD20/'2.ΤΙΜΕΣ ΚΛΕΙΣΙΜΑΤΟΣ'!AD19)</f>
        <v>-6.2015702632811573E-3</v>
      </c>
      <c r="AE19" s="43">
        <f>LN('2.ΤΙΜΕΣ ΚΛΕΙΣΙΜΑΤΟΣ'!AE20/'2.ΤΙΜΕΣ ΚΛΕΙΣΙΜΑΤΟΣ'!AE19)</f>
        <v>3.8684767779203319E-3</v>
      </c>
      <c r="AF19" s="43">
        <f>LN('2.ΤΙΜΕΣ ΚΛΕΙΣΙΜΑΤΟΣ'!AF20/'2.ΤΙΜΕΣ ΚΛΕΙΣΙΜΑΤΟΣ'!AF19)</f>
        <v>-2.6637359528298769E-2</v>
      </c>
      <c r="AG19" s="43">
        <f>LN('2.ΤΙΜΕΣ ΚΛΕΙΣΙΜΑΤΟΣ'!AG20/'2.ΤΙΜΕΣ ΚΛΕΙΣΙΜΑΤΟΣ'!AG19)</f>
        <v>0</v>
      </c>
      <c r="AH19" s="43">
        <f>LN('2.ΤΙΜΕΣ ΚΛΕΙΣΙΜΑΤΟΣ'!AH20/'2.ΤΙΜΕΣ ΚΛΕΙΣΙΜΑΤΟΣ'!AH19)</f>
        <v>-3.3152207316900391E-2</v>
      </c>
      <c r="AI19" s="43">
        <f>LN('2.ΤΙΜΕΣ ΚΛΕΙΣΙΜΑΤΟΣ'!AI20/'2.ΤΙΜΕΣ ΚΛΕΙΣΙΜΑΤΟΣ'!AI19)</f>
        <v>1.5267472130788381E-2</v>
      </c>
      <c r="AJ19" s="43">
        <f>LN('2.ΤΙΜΕΣ ΚΛΕΙΣΙΜΑΤΟΣ'!AJ20/'2.ΤΙΜΕΣ ΚΛΕΙΣΙΜΑΤΟΣ'!AJ19)</f>
        <v>-4.0078223567410469E-2</v>
      </c>
      <c r="AK19" s="43">
        <f>LN('2.ΤΙΜΕΣ ΚΛΕΙΣΙΜΑΤΟΣ'!AK20/'2.ΤΙΜΕΣ ΚΛΕΙΣΙΜΑΤΟΣ'!AK19)</f>
        <v>-9.8040000966208556E-3</v>
      </c>
      <c r="AL19" s="43">
        <f>LN('2.ΤΙΜΕΣ ΚΛΕΙΣΙΜΑΤΟΣ'!AL20/'2.ΤΙΜΕΣ ΚΛΕΙΣΙΜΑΤΟΣ'!AL19)</f>
        <v>1.1696039763191017E-2</v>
      </c>
      <c r="AM19" s="43">
        <f>LN('2.ΤΙΜΕΣ ΚΛΕΙΣΙΜΑΤΟΣ'!AM20/'2.ΤΙΜΕΣ ΚΛΕΙΣΙΜΑΤΟΣ'!AM19)</f>
        <v>-7.1174677688639896E-3</v>
      </c>
      <c r="AN19" s="43">
        <f>LN('2.ΤΙΜΕΣ ΚΛΕΙΣΙΜΑΤΟΣ'!AN20/'2.ΤΙΜΕΣ ΚΛΕΙΣΙΜΑΤΟΣ'!AN19)</f>
        <v>-2.614528010432236E-2</v>
      </c>
      <c r="AO19" s="43">
        <f>LN('2.ΤΙΜΕΣ ΚΛΕΙΣΙΜΑΤΟΣ'!AO20/'2.ΤΙΜΕΣ ΚΛΕΙΣΙΜΑΤΟΣ'!AO19)</f>
        <v>-1.834913866819643E-2</v>
      </c>
      <c r="AP19" s="43">
        <f>LN('2.ΤΙΜΕΣ ΚΛΕΙΣΙΜΑΤΟΣ'!AP20/'2.ΤΙΜΕΣ ΚΛΕΙΣΙΜΑΤΟΣ'!AP19)</f>
        <v>3.9017688078987284E-2</v>
      </c>
      <c r="AQ19" s="43">
        <f>LN('2.ΤΙΜΕΣ ΚΛΕΙΣΙΜΑΤΟΣ'!AQ20/'2.ΤΙΜΕΣ ΚΛΕΙΣΙΜΑΤΟΣ'!AQ19)</f>
        <v>-3.3069680097608224E-2</v>
      </c>
      <c r="AR19" s="43">
        <f>LN('2.ΤΙΜΕΣ ΚΛΕΙΣΙΜΑΤΟΣ'!AR20/'2.ΤΙΜΕΣ ΚΛΕΙΣΙΜΑΤΟΣ'!AR19)</f>
        <v>-3.4742362681862782E-3</v>
      </c>
      <c r="AS19" s="43">
        <f>LN('2.ΤΙΜΕΣ ΚΛΕΙΣΙΜΑΤΟΣ'!AS20/'2.ΤΙΜΕΣ ΚΛΕΙΣΙΜΑΤΟΣ'!AS19)</f>
        <v>1.6529301951210506E-2</v>
      </c>
      <c r="AT19" s="43">
        <f>LN('2.ΤΙΜΕΣ ΚΛΕΙΣΙΜΑΤΟΣ'!AT20/'2.ΤΙΜΕΣ ΚΛΕΙΣΙΜΑΤΟΣ'!AT19)</f>
        <v>-3.8714512180690282E-2</v>
      </c>
      <c r="AU19" s="43">
        <f>LN('2.ΤΙΜΕΣ ΚΛΕΙΣΙΜΑΤΟΣ'!AU20/'2.ΤΙΜΕΣ ΚΛΕΙΣΙΜΑΤΟΣ'!AU19)</f>
        <v>-4.8287442281866313E-3</v>
      </c>
    </row>
    <row r="20" spans="1:47">
      <c r="A20" s="41">
        <v>43580</v>
      </c>
      <c r="B20" s="43">
        <f>LN('2.ΤΙΜΕΣ ΚΛΕΙΣΙΜΑΤΟΣ'!B21/'2.ΤΙΜΕΣ ΚΛΕΙΣΙΜΑΤΟΣ'!B20)</f>
        <v>-1.2531329960675333E-3</v>
      </c>
      <c r="C20" s="43">
        <f>LN('2.ΤΙΜΕΣ ΚΛΕΙΣΙΜΑΤΟΣ'!C21/'2.ΤΙΜΕΣ ΚΛΕΙΣΙΜΑΤΟΣ'!C20)</f>
        <v>4.0733253876358688E-3</v>
      </c>
      <c r="D20" s="43">
        <f>LN('2.ΤΙΜΕΣ ΚΛΕΙΣΙΜΑΤΟΣ'!D21/'2.ΤΙΜΕΣ ΚΛΕΙΣΙΜΑΤΟΣ'!D20)</f>
        <v>-3.2061585656328498E-3</v>
      </c>
      <c r="E20" s="43">
        <f>LN('2.ΤΙΜΕΣ ΚΛΕΙΣΙΜΑΤΟΣ'!E21/'2.ΤΙΜΕΣ ΚΛΕΙΣΙΜΑΤΟΣ'!E20)</f>
        <v>3.0816665374081144E-3</v>
      </c>
      <c r="F20" s="43">
        <f>LN('2.ΤΙΜΕΣ ΚΛΕΙΣΙΜΑΤΟΣ'!F21/'2.ΤΙΜΕΣ ΚΛΕΙΣΙΜΑΤΟΣ'!F20)</f>
        <v>2.3696693553183824E-3</v>
      </c>
      <c r="G20" s="43">
        <f>LN('2.ΤΙΜΕΣ ΚΛΕΙΣΙΜΑΤΟΣ'!G21/'2.ΤΙΜΕΣ ΚΛΕΙΣΙΜΑΤΟΣ'!G20)</f>
        <v>-1.3633267278640533E-3</v>
      </c>
      <c r="H20" s="43">
        <f>LN('2.ΤΙΜΕΣ ΚΛΕΙΣΙΜΑΤΟΣ'!H21/'2.ΤΙΜΕΣ ΚΛΕΙΣΙΜΑΤΟΣ'!H20)</f>
        <v>1.3447087431214033E-2</v>
      </c>
      <c r="I20" s="43">
        <f>LN('2.ΤΙΜΕΣ ΚΛΕΙΣΙΜΑΤΟΣ'!I21/'2.ΤΙΜΕΣ ΚΛΕΙΣΙΜΑΤΟΣ'!I20)</f>
        <v>3.4782643763247925E-3</v>
      </c>
      <c r="J20" s="43">
        <f>LN('2.ΤΙΜΕΣ ΚΛΕΙΣΙΜΑΤΟΣ'!J21/'2.ΤΙΜΕΣ ΚΛΕΙΣΙΜΑΤΟΣ'!J20)</f>
        <v>-1.0152371464017962E-2</v>
      </c>
      <c r="K20" s="43">
        <f>LN('2.ΤΙΜΕΣ ΚΛΕΙΣΙΜΑΤΟΣ'!K21/'2.ΤΙΜΕΣ ΚΛΕΙΣΙΜΑΤΟΣ'!K20)</f>
        <v>5.9626726166492287E-3</v>
      </c>
      <c r="L20" s="43">
        <f>LN('2.ΤΙΜΕΣ ΚΛΕΙΣΙΜΑΤΟΣ'!L21/'2.ΤΙΜΕΣ ΚΛΕΙΣΙΜΑΤΟΣ'!L20)</f>
        <v>-5.2645434224608443E-4</v>
      </c>
      <c r="M20" s="43">
        <f>LN('2.ΤΙΜΕΣ ΚΛΕΙΣΙΜΑΤΟΣ'!M21/'2.ΤΙΜΕΣ ΚΛΕΙΣΙΜΑΤΟΣ'!M20)</f>
        <v>1.1524485851953918E-2</v>
      </c>
      <c r="N20" s="43">
        <f>LN('2.ΤΙΜΕΣ ΚΛΕΙΣΙΜΑΤΟΣ'!N21/'2.ΤΙΜΕΣ ΚΛΕΙΣΙΜΑΤΟΣ'!N20)</f>
        <v>0</v>
      </c>
      <c r="O20" s="43">
        <f>LN('2.ΤΙΜΕΣ ΚΛΕΙΣΙΜΑΤΟΣ'!O21/'2.ΤΙΜΕΣ ΚΛΕΙΣΙΜΑΤΟΣ'!O20)</f>
        <v>9.9338565242906747E-3</v>
      </c>
      <c r="P20" s="43">
        <f>LN('2.ΤΙΜΕΣ ΚΛΕΙΣΙΜΑΤΟΣ'!P21/'2.ΤΙΜΕΣ ΚΛΕΙΣΙΜΑΤΟΣ'!P20)</f>
        <v>-2.5367213878423216E-2</v>
      </c>
      <c r="Q20" s="43">
        <f>LN('2.ΤΙΜΕΣ ΚΛΕΙΣΙΜΑΤΟΣ'!Q21/'2.ΤΙΜΕΣ ΚΛΕΙΣΙΜΑΤΟΣ'!Q20)</f>
        <v>-1.1105055822701604E-2</v>
      </c>
      <c r="R20" s="43">
        <f>LN('2.ΤΙΜΕΣ ΚΛΕΙΣΙΜΑΤΟΣ'!R21/'2.ΤΙΜΕΣ ΚΛΕΙΣΙΜΑΤΟΣ'!R20)</f>
        <v>2.431730765070643E-2</v>
      </c>
      <c r="S20" s="43">
        <f>LN('2.ΤΙΜΕΣ ΚΛΕΙΣΙΜΑΤΟΣ'!S21/'2.ΤΙΜΕΣ ΚΛΕΙΣΙΜΑΤΟΣ'!S20)</f>
        <v>-1.6438726343159835E-2</v>
      </c>
      <c r="T20" s="43">
        <f>LN('2.ΤΙΜΕΣ ΚΛΕΙΣΙΜΑΤΟΣ'!T21/'2.ΤΙΜΕΣ ΚΛΕΙΣΙΜΑΤΟΣ'!T20)</f>
        <v>1.9712541263958064E-2</v>
      </c>
      <c r="U20" s="43">
        <f>LN('2.ΤΙΜΕΣ ΚΛΕΙΣΙΜΑΤΟΣ'!U21/'2.ΤΙΜΕΣ ΚΛΕΙΣΙΜΑΤΟΣ'!U20)</f>
        <v>0</v>
      </c>
      <c r="V20" s="43">
        <f>LN('2.ΤΙΜΕΣ ΚΛΕΙΣΙΜΑΤΟΣ'!V21/'2.ΤΙΜΕΣ ΚΛΕΙΣΙΜΑΤΟΣ'!V20)</f>
        <v>0</v>
      </c>
      <c r="W20" s="43">
        <f>LN('2.ΤΙΜΕΣ ΚΛΕΙΣΙΜΑΤΟΣ'!W21/'2.ΤΙΜΕΣ ΚΛΕΙΣΙΜΑΤΟΣ'!W20)</f>
        <v>-1.6627461460491953E-2</v>
      </c>
      <c r="X20" s="43">
        <f>LN('2.ΤΙΜΕΣ ΚΛΕΙΣΙΜΑΤΟΣ'!X21/'2.ΤΙΜΕΣ ΚΛΕΙΣΙΜΑΤΟΣ'!X20)</f>
        <v>0</v>
      </c>
      <c r="Y20" s="43">
        <f>LN('2.ΤΙΜΕΣ ΚΛΕΙΣΙΜΑΤΟΣ'!Y21/'2.ΤΙΜΕΣ ΚΛΕΙΣΙΜΑΤΟΣ'!Y20)</f>
        <v>3.403293131707865E-3</v>
      </c>
      <c r="Z20" s="43">
        <f>LN('2.ΤΙΜΕΣ ΚΛΕΙΣΙΜΑΤΟΣ'!Z21/'2.ΤΙΜΕΣ ΚΛΕΙΣΙΜΑΤΟΣ'!Z20)</f>
        <v>3.5524016043677006E-3</v>
      </c>
      <c r="AA20" s="43">
        <f>LN('2.ΤΙΜΕΣ ΚΛΕΙΣΙΜΑΤΟΣ'!AA21/'2.ΤΙΜΕΣ ΚΛΕΙΣΙΜΑΤΟΣ'!AA20)</f>
        <v>3.9920212695374567E-3</v>
      </c>
      <c r="AB20" s="43">
        <f>LN('2.ΤΙΜΕΣ ΚΛΕΙΣΙΜΑΤΟΣ'!AB21/'2.ΤΙΜΕΣ ΚΛΕΙΣΙΜΑΤΟΣ'!AB20)</f>
        <v>-1.8692133012152633E-2</v>
      </c>
      <c r="AC20" s="43">
        <f>LN('2.ΤΙΜΕΣ ΚΛΕΙΣΙΜΑΤΟΣ'!AC21/'2.ΤΙΜΕΣ ΚΛΕΙΣΙΜΑΤΟΣ'!AC20)</f>
        <v>2.7285146532039142E-3</v>
      </c>
      <c r="AD20" s="43">
        <f>LN('2.ΤΙΜΕΣ ΚΛΕΙΣΙΜΑΤΟΣ'!AD21/'2.ΤΙΜΕΣ ΚΛΕΙΣΙΜΑΤΟΣ'!AD20)</f>
        <v>1.0827638652063393E-2</v>
      </c>
      <c r="AE20" s="43">
        <f>LN('2.ΤΙΜΕΣ ΚΛΕΙΣΙΜΑΤΟΣ'!AE21/'2.ΤΙΜΕΣ ΚΛΕΙΣΙΜΑΤΟΣ'!AE20)</f>
        <v>-3.8684767779202061E-3</v>
      </c>
      <c r="AF20" s="43">
        <f>LN('2.ΤΙΜΕΣ ΚΛΕΙΣΙΜΑΤΟΣ'!AF21/'2.ΤΙΜΕΣ ΚΛΕΙΣΙΜΑΤΟΣ'!AF20)</f>
        <v>1.398624197473987E-2</v>
      </c>
      <c r="AG20" s="43">
        <f>LN('2.ΤΙΜΕΣ ΚΛΕΙΣΙΜΑΤΟΣ'!AG21/'2.ΤΙΜΕΣ ΚΛΕΙΣΙΜΑΤΟΣ'!AG20)</f>
        <v>2.6907452919924402E-2</v>
      </c>
      <c r="AH20" s="43">
        <f>LN('2.ΤΙΜΕΣ ΚΛΕΙΣΙΜΑΤΟΣ'!AH21/'2.ΤΙΜΕΣ ΚΛΕΙΣΙΜΑΤΟΣ'!AH20)</f>
        <v>2.2446698538239494E-3</v>
      </c>
      <c r="AI20" s="43">
        <f>LN('2.ΤΙΜΕΣ ΚΛΕΙΣΙΜΑΤΟΣ'!AI21/'2.ΤΙΜΕΣ ΚΛΕΙΣΙΜΑΤΟΣ'!AI20)</f>
        <v>0</v>
      </c>
      <c r="AJ20" s="43">
        <f>LN('2.ΤΙΜΕΣ ΚΛΕΙΣΙΜΑΤΟΣ'!AJ21/'2.ΤΙΜΕΣ ΚΛΕΙΣΙΜΑΤΟΣ'!AJ20)</f>
        <v>-2.6366875840742224E-2</v>
      </c>
      <c r="AK20" s="43">
        <f>LN('2.ΤΙΜΕΣ ΚΛΕΙΣΙΜΑΤΟΣ'!AK21/'2.ΤΙΜΕΣ ΚΛΕΙΣΙΜΑΤΟΣ'!AK20)</f>
        <v>0</v>
      </c>
      <c r="AL20" s="43">
        <f>LN('2.ΤΙΜΕΣ ΚΛΕΙΣΙΜΑΤΟΣ'!AL21/'2.ΤΙΜΕΣ ΚΛΕΙΣΙΜΑΤΟΣ'!AL20)</f>
        <v>8.894748601649631E-2</v>
      </c>
      <c r="AM20" s="43">
        <f>LN('2.ΤΙΜΕΣ ΚΛΕΙΣΙΜΑΤΟΣ'!AM21/'2.ΤΙΜΕΣ ΚΛΕΙΣΙΜΑΤΟΣ'!AM20)</f>
        <v>2.3781224049674193E-3</v>
      </c>
      <c r="AN20" s="43">
        <f>LN('2.ΤΙΜΕΣ ΚΛΕΙΣΙΜΑΤΟΣ'!AN21/'2.ΤΙΜΕΣ ΚΛΕΙΣΙΜΑΤΟΣ'!AN20)</f>
        <v>1.3158084577511201E-2</v>
      </c>
      <c r="AO20" s="43">
        <f>LN('2.ΤΙΜΕΣ ΚΛΕΙΣΙΜΑΤΟΣ'!AO21/'2.ΤΙΜΕΣ ΚΛΕΙΣΙΜΑΤΟΣ'!AO20)</f>
        <v>3.0816665374081144E-3</v>
      </c>
      <c r="AP20" s="43">
        <f>LN('2.ΤΙΜΕΣ ΚΛΕΙΣΙΜΑΤΟΣ'!AP21/'2.ΤΙΜΕΣ ΚΛΕΙΣΙΜΑΤΟΣ'!AP20)</f>
        <v>3.4161832780742592E-2</v>
      </c>
      <c r="AQ20" s="43">
        <f>LN('2.ΤΙΜΕΣ ΚΛΕΙΣΙΜΑΤΟΣ'!AQ21/'2.ΤΙΜΕΣ ΚΛΕΙΣΙΜΑΤΟΣ'!AQ20)</f>
        <v>8.6393625907078605E-3</v>
      </c>
      <c r="AR20" s="43">
        <f>LN('2.ΤΙΜΕΣ ΚΛΕΙΣΙΜΑΤΟΣ'!AR21/'2.ΤΙΜΕΣ ΚΛΕΙΣΙΜΑΤΟΣ'!AR20)</f>
        <v>3.4742362681862726E-3</v>
      </c>
      <c r="AS20" s="43">
        <f>LN('2.ΤΙΜΕΣ ΚΛΕΙΣΙΜΑΤΟΣ'!AS21/'2.ΤΙΜΕΣ ΚΛΕΙΣΙΜΑΤΟΣ'!AS20)</f>
        <v>4.0899852515252876E-3</v>
      </c>
      <c r="AT20" s="43">
        <f>LN('2.ΤΙΜΕΣ ΚΛΕΙΣΙΜΑΤΟΣ'!AT21/'2.ΤΙΜΕΣ ΚΛΕΙΣΙΜΑΤΟΣ'!AT20)</f>
        <v>-3.5718082602079232E-2</v>
      </c>
      <c r="AU20" s="43">
        <f>LN('2.ΤΙΜΕΣ ΚΛΕΙΣΙΜΑΤΟΣ'!AU21/'2.ΤΙΜΕΣ ΚΛΕΙΣΙΜΑΤΟΣ'!AU20)</f>
        <v>1.0353306596537067E-4</v>
      </c>
    </row>
    <row r="21" spans="1:47">
      <c r="A21" s="41">
        <v>43585</v>
      </c>
      <c r="B21" s="43">
        <f>LN('2.ΤΙΜΕΣ ΚΛΕΙΣΙΜΑΤΟΣ'!B22/'2.ΤΙΜΕΣ ΚΛΕΙΣΙΜΑΤΟΣ'!B21)</f>
        <v>6.2676279080933252E-4</v>
      </c>
      <c r="C21" s="43">
        <f>LN('2.ΤΙΜΕΣ ΚΛΕΙΣΙΜΑΤΟΣ'!C22/'2.ΤΙΜΕΣ ΚΛΕΙΣΙΜΑΤΟΣ'!C21)</f>
        <v>6.483004878078312E-3</v>
      </c>
      <c r="D21" s="43">
        <f>LN('2.ΤΙΜΕΣ ΚΛΕΙΣΙΜΑΤΟΣ'!D22/'2.ΤΙΜΕΣ ΚΛΕΙΣΙΜΑΤΟΣ'!D21)</f>
        <v>2.6409055645296838E-2</v>
      </c>
      <c r="E21" s="43">
        <f>LN('2.ΤΙΜΕΣ ΚΛΕΙΣΙΜΑΤΟΣ'!E22/'2.ΤΙΜΕΣ ΚΛΕΙΣΙΜΑΤΟΣ'!E21)</f>
        <v>-3.0816665374081122E-3</v>
      </c>
      <c r="F21" s="43">
        <f>LN('2.ΤΙΜΕΣ ΚΛΕΙΣΙΜΑΤΟΣ'!F22/'2.ΤΙΜΕΣ ΚΛΕΙΣΙΜΑΤΟΣ'!F21)</f>
        <v>-2.3953241022492758E-2</v>
      </c>
      <c r="G21" s="43">
        <f>LN('2.ΤΙΜΕΣ ΚΛΕΙΣΙΜΑΤΟΣ'!G22/'2.ΤΙΜΕΣ ΚΛΕΙΣΙΜΑΤΟΣ'!G21)</f>
        <v>1.2203541280729063E-2</v>
      </c>
      <c r="H21" s="43">
        <f>LN('2.ΤΙΜΕΣ ΚΛΕΙΣΙΜΑΤΟΣ'!H22/'2.ΤΙΜΕΣ ΚΛΕΙΣΙΜΑΤΟΣ'!H21)</f>
        <v>1.2389539012092859E-2</v>
      </c>
      <c r="I21" s="43">
        <f>LN('2.ΤΙΜΕΣ ΚΛΕΙΣΙΜΑΤΟΣ'!I22/'2.ΤΙΜΕΣ ΚΛΕΙΣΙΜΑΤΟΣ'!I21)</f>
        <v>-4.1111388242431178E-2</v>
      </c>
      <c r="J21" s="43">
        <f>LN('2.ΤΙΜΕΣ ΚΛΕΙΣΙΜΑΤΟΣ'!J22/'2.ΤΙΜΕΣ ΚΛΕΙΣΙΜΑΤΟΣ'!J21)</f>
        <v>-3.0659196218349003E-3</v>
      </c>
      <c r="K21" s="43">
        <f>LN('2.ΤΙΜΕΣ ΚΛΕΙΣΙΜΑΤΟΣ'!K22/'2.ΤΙΜΕΣ ΚΛΕΙΣΙΜΑΤΟΣ'!K21)</f>
        <v>2.9680565411466346E-3</v>
      </c>
      <c r="L21" s="43">
        <f>LN('2.ΤΙΜΕΣ ΚΛΕΙΣΙΜΑΤΟΣ'!L22/'2.ΤΙΜΕΣ ΚΛΕΙΣΙΜΑΤΟΣ'!L21)</f>
        <v>1.7745768396045032E-2</v>
      </c>
      <c r="M21" s="43">
        <f>LN('2.ΤΙΜΕΣ ΚΛΕΙΣΙΜΑΤΟΣ'!M22/'2.ΤΙΜΕΣ ΚΛΕΙΣΙΜΑΤΟΣ'!M21)</f>
        <v>8.2988028146950641E-3</v>
      </c>
      <c r="N21" s="43">
        <f>LN('2.ΤΙΜΕΣ ΚΛΕΙΣΙΜΑΤΟΣ'!N22/'2.ΤΙΜΕΣ ΚΛΕΙΣΙΜΑΤΟΣ'!N21)</f>
        <v>5.899722127188322E-3</v>
      </c>
      <c r="O21" s="43">
        <f>LN('2.ΤΙΜΕΣ ΚΛΕΙΣΙΜΑΤΟΣ'!O22/'2.ΤΙΜΕΣ ΚΛΕΙΣΙΜΑΤΟΣ'!O21)</f>
        <v>-1.9967385513868497E-2</v>
      </c>
      <c r="P21" s="43">
        <f>LN('2.ΤΙΜΕΣ ΚΛΕΙΣΙΜΑΤΟΣ'!P22/'2.ΤΙΜΕΣ ΚΛΕΙΣΙΜΑΤΟΣ'!P21)</f>
        <v>1.5686596167699473E-2</v>
      </c>
      <c r="Q21" s="43">
        <f>LN('2.ΤΙΜΕΣ ΚΛΕΙΣΙΜΑΤΟΣ'!Q22/'2.ΤΙΜΕΣ ΚΛΕΙΣΙΜΑΤΟΣ'!Q21)</f>
        <v>7.7864687062695007E-3</v>
      </c>
      <c r="R21" s="43">
        <f>LN('2.ΤΙΜΕΣ ΚΛΕΙΣΙΜΑΤΟΣ'!R22/'2.ΤΙΜΕΣ ΚΛΕΙΣΙΜΑΤΟΣ'!R21)</f>
        <v>-5.5569851154810765E-2</v>
      </c>
      <c r="S21" s="43">
        <f>LN('2.ΤΙΜΕΣ ΚΛΕΙΣΙΜΑΤΟΣ'!S22/'2.ΤΙΜΕΣ ΚΛΕΙΣΙΜΑΤΟΣ'!S21)</f>
        <v>2.0506528562485277E-2</v>
      </c>
      <c r="T21" s="43">
        <f>LN('2.ΤΙΜΕΣ ΚΛΕΙΣΙΜΑΤΟΣ'!T22/'2.ΤΙΜΕΣ ΚΛΕΙΣΙΜΑΤΟΣ'!T21)</f>
        <v>7.4794664312926532E-3</v>
      </c>
      <c r="U21" s="43">
        <f>LN('2.ΤΙΜΕΣ ΚΛΕΙΣΙΜΑΤΟΣ'!U22/'2.ΤΙΜΕΣ ΚΛΕΙΣΙΜΑΤΟΣ'!U21)</f>
        <v>-1.388911216066715E-2</v>
      </c>
      <c r="V21" s="43">
        <f>LN('2.ΤΙΜΕΣ ΚΛΕΙΣΙΜΑΤΟΣ'!V22/'2.ΤΙΜΕΣ ΚΛΕΙΣΙΜΑΤΟΣ'!V21)</f>
        <v>3.4401426717332317E-2</v>
      </c>
      <c r="W21" s="43">
        <f>LN('2.ΤΙΜΕΣ ΚΛΕΙΣΙΜΑΤΟΣ'!W22/'2.ΤΙΜΕΣ ΚΛΕΙΣΙΜΑΤΟΣ'!W21)</f>
        <v>9.5352331510000048E-3</v>
      </c>
      <c r="X21" s="43">
        <f>LN('2.ΤΙΜΕΣ ΚΛΕΙΣΙΜΑΤΟΣ'!X22/'2.ΤΙΜΕΣ ΚΛΕΙΣΙΜΑΤΟΣ'!X21)</f>
        <v>8.8090774017384622E-3</v>
      </c>
      <c r="Y21" s="43">
        <f>LN('2.ΤΙΜΕΣ ΚΛΕΙΣΙΜΑΤΟΣ'!Y22/'2.ΤΙΜΕΣ ΚΛΕΙΣΙΜΑΤΟΣ'!Y21)</f>
        <v>1.4615212370970607E-2</v>
      </c>
      <c r="Z21" s="43">
        <f>LN('2.ΤΙΜΕΣ ΚΛΕΙΣΙΜΑΤΟΣ'!Z22/'2.ΤΙΜΕΣ ΚΛΕΙΣΙΜΑΤΟΣ'!Z21)</f>
        <v>7.0671672230923528E-3</v>
      </c>
      <c r="AA21" s="43">
        <f>LN('2.ΤΙΜΕΣ ΚΛΕΙΣΙΜΑΤΟΣ'!AA22/'2.ΤΙΜΕΣ ΚΛΕΙΣΙΜΑΤΟΣ'!AA21)</f>
        <v>-3.9920212695375608E-3</v>
      </c>
      <c r="AB21" s="43">
        <f>LN('2.ΤΙΜΕΣ ΚΛΕΙΣΙΜΑΤΟΣ'!AB22/'2.ΤΙΜΕΣ ΚΛΕΙΣΙΜΑΤΟΣ'!AB21)</f>
        <v>1.8692133012152546E-2</v>
      </c>
      <c r="AC21" s="43">
        <f>LN('2.ΤΙΜΕΣ ΚΛΕΙΣΙΜΑΤΟΣ'!AC22/'2.ΤΙΜΕΣ ΚΛΕΙΣΙΜΑΤΟΣ'!AC21)</f>
        <v>1.3614705983211706E-3</v>
      </c>
      <c r="AD21" s="43">
        <f>LN('2.ΤΙΜΕΣ ΚΛΕΙΣΙΜΑΤΟΣ'!AD22/'2.ΤΙΜΕΣ ΚΛΕΙΣΙΜΑΤΟΣ'!AD21)</f>
        <v>-1.7067908512147997E-2</v>
      </c>
      <c r="AE21" s="43">
        <f>LN('2.ΤΙΜΕΣ ΚΛΕΙΣΙΜΑΤΟΣ'!AE22/'2.ΤΙΜΕΣ ΚΛΕΙΣΙΜΑΤΟΣ'!AE21)</f>
        <v>3.8684767779203319E-3</v>
      </c>
      <c r="AF21" s="43">
        <f>LN('2.ΤΙΜΕΣ ΚΛΕΙΣΙΜΑΤΟΣ'!AF22/'2.ΤΙΜΕΣ ΚΛΕΙΣΙΜΑΤΟΣ'!AF21)</f>
        <v>-8.1348502062758409E-3</v>
      </c>
      <c r="AG21" s="43">
        <f>LN('2.ΤΙΜΕΣ ΚΛΕΙΣΙΜΑΤΟΣ'!AG22/'2.ΤΙΜΕΣ ΚΛΕΙΣΙΜΑΤΟΣ'!AG21)</f>
        <v>-4.5256591588120947E-2</v>
      </c>
      <c r="AH21" s="43">
        <f>LN('2.ΤΙΜΕΣ ΚΛΕΙΣΙΜΑΤΟΣ'!AH22/'2.ΤΙΜΕΣ ΚΛΕΙΣΙΜΑΤΟΣ'!AH21)</f>
        <v>-9.7635022678512415E-3</v>
      </c>
      <c r="AI21" s="43">
        <f>LN('2.ΤΙΜΕΣ ΚΛΕΙΣΙΜΑΤΟΣ'!AI22/'2.ΤΙΜΕΣ ΚΛΕΙΣΙΜΑΤΟΣ'!AI21)</f>
        <v>-7.6045993852193036E-3</v>
      </c>
      <c r="AJ21" s="43">
        <f>LN('2.ΤΙΜΕΣ ΚΛΕΙΣΙΜΑΤΟΣ'!AJ22/'2.ΤΙΜΕΣ ΚΛΕΙΣΙΜΑΤΟΣ'!AJ21)</f>
        <v>-6.7086293216369802E-2</v>
      </c>
      <c r="AK21" s="43">
        <f>LN('2.ΤΙΜΕΣ ΚΛΕΙΣΙΜΑΤΟΣ'!AK22/'2.ΤΙΜΕΣ ΚΛΕΙΣΙΜΑΤΟΣ'!AK21)</f>
        <v>-2.4938948347252066E-2</v>
      </c>
      <c r="AL21" s="43">
        <f>LN('2.ΤΙΜΕΣ ΚΛΕΙΣΙΜΑΤΟΣ'!AL22/'2.ΤΙΜΕΣ ΚΛΕΙΣΙΜΑΤΟΣ'!AL21)</f>
        <v>-2.1506205220963619E-2</v>
      </c>
      <c r="AM21" s="43">
        <f>LN('2.ΤΙΜΕΣ ΚΛΕΙΣΙΜΑΤΟΣ'!AM22/'2.ΤΙΜΕΣ ΚΛΕΙΣΙΜΑΤΟΣ'!AM21)</f>
        <v>-2.647567398402802E-2</v>
      </c>
      <c r="AN21" s="43">
        <f>LN('2.ΤΙΜΕΣ ΚΛΕΙΣΙΜΑΤΟΣ'!AN22/'2.ΤΙΜΕΣ ΚΛΕΙΣΙΜΑΤΟΣ'!AN21)</f>
        <v>-4.683129968409909E-2</v>
      </c>
      <c r="AO21" s="43">
        <f>LN('2.ΤΙΜΕΣ ΚΛΕΙΣΙΜΑΤΟΣ'!AO22/'2.ΤΙΜΕΣ ΚΛΕΙΣΙΜΑΤΟΣ'!AO21)</f>
        <v>-3.0816665374080007E-3</v>
      </c>
      <c r="AP21" s="43">
        <f>LN('2.ΤΙΜΕΣ ΚΛΕΙΣΙΜΑΤΟΣ'!AP22/'2.ΤΙΜΕΣ ΚΛΕΙΣΙΜΑΤΟΣ'!AP21)</f>
        <v>-1.5209418663528795E-2</v>
      </c>
      <c r="AQ21" s="43">
        <f>LN('2.ΤΙΜΕΣ ΚΛΕΙΣΙΜΑΤΟΣ'!AQ22/'2.ΤΙΜΕΣ ΚΛΕΙΣΙΜΑΤΟΣ'!AQ21)</f>
        <v>-4.2840158676492365E-2</v>
      </c>
      <c r="AR21" s="43">
        <f>LN('2.ΤΙΜΕΣ ΚΛΕΙΣΙΜΑΤΟΣ'!AR22/'2.ΤΙΜΕΣ ΚΛΕΙΣΙΜΑΤΟΣ'!AR21)</f>
        <v>-8.1254074439170917E-3</v>
      </c>
      <c r="AS21" s="43">
        <f>LN('2.ΤΙΜΕΣ ΚΛΕΙΣΙΜΑΤΟΣ'!AS22/'2.ΤΙΜΕΣ ΚΛΕΙΣΙΜΑΤΟΣ'!AS21)</f>
        <v>-1.2320484388040736E-2</v>
      </c>
      <c r="AT21" s="43">
        <f>LN('2.ΤΙΜΕΣ ΚΛΕΙΣΙΜΑΤΟΣ'!AT22/'2.ΤΙΜΕΣ ΚΛΕΙΣΙΜΑΤΟΣ'!AT21)</f>
        <v>-5.1293294387550578E-2</v>
      </c>
      <c r="AU21" s="43">
        <f>LN('2.ΤΙΜΕΣ ΚΛΕΙΣΙΜΑΤΟΣ'!AU22/'2.ΤΙΜΕΣ ΚΛΕΙΣΙΜΑΤΟΣ'!AU21)</f>
        <v>6.4683892085712423E-4</v>
      </c>
    </row>
    <row r="22" spans="1:47">
      <c r="A22" s="41">
        <v>43587</v>
      </c>
      <c r="B22" s="43">
        <f>LN('2.ΤΙΜΕΣ ΚΛΕΙΣΙΜΑΤΟΣ'!B23/'2.ΤΙΜΕΣ ΚΛΕΙΣΙΜΑΤΟΣ'!B22)</f>
        <v>2.1079515791053913E-2</v>
      </c>
      <c r="C22" s="43">
        <f>LN('2.ΤΙΜΕΣ ΚΛΕΙΣΙΜΑΤΟΣ'!C23/'2.ΤΙΜΕΣ ΚΛΕΙΣΙΜΑΤΟΣ'!C22)</f>
        <v>-1.0556330265714136E-2</v>
      </c>
      <c r="D22" s="43">
        <f>LN('2.ΤΙΜΕΣ ΚΛΕΙΣΙΜΑΤΟΣ'!D23/'2.ΤΙΜΕΣ ΚΛΕΙΣΙΜΑΤΟΣ'!D22)</f>
        <v>-1.0430792642827065E-3</v>
      </c>
      <c r="E22" s="43">
        <f>LN('2.ΤΙΜΕΣ ΚΛΕΙΣΙΜΑΤΟΣ'!E23/'2.ΤΙΜΕΣ ΚΛΕΙΣΙΜΑΤΟΣ'!E22)</f>
        <v>-9.3023926623134485E-3</v>
      </c>
      <c r="F22" s="43">
        <f>LN('2.ΤΙΜΕΣ ΚΛΕΙΣΙΜΑΤΟΣ'!F23/'2.ΤΙΜΕΣ ΚΛΕΙΣΙΜΑΤΟΣ'!F22)</f>
        <v>1.2048338516174355E-2</v>
      </c>
      <c r="G22" s="43">
        <f>LN('2.ΤΙΜΕΣ ΚΛΕΙΣΙΜΑΤΟΣ'!G23/'2.ΤΙΜΕΣ ΚΛΕΙΣΙΜΑΤΟΣ'!G22)</f>
        <v>1.0723963362975642E-2</v>
      </c>
      <c r="H22" s="43">
        <f>LN('2.ΤΙΜΕΣ ΚΛΕΙΣΙΜΑΤΟΣ'!H23/'2.ΤΙΜΕΣ ΚΛΕΙΣΙΜΑΤΟΣ'!H22)</f>
        <v>-2.8547879798682684E-2</v>
      </c>
      <c r="I22" s="43">
        <f>LN('2.ΤΙΜΕΣ ΚΛΕΙΣΙΜΑΤΟΣ'!I23/'2.ΤΙΜΕΣ ΚΛΕΙΣΙΜΑΤΟΣ'!I22)</f>
        <v>-1.4577517618157418E-2</v>
      </c>
      <c r="J22" s="43">
        <f>LN('2.ΤΙΜΕΣ ΚΛΕΙΣΙΜΑΤΟΣ'!J23/'2.ΤΙΜΕΣ ΚΛΕΙΣΙΜΑΤΟΣ'!J22)</f>
        <v>1.5341347933482408E-3</v>
      </c>
      <c r="K22" s="43">
        <f>LN('2.ΤΙΜΕΣ ΚΛΕΙΣΙΜΑΤΟΣ'!K23/'2.ΤΙΜΕΣ ΚΛΕΙΣΙΜΑΤΟΣ'!K22)</f>
        <v>2.8037401544295714E-3</v>
      </c>
      <c r="L22" s="43">
        <f>LN('2.ΤΙΜΕΣ ΚΛΕΙΣΙΜΑΤΟΣ'!L23/'2.ΤΙΜΕΣ ΚΛΕΙΣΙΜΑΤΟΣ'!L22)</f>
        <v>-1.0351967798164173E-3</v>
      </c>
      <c r="M22" s="43">
        <f>LN('2.ΤΙΜΕΣ ΚΛΕΙΣΙΜΑΤΟΣ'!M23/'2.ΤΙΜΕΣ ΚΛΕΙΣΙΜΑΤΟΣ'!M22)</f>
        <v>-3.1039859375909962E-3</v>
      </c>
      <c r="N22" s="43">
        <f>LN('2.ΤΙΜΕΣ ΚΛΕΙΣΙΜΑΤΟΣ'!N23/'2.ΤΙΜΕΣ ΚΛΕΙΣΙΜΑΤΟΣ'!N22)</f>
        <v>-2.3358943498956883E-2</v>
      </c>
      <c r="O22" s="43">
        <f>LN('2.ΤΙΜΕΣ ΚΛΕΙΣΙΜΑΤΟΣ'!O23/'2.ΤΙΜΕΣ ΚΛΕΙΣΙΜΑΤΟΣ'!O22)</f>
        <v>8.3682496705165792E-3</v>
      </c>
      <c r="P22" s="43">
        <f>LN('2.ΤΙΜΕΣ ΚΛΕΙΣΙΜΑΤΟΣ'!P23/'2.ΤΙΜΕΣ ΚΛΕΙΣΙΜΑΤΟΣ'!P22)</f>
        <v>2.4977283086197132E-2</v>
      </c>
      <c r="Q22" s="43">
        <f>LN('2.ΤΙΜΕΣ ΚΛΕΙΣΙΜΑΤΟΣ'!Q23/'2.ΤΙΜΕΣ ΚΛΕΙΣΙΜΑΤΟΣ'!Q22)</f>
        <v>-1.7887564692773413E-2</v>
      </c>
      <c r="R22" s="43">
        <f>LN('2.ΤΙΜΕΣ ΚΛΕΙΣΙΜΑΤΟΣ'!R23/'2.ΤΙΜΕΣ ΚΛΕΙΣΙΜΑΤΟΣ'!R22)</f>
        <v>3.125254350410453E-2</v>
      </c>
      <c r="S22" s="43">
        <f>LN('2.ΤΙΜΕΣ ΚΛΕΙΣΙΜΑΤΟΣ'!S23/'2.ΤΙΜΕΣ ΚΛΕΙΣΙΜΑΤΟΣ'!S22)</f>
        <v>-5.4274217353651281E-3</v>
      </c>
      <c r="T22" s="43">
        <f>LN('2.ΤΙΜΕΣ ΚΛΕΙΣΙΜΑΤΟΣ'!T23/'2.ΤΙΜΕΣ ΚΛΕΙΣΙΜΑΤΟΣ'!T22)</f>
        <v>4.4609739406252661E-3</v>
      </c>
      <c r="U22" s="43">
        <f>LN('2.ΤΙΜΕΣ ΚΛΕΙΣΙΜΑΤΟΣ'!U23/'2.ΤΙΜΕΣ ΚΛΕΙΣΙΜΑΤΟΣ'!U22)</f>
        <v>3.4904049397685676E-3</v>
      </c>
      <c r="V22" s="43">
        <f>LN('2.ΤΙΜΕΣ ΚΛΕΙΣΙΜΑΤΟΣ'!V23/'2.ΤΙΜΕΣ ΚΛΕΙΣΙΜΑΤΟΣ'!V22)</f>
        <v>3.7919234862293677E-2</v>
      </c>
      <c r="W22" s="43">
        <f>LN('2.ΤΙΜΕΣ ΚΛΕΙΣΙΜΑΤΟΣ'!W23/'2.ΤΙΜΕΣ ΚΛΕΙΣΙΜΑΤΟΣ'!W22)</f>
        <v>2.5762548930023998E-2</v>
      </c>
      <c r="X22" s="43">
        <f>LN('2.ΤΙΜΕΣ ΚΛΕΙΣΙΜΑΤΟΣ'!X23/'2.ΤΙΜΕΣ ΚΛΕΙΣΙΜΑΤΟΣ'!X22)</f>
        <v>0</v>
      </c>
      <c r="Y22" s="43">
        <f>LN('2.ΤΙΜΕΣ ΚΛΕΙΣΙΜΑΤΟΣ'!Y23/'2.ΤΙΜΕΣ ΚΛΕΙΣΙΜΑΤΟΣ'!Y22)</f>
        <v>-2.2346378014164881E-3</v>
      </c>
      <c r="Z22" s="43">
        <f>LN('2.ΤΙΜΕΣ ΚΛΕΙΣΙΜΑΤΟΣ'!Z23/'2.ΤΙΜΕΣ ΚΛΕΙΣΙΜΑΤΟΣ'!Z22)</f>
        <v>3.1198370855861333E-2</v>
      </c>
      <c r="AA22" s="43">
        <f>LN('2.ΤΙΜΕΣ ΚΛΕΙΣΙΜΑΤΟΣ'!AA23/'2.ΤΙΜΕΣ ΚΛΕΙΣΙΜΑΤΟΣ'!AA22)</f>
        <v>1.980262729617973E-2</v>
      </c>
      <c r="AB22" s="43">
        <f>LN('2.ΤΙΜΕΣ ΚΛΕΙΣΙΜΑΤΟΣ'!AB23/'2.ΤΙΜΕΣ ΚΛΕΙΣΙΜΑΤΟΣ'!AB22)</f>
        <v>-3.710579396535713E-3</v>
      </c>
      <c r="AC22" s="43">
        <f>LN('2.ΤΙΜΕΣ ΚΛΕΙΣΙΜΑΤΟΣ'!AC23/'2.ΤΙΜΕΣ ΚΛΕΙΣΙΜΑΤΟΣ'!AC22)</f>
        <v>-1.3614705983210744E-3</v>
      </c>
      <c r="AD22" s="43">
        <f>LN('2.ΤΙΜΕΣ ΚΛΕΙΣΙΜΑΤΟΣ'!AD23/'2.ΤΙΜΕΣ ΚΛΕΙΣΙΜΑΤΟΣ'!AD22)</f>
        <v>1.7067908512148018E-2</v>
      </c>
      <c r="AE22" s="43">
        <f>LN('2.ΤΙΜΕΣ ΚΛΕΙΣΙΜΑΤΟΣ'!AE23/'2.ΤΙΜΕΣ ΚΛΕΙΣΙΜΑΤΟΣ'!AE22)</f>
        <v>1.5325970478226772E-2</v>
      </c>
      <c r="AF22" s="43">
        <f>LN('2.ΤΙΜΕΣ ΚΛΕΙΣΙΜΑΤΟΣ'!AF23/'2.ΤΙΜΕΣ ΚΛΕΙΣΙΜΑΤΟΣ'!AF22)</f>
        <v>8.1348502062758149E-3</v>
      </c>
      <c r="AG22" s="43">
        <f>LN('2.ΤΙΜΕΣ ΚΛΕΙΣΙΜΑΤΟΣ'!AG23/'2.ΤΙΜΕΣ ΚΛΕΙΣΙΜΑΤΟΣ'!AG22)</f>
        <v>-4.2559614418796007E-2</v>
      </c>
      <c r="AH22" s="43">
        <f>LN('2.ΤΙΜΕΣ ΚΛΕΙΣΙΜΑΤΟΣ'!AH23/'2.ΤΙΜΕΣ ΚΛΕΙΣΙΜΑΤΟΣ'!AH22)</f>
        <v>3.7664827954768648E-3</v>
      </c>
      <c r="AI22" s="43">
        <f>LN('2.ΤΙΜΕΣ ΚΛΕΙΣΙΜΑΤΟΣ'!AI23/'2.ΤΙΜΕΣ ΚΛΕΙΣΙΜΑΤΟΣ'!AI22)</f>
        <v>1.5151805020602246E-2</v>
      </c>
      <c r="AJ22" s="43">
        <f>LN('2.ΤΙΜΕΣ ΚΛΕΙΣΙΜΑΤΟΣ'!AJ23/'2.ΤΙΜΕΣ ΚΛΕΙΣΙΜΑΤΟΣ'!AJ22)</f>
        <v>-6.7536206990487346E-2</v>
      </c>
      <c r="AK22" s="43">
        <f>LN('2.ΤΙΜΕΣ ΚΛΕΙΣΙΜΑΤΟΣ'!AK23/'2.ΤΙΜΕΣ ΚΛΕΙΣΙΜΑΤΟΣ'!AK22)</f>
        <v>5.037794029957081E-3</v>
      </c>
      <c r="AL22" s="43">
        <f>LN('2.ΤΙΜΕΣ ΚΛΕΙΣΙΜΑΤΟΣ'!AL23/'2.ΤΙΜΕΣ ΚΛΕΙΣΙΜΑΤΟΣ'!AL22)</f>
        <v>-6.7441280795532646E-2</v>
      </c>
      <c r="AM22" s="43">
        <f>LN('2.ΤΙΜΕΣ ΚΛΕΙΣΙΜΑΤΟΣ'!AM23/'2.ΤΙΜΕΣ ΚΛΕΙΣΙΜΑΤΟΣ'!AM22)</f>
        <v>4.8661896511729063E-3</v>
      </c>
      <c r="AN22" s="43">
        <f>LN('2.ΤΙΜΕΣ ΚΛΕΙΣΙΜΑΤΟΣ'!AN23/'2.ΤΙΜΕΣ ΚΛΕΙΣΙΜΑΤΟΣ'!AN22)</f>
        <v>5.9818495210910205E-2</v>
      </c>
      <c r="AO22" s="43">
        <f>LN('2.ΤΙΜΕΣ ΚΛΕΙΣΙΜΑΤΟΣ'!AO23/'2.ΤΙΜΕΣ ΚΛΕΙΣΙΜΑΤΟΣ'!AO22)</f>
        <v>-6.191970247921107E-3</v>
      </c>
      <c r="AP22" s="43">
        <f>LN('2.ΤΙΜΕΣ ΚΛΕΙΣΙΜΑΤΟΣ'!AP23/'2.ΤΙΜΕΣ ΚΛΕΙΣΙΜΑΤΟΣ'!AP22)</f>
        <v>8.3396934492112357E-2</v>
      </c>
      <c r="AQ22" s="43">
        <f>LN('2.ΤΙΜΕΣ ΚΛΕΙΣΙΜΑΤΟΣ'!AQ23/'2.ΤΙΜΕΣ ΚΛΕΙΣΙΜΑΤΟΣ'!AQ22)</f>
        <v>-1.5837435098626309E-2</v>
      </c>
      <c r="AR22" s="43">
        <f>LN('2.ΤΙΜΕΣ ΚΛΕΙΣΙΜΑΤΟΣ'!AR23/'2.ΤΙΜΕΣ ΚΛΕΙΣΙΜΑΤΟΣ'!AR22)</f>
        <v>-2.5975486403260677E-2</v>
      </c>
      <c r="AS22" s="43">
        <f>LN('2.ΤΙΜΕΣ ΚΛΕΙΣΙΜΑΤΟΣ'!AS23/'2.ΤΙΜΕΣ ΚΛΕΙΣΙΜΑΤΟΣ'!AS22)</f>
        <v>-1.2474174225175688E-2</v>
      </c>
      <c r="AT22" s="43">
        <f>LN('2.ΤΙΜΕΣ ΚΛΕΙΣΙΜΑΤΟΣ'!AT23/'2.ΤΙΜΕΣ ΚΛΕΙΣΙΜΑΤΟΣ'!AT22)</f>
        <v>1.8957913744614207E-2</v>
      </c>
      <c r="AU22" s="43">
        <f>LN('2.ΤΙΜΕΣ ΚΛΕΙΣΙΜΑΤΟΣ'!AU23/'2.ΤΙΜΕΣ ΚΛΕΙΣΙΜΑΤΟΣ'!AU22)</f>
        <v>2.479980604557563E-3</v>
      </c>
    </row>
    <row r="23" spans="1:47">
      <c r="A23" s="41">
        <v>43588</v>
      </c>
      <c r="B23" s="43">
        <f>LN('2.ΤΙΜΕΣ ΚΛΕΙΣΙΜΑΤΟΣ'!B24/'2.ΤΙΜΕΣ ΚΛΕΙΣΙΜΑΤΟΣ'!B23)</f>
        <v>-1.2035325029554544E-2</v>
      </c>
      <c r="C23" s="43">
        <f>LN('2.ΤΙΜΕΣ ΚΛΕΙΣΙΜΑΤΟΣ'!C24/'2.ΤΙΜΕΣ ΚΛΕΙΣΙΜΑΤΟΣ'!C23)</f>
        <v>-2.0619287202735703E-2</v>
      </c>
      <c r="D23" s="43">
        <f>LN('2.ΤΙΜΕΣ ΚΛΕΙΣΙΜΑΤΟΣ'!D24/'2.ΤΙΜΕΣ ΚΛΕΙΣΙΜΑΤΟΣ'!D23)</f>
        <v>-1.5248205421734563E-2</v>
      </c>
      <c r="E23" s="43">
        <f>LN('2.ΤΙΜΕΣ ΚΛΕΙΣΙΜΑΤΟΣ'!E24/'2.ΤΙΜΕΣ ΚΛΕΙΣΙΜΑΤΟΣ'!E23)</f>
        <v>2.4891114282669258E-3</v>
      </c>
      <c r="F23" s="43">
        <f>LN('2.ΤΙΜΕΣ ΚΛΕΙΣΙΜΑΤΟΣ'!F24/'2.ΤΙΜΕΣ ΚΛΕΙΣΙΜΑΤΟΣ'!F23)</f>
        <v>1.1904902506318239E-2</v>
      </c>
      <c r="G23" s="43">
        <f>LN('2.ΤΙΜΕΣ ΚΛΕΙΣΙΜΑΤΟΣ'!G24/'2.ΤΙΜΕΣ ΚΛΕΙΣΙΜΑΤΟΣ'!G23)</f>
        <v>9.290046907092734E-3</v>
      </c>
      <c r="H23" s="43">
        <f>LN('2.ΤΙΜΕΣ ΚΛΕΙΣΙΜΑΤΟΣ'!H24/'2.ΤΙΜΕΣ ΚΛΕΙΣΙΜΑΤΟΣ'!H23)</f>
        <v>-1.366763872866387E-2</v>
      </c>
      <c r="I23" s="43">
        <f>LN('2.ΤΙΜΕΣ ΚΛΕΙΣΙΜΑΤΟΣ'!I24/'2.ΤΙΜΕΣ ΚΛΕΙΣΙΜΑΤΟΣ'!I23)</f>
        <v>-1.1074310299093778E-2</v>
      </c>
      <c r="J23" s="43">
        <f>LN('2.ΤΙΜΕΣ ΚΛΕΙΣΙΜΑΤΟΣ'!J24/'2.ΤΙΜΕΣ ΚΛΕΙΣΙΜΑΤΟΣ'!J23)</f>
        <v>1.1684156292504558E-2</v>
      </c>
      <c r="K23" s="43">
        <f>LN('2.ΤΙΜΕΣ ΚΛΕΙΣΙΜΑΤΟΣ'!K24/'2.ΤΙΜΕΣ ΚΛΕΙΣΙΜΑΤΟΣ'!K23)</f>
        <v>-1.315190399319878E-2</v>
      </c>
      <c r="L23" s="43">
        <f>LN('2.ΤΙΜΕΣ ΚΛΕΙΣΙΜΑΤΟΣ'!L24/'2.ΤΙΜΕΣ ΚΛΕΙΣΙΜΑΤΟΣ'!L23)</f>
        <v>1.5523935847251513E-3</v>
      </c>
      <c r="M23" s="43">
        <f>LN('2.ΤΙΜΕΣ ΚΛΕΙΣΙΜΑΤΟΣ'!M24/'2.ΤΙΜΕΣ ΚΛΕΙΣΙΜΑΤΟΣ'!M23)</f>
        <v>-1.0368067284402492E-3</v>
      </c>
      <c r="N23" s="43">
        <f>LN('2.ΤΙΜΕΣ ΚΛΕΙΣΙΜΑΤΟΣ'!N24/'2.ΤΙΜΕΣ ΚΛΕΙΣΙΜΑΤΟΣ'!N23)</f>
        <v>1.745922137176855E-2</v>
      </c>
      <c r="O23" s="43">
        <f>LN('2.ΤΙΜΕΣ ΚΛΕΙΣΙΜΑΤΟΣ'!O24/'2.ΤΙΜΕΣ ΚΛΕΙΣΙΜΑΤΟΣ'!O23)</f>
        <v>1.3245226750020723E-2</v>
      </c>
      <c r="P23" s="43">
        <f>LN('2.ΤΙΜΕΣ ΚΛΕΙΣΙΜΑΤΟΣ'!P24/'2.ΤΙΜΕΣ ΚΛΕΙΣΙΜΑΤΟΣ'!P23)</f>
        <v>-7.6190844764392933E-3</v>
      </c>
      <c r="Q23" s="43">
        <f>LN('2.ΤΙΜΕΣ ΚΛΕΙΣΙΜΑΤΟΣ'!Q24/'2.ΤΙΜΕΣ ΚΛΕΙΣΙΜΑΤΟΣ'!Q23)</f>
        <v>3.0002250303798914E-2</v>
      </c>
      <c r="R23" s="43">
        <f>LN('2.ΤΙΜΕΣ ΚΛΕΙΣΙΜΑΤΟΣ'!R24/'2.ΤΙΜΕΣ ΚΛΕΙΣΙΜΑΤΟΣ'!R23)</f>
        <v>1.0711655594927811E-2</v>
      </c>
      <c r="S23" s="43">
        <f>LN('2.ΤΙΜΕΣ ΚΛΕΙΣΙΜΑΤΟΣ'!S24/'2.ΤΙΜΕΣ ΚΛΕΙΣΙΜΑΤΟΣ'!S23)</f>
        <v>-1.3614705983210744E-3</v>
      </c>
      <c r="T23" s="43">
        <f>LN('2.ΤΙΜΕΣ ΚΛΕΙΣΙΜΑΤΟΣ'!T24/'2.ΤΙΜΕΣ ΚΛΕΙΣΙΜΑΤΟΣ'!T23)</f>
        <v>-1.484781267579225E-3</v>
      </c>
      <c r="U23" s="43">
        <f>LN('2.ΤΙΜΕΣ ΚΛΕΙΣΙΜΑΤΟΣ'!U24/'2.ΤΙΜΕΣ ΚΛΕΙΣΙΜΑΤΟΣ'!U23)</f>
        <v>-1.1621151801773739E-3</v>
      </c>
      <c r="V23" s="43">
        <f>LN('2.ΤΙΜΕΣ ΚΛΕΙΣΙΜΑΤΟΣ'!V24/'2.ΤΙΜΕΣ ΚΛΕΙΣΙΜΑΤΟΣ'!V23)</f>
        <v>3.203935374461666E-2</v>
      </c>
      <c r="W23" s="43">
        <f>LN('2.ΤΙΜΕΣ ΚΛΕΙΣΙΜΑΤΟΣ'!W24/'2.ΤΙΜΕΣ ΚΛΕΙΣΙΜΑΤΟΣ'!W23)</f>
        <v>6.9124699206235809E-3</v>
      </c>
      <c r="X23" s="43">
        <f>LN('2.ΤΙΜΕΣ ΚΛΕΙΣΙΜΑΤΟΣ'!X24/'2.ΤΙΜΕΣ ΚΛΕΙΣΙΜΑΤΟΣ'!X23)</f>
        <v>0</v>
      </c>
      <c r="Y23" s="43">
        <f>LN('2.ΤΙΜΕΣ ΚΛΕΙΣΙΜΑΤΟΣ'!Y24/'2.ΤΙΜΕΣ ΚΛΕΙΣΙΜΑΤΟΣ'!Y23)</f>
        <v>1.1123585218662302E-2</v>
      </c>
      <c r="Z23" s="43">
        <f>LN('2.ΤΙΜΕΣ ΚΛΕΙΣΙΜΑΤΟΣ'!Z24/'2.ΤΙΜΕΣ ΚΛΕΙΣΙΜΑΤΟΣ'!Z23)</f>
        <v>-3.418806748785609E-3</v>
      </c>
      <c r="AA23" s="43">
        <f>LN('2.ΤΙΜΕΣ ΚΛΕΙΣΙΜΑΤΟΣ'!AA24/'2.ΤΙΜΕΣ ΚΛΕΙΣΙΜΑΤΟΣ'!AA23)</f>
        <v>-1.5810606026642204E-2</v>
      </c>
      <c r="AB23" s="43">
        <f>LN('2.ΤΙΜΕΣ ΚΛΕΙΣΙΜΑΤΟΣ'!AB24/'2.ΤΙΜΕΣ ΚΛΕΙΣΙΜΑΤΟΣ'!AB23)</f>
        <v>0</v>
      </c>
      <c r="AC23" s="43">
        <f>LN('2.ΤΙΜΕΣ ΚΛΕΙΣΙΜΑΤΟΣ'!AC24/'2.ΤΙΜΕΣ ΚΛΕΙΣΙΜΑΤΟΣ'!AC23)</f>
        <v>-1.3633267278640533E-3</v>
      </c>
      <c r="AD23" s="43">
        <f>LN('2.ΤΙΜΕΣ ΚΛΕΙΣΙΜΑΤΟΣ'!AD24/'2.ΤΙΜΕΣ ΚΛΕΙΣΙΜΑΤΟΣ'!AD23)</f>
        <v>-9.2736367853292149E-3</v>
      </c>
      <c r="AE23" s="43">
        <f>LN('2.ΤΙΜΕΣ ΚΛΕΙΣΙΜΑΤΟΣ'!AE24/'2.ΤΙΜΕΣ ΚΛΕΙΣΙΜΑΤΟΣ'!AE23)</f>
        <v>3.7950709685517555E-3</v>
      </c>
      <c r="AF23" s="43">
        <f>LN('2.ΤΙΜΕΣ ΚΛΕΙΣΙΜΑΤΟΣ'!AF24/'2.ΤΙΜΕΣ ΚΛΕΙΣΙΜΑΤΟΣ'!AF23)</f>
        <v>-5.8038468198003037E-3</v>
      </c>
      <c r="AG23" s="43">
        <f>LN('2.ΤΙΜΕΣ ΚΛΕΙΣΙΜΑΤΟΣ'!AG24/'2.ΤΙΜΕΣ ΚΛΕΙΣΙΜΑΤΟΣ'!AG23)</f>
        <v>-3.4401426717332324E-2</v>
      </c>
      <c r="AH23" s="43">
        <f>LN('2.ΤΙΜΕΣ ΚΛΕΙΣΙΜΑΤΟΣ'!AH24/'2.ΤΙΜΕΣ ΚΛΕΙΣΙΜΑΤΟΣ'!AH23)</f>
        <v>0</v>
      </c>
      <c r="AI23" s="43">
        <f>LN('2.ΤΙΜΕΣ ΚΛΕΙΣΙΜΑΤΟΣ'!AI24/'2.ΤΙΜΕΣ ΚΛΕΙΣΙΜΑΤΟΣ'!AI23)</f>
        <v>7.4906717291576587E-3</v>
      </c>
      <c r="AJ23" s="43">
        <f>LN('2.ΤΙΜΕΣ ΚΛΕΙΣΙΜΑΤΟΣ'!AJ24/'2.ΤΙΜΕΣ ΚΛΕΙΣΙΜΑΤΟΣ'!AJ23)</f>
        <v>1.7316450011460958E-2</v>
      </c>
      <c r="AK23" s="43">
        <f>LN('2.ΤΙΜΕΣ ΚΛΕΙΣΙΜΑΤΟΣ'!AK24/'2.ΤΙΜΕΣ ΚΛΕΙΣΙΜΑΤΟΣ'!AK23)</f>
        <v>4.4233254976825662E-2</v>
      </c>
      <c r="AL23" s="43">
        <f>LN('2.ΤΙΜΕΣ ΚΛΕΙΣΙΜΑΤΟΣ'!AL24/'2.ΤΙΜΕΣ ΚΛΕΙΣΙΜΑΤΟΣ'!AL23)</f>
        <v>0</v>
      </c>
      <c r="AM23" s="43">
        <f>LN('2.ΤΙΜΕΣ ΚΛΕΙΣΙΜΑΤΟΣ'!AM24/'2.ΤΙΜΕΣ ΚΛΕΙΣΙΜΑΤΟΣ'!AM23)</f>
        <v>7.2551708811720156E-3</v>
      </c>
      <c r="AN23" s="43">
        <f>LN('2.ΤΙΜΕΣ ΚΛΕΙΣΙΜΑΤΟΣ'!AN24/'2.ΤΙΜΕΣ ΚΛΕΙΣΙΜΑΤΟΣ'!AN23)</f>
        <v>3.2206147000421572E-3</v>
      </c>
      <c r="AO23" s="43">
        <f>LN('2.ΤΙΜΕΣ ΚΛΕΙΣΙΜΑΤΟΣ'!AO24/'2.ΤΙΜΕΣ ΚΛΕΙΣΙΜΑΤΟΣ'!AO23)</f>
        <v>-6.2305497506360864E-3</v>
      </c>
      <c r="AP23" s="43">
        <f>LN('2.ΤΙΜΕΣ ΚΛΕΙΣΙΜΑΤΟΣ'!AP24/'2.ΤΙΜΕΣ ΚΛΕΙΣΙΜΑΤΟΣ'!AP23)</f>
        <v>-3.5310771152610807E-3</v>
      </c>
      <c r="AQ23" s="43">
        <f>LN('2.ΤΙΜΕΣ ΚΛΕΙΣΙΜΑΤΟΣ'!AQ24/'2.ΤΙΜΕΣ ΚΛΕΙΣΙΜΑΤΟΣ'!AQ23)</f>
        <v>3.4149151000692026E-3</v>
      </c>
      <c r="AR23" s="43">
        <f>LN('2.ΤΙΜΕΣ ΚΛΕΙΣΙΜΑΤΟΣ'!AR24/'2.ΤΙΜΕΣ ΚΛΕΙΣΙΜΑΤΟΣ'!AR23)</f>
        <v>1.6607736399660546E-2</v>
      </c>
      <c r="AS23" s="43">
        <f>LN('2.ΤΙΜΕΣ ΚΛΕΙΣΙΜΑΤΟΣ'!AS24/'2.ΤΙΜΕΣ ΚΛΕΙΣΙΜΑΤΟΣ'!AS23)</f>
        <v>4.175371410480592E-3</v>
      </c>
      <c r="AT23" s="43">
        <f>LN('2.ΤΙΜΕΣ ΚΛΕΙΣΙΜΑΤΟΣ'!AT24/'2.ΤΙΜΕΣ ΚΛΕΙΣΙΜΑΤΟΣ'!AT23)</f>
        <v>1.398624197473987E-2</v>
      </c>
      <c r="AU23" s="43">
        <f>LN('2.ΤΙΜΕΣ ΚΛΕΙΣΙΜΑΤΟΣ'!AU24/'2.ΤΙΜΕΣ ΚΛΕΙΣΙΜΑΤΟΣ'!AU23)</f>
        <v>-1.0196641155032304E-3</v>
      </c>
    </row>
    <row r="24" spans="1:47">
      <c r="A24" s="41">
        <v>43591</v>
      </c>
      <c r="B24" s="43">
        <f>LN('2.ΤΙΜΕΣ ΚΛΕΙΣΙΜΑΤΟΣ'!B25/'2.ΤΙΜΕΣ ΚΛΕΙΣΙΜΑΤΟΣ'!B24)</f>
        <v>-1.15536023669252E-2</v>
      </c>
      <c r="C24" s="43">
        <f>LN('2.ΤΙΜΕΣ ΚΛΕΙΣΙΜΑΤΟΣ'!C25/'2.ΤΙΜΕΣ ΚΛΕΙΣΙΜΑΤΟΣ'!C24)</f>
        <v>-2.1053409197832381E-2</v>
      </c>
      <c r="D24" s="43">
        <f>LN('2.ΤΙΜΕΣ ΚΛΕΙΣΙΜΑΤΟΣ'!D25/'2.ΤΙΜΕΣ ΚΛΕΙΣΙΜΑΤΟΣ'!D24)</f>
        <v>-2.4674068733486987E-2</v>
      </c>
      <c r="E24" s="43">
        <f>LN('2.ΤΙΜΕΣ ΚΛΕΙΣΙΜΑΤΟΣ'!E25/'2.ΤΙΜΕΣ ΚΛΕΙΣΙΜΑΤΟΣ'!E24)</f>
        <v>-1.1878851778105954E-2</v>
      </c>
      <c r="F24" s="43">
        <f>LN('2.ΤΙΜΕΣ ΚΛΕΙΣΙΜΑΤΟΣ'!F25/'2.ΤΙΜΕΣ ΚΛΕΙΣΙΜΑΤΟΣ'!F24)</f>
        <v>-2.6380426680103854E-2</v>
      </c>
      <c r="G24" s="43">
        <f>LN('2.ΤΙΜΕΣ ΚΛΕΙΣΙΜΑΤΟΣ'!G25/'2.ΤΙΜΕΣ ΚΛΕΙΣΙΜΑΤΟΣ'!G24)</f>
        <v>-3.3582739476137262E-2</v>
      </c>
      <c r="H24" s="43">
        <f>LN('2.ΤΙΜΕΣ ΚΛΕΙΣΙΜΑΤΟΣ'!H25/'2.ΤΙΜΕΣ ΚΛΕΙΣΙΜΑΤΟΣ'!H24)</f>
        <v>-1.6651633592442032E-2</v>
      </c>
      <c r="I24" s="43">
        <f>LN('2.ΤΙΜΕΣ ΚΛΕΙΣΙΜΑΤΟΣ'!I25/'2.ΤΙΜΕΣ ΚΛΕΙΣΙΜΑΤΟΣ'!I24)</f>
        <v>-4.4789269746065022E-2</v>
      </c>
      <c r="J24" s="43">
        <f>LN('2.ΤΙΜΕΣ ΚΛΕΙΣΙΜΑΤΟΣ'!J25/'2.ΤΙΜΕΣ ΚΛΕΙΣΙΜΑΤΟΣ'!J24)</f>
        <v>-4.1242958534049134E-2</v>
      </c>
      <c r="K24" s="43">
        <f>LN('2.ΤΙΜΕΣ ΚΛΕΙΣΙΜΑΤΟΣ'!K25/'2.ΤΙΜΕΣ ΚΛΕΙΣΙΜΑΤΟΣ'!K24)</f>
        <v>-1.9575702690905621E-2</v>
      </c>
      <c r="L24" s="43">
        <f>LN('2.ΤΙΜΕΣ ΚΛΕΙΣΙΜΑΤΟΣ'!L25/'2.ΤΙΜΕΣ ΚΛΕΙΣΙΜΑΤΟΣ'!L24)</f>
        <v>-4.4404757940869073E-2</v>
      </c>
      <c r="M24" s="43">
        <f>LN('2.ΤΙΜΕΣ ΚΛΕΙΣΙΜΑΤΟΣ'!M25/'2.ΤΙΜΕΣ ΚΛΕΙΣΙΜΑΤΟΣ'!M24)</f>
        <v>-2.0768439448392282E-3</v>
      </c>
      <c r="N24" s="43">
        <f>LN('2.ΤΙΜΕΣ ΚΛΕΙΣΙΜΑΤΟΣ'!N25/'2.ΤΙΜΕΣ ΚΛΕΙΣΙΜΑΤΟΣ'!N24)</f>
        <v>-8.6169007397540083E-3</v>
      </c>
      <c r="O24" s="43">
        <f>LN('2.ΤΙΜΕΣ ΚΛΕΙΣΙΜΑΤΟΣ'!O25/'2.ΤΙΜΕΣ ΚΛΕΙΣΙΜΑΤΟΣ'!O24)</f>
        <v>-2.1613476420537188E-2</v>
      </c>
      <c r="P24" s="43">
        <f>LN('2.ΤΙΜΕΣ ΚΛΕΙΣΙΜΑΤΟΣ'!P25/'2.ΤΙΜΕΣ ΚΛΕΙΣΙΜΑΤΟΣ'!P24)</f>
        <v>-5.5023701496232681E-2</v>
      </c>
      <c r="Q24" s="43">
        <f>LN('2.ΤΙΜΕΣ ΚΛΕΙΣΙΜΑΤΟΣ'!Q25/'2.ΤΙΜΕΣ ΚΛΕΙΣΙΜΑΤΟΣ'!Q24)</f>
        <v>-4.4775246243950052E-2</v>
      </c>
      <c r="R24" s="43">
        <f>LN('2.ΤΙΜΕΣ ΚΛΕΙΣΙΜΑΤΟΣ'!R25/'2.ΤΙΜΕΣ ΚΛΕΙΣΙΜΑΤΟΣ'!R24)</f>
        <v>1.9593693900401284E-2</v>
      </c>
      <c r="S24" s="43">
        <f>LN('2.ΤΙΜΕΣ ΚΛΕΙΣΙΜΑΤΟΣ'!S25/'2.ΤΙΜΕΣ ΚΛΕΙΣΙΜΑΤΟΣ'!S24)</f>
        <v>-4.0955688647370822E-3</v>
      </c>
      <c r="T24" s="43">
        <f>LN('2.ΤΙΜΕΣ ΚΛΕΙΣΙΜΑΤΟΣ'!T25/'2.ΤΙΜΕΣ ΚΛΕΙΣΙΜΑΤΟΣ'!T24)</f>
        <v>-4.0945825862126035E-2</v>
      </c>
      <c r="U24" s="43">
        <f>LN('2.ΤΙΜΕΣ ΚΛΕΙΣΙΜΑΤΟΣ'!U25/'2.ΤΙΜΕΣ ΚΛΕΙΣΙΜΑΤΟΣ'!U24)</f>
        <v>-1.996543124569793E-2</v>
      </c>
      <c r="V24" s="43">
        <f>LN('2.ΤΙΜΕΣ ΚΛΕΙΣΙΜΑΤΟΣ'!V25/'2.ΤΙΜΕΣ ΚΛΕΙΣΙΜΑΤΟΣ'!V24)</f>
        <v>-6.9958588606910344E-2</v>
      </c>
      <c r="W24" s="43">
        <f>LN('2.ΤΙΜΕΣ ΚΛΕΙΣΙΜΑΤΟΣ'!W25/'2.ΤΙΜΕΣ ΚΛΕΙΣΙΜΑΤΟΣ'!W24)</f>
        <v>-2.4405627368140746E-2</v>
      </c>
      <c r="X24" s="43">
        <f>LN('2.ΤΙΜΕΣ ΚΛΕΙΣΙΜΑΤΟΣ'!X25/'2.ΤΙΜΕΣ ΚΛΕΙΣΙΜΑΤΟΣ'!X24)</f>
        <v>-2.9188760208614665E-2</v>
      </c>
      <c r="Y24" s="43">
        <f>LN('2.ΤΙΜΕΣ ΚΛΕΙΣΙΜΑΤΟΣ'!Y25/'2.ΤΙΜΕΣ ΚΛΕΙΣΙΜΑΤΟΣ'!Y24)</f>
        <v>-3.3748984736640918E-2</v>
      </c>
      <c r="Z24" s="43">
        <f>LN('2.ΤΙΜΕΣ ΚΛΕΙΣΙΜΑΤΟΣ'!Z25/'2.ΤΙΜΕΣ ΚΛΕΙΣΙΜΑΤΟΣ'!Z24)</f>
        <v>-4.1964199099032082E-2</v>
      </c>
      <c r="AA24" s="43">
        <f>LN('2.ΤΙΜΕΣ ΚΛΕΙΣΙΜΑΤΟΣ'!AA25/'2.ΤΙΜΕΣ ΚΛΕΙΣΙΜΑΤΟΣ'!AA24)</f>
        <v>-3.9920212695375608E-3</v>
      </c>
      <c r="AB24" s="43">
        <f>LN('2.ΤΙΜΕΣ ΚΛΕΙΣΙΜΑΤΟΣ'!AB25/'2.ΤΙΜΕΣ ΚΛΕΙΣΙΜΑΤΟΣ'!AB24)</f>
        <v>-2.8277096096861437E-2</v>
      </c>
      <c r="AC24" s="43">
        <f>LN('2.ΤΙΜΕΣ ΚΛΕΙΣΙΜΑΤΟΣ'!AC25/'2.ΤΙΜΕΣ ΚΛΕΙΣΙΜΑΤΟΣ'!AC24)</f>
        <v>1.3633267278641253E-3</v>
      </c>
      <c r="AD24" s="43">
        <f>LN('2.ΤΙΜΕΣ ΚΛΕΙΣΙΜΑΤΟΣ'!AD25/'2.ΤΙΜΕΣ ΚΛΕΙΣΙΜΑΤΟΣ'!AD24)</f>
        <v>-2.9947076367952088E-2</v>
      </c>
      <c r="AE24" s="43">
        <f>LN('2.ΤΙΜΕΣ ΚΛΕΙΣΙΜΑΤΟΣ'!AE25/'2.ΤΙΜΕΣ ΚΛΕΙΣΙΜΑΤΟΣ'!AE24)</f>
        <v>-1.1428695823622857E-2</v>
      </c>
      <c r="AF24" s="43">
        <f>LN('2.ΤΙΜΕΣ ΚΛΕΙΣΙΜΑΤΟΣ'!AF25/'2.ΤΙΜΕΣ ΚΛΕΙΣΙΜΑΤΟΣ'!AF24)</f>
        <v>-4.6464581725956619E-2</v>
      </c>
      <c r="AG24" s="43">
        <f>LN('2.ΤΙΜΕΣ ΚΛΕΙΣΙΜΑΤΟΣ'!AG25/'2.ΤΙΜΕΣ ΚΛΕΙΣΙΜΑΤΟΣ'!AG24)</f>
        <v>-5.1293294387550578E-2</v>
      </c>
      <c r="AH24" s="43">
        <f>LN('2.ΤΙΜΕΣ ΚΛΕΙΣΙΜΑΤΟΣ'!AH25/'2.ΤΙΜΕΣ ΚΛΕΙΣΙΜΑΤΟΣ'!AH24)</f>
        <v>-2.2814677766171399E-2</v>
      </c>
      <c r="AI24" s="43">
        <f>LN('2.ΤΙΜΕΣ ΚΛΕΙΣΙΜΑΤΟΣ'!AI25/'2.ΤΙΜΕΣ ΚΛΕΙΣΙΜΑΤΟΣ'!AI24)</f>
        <v>-7.4906717291576257E-3</v>
      </c>
      <c r="AJ24" s="43">
        <f>LN('2.ΤΙΜΕΣ ΚΛΕΙΣΙΜΑΤΟΣ'!AJ25/'2.ΤΙΜΕΣ ΚΛΕΙΣΙΜΑΤΟΣ'!AJ24)</f>
        <v>-9.4452178893688038E-2</v>
      </c>
      <c r="AK24" s="43">
        <f>LN('2.ΤΙΜΕΣ ΚΛΕΙΣΙΜΑΤΟΣ'!AK25/'2.ΤΙΜΕΣ ΚΛΕΙΣΙΜΑΤΟΣ'!AK24)</f>
        <v>-2.4332100659530783E-2</v>
      </c>
      <c r="AL24" s="43">
        <f>LN('2.ΤΙΜΕΣ ΚΛΕΙΣΙΜΑΤΟΣ'!AL25/'2.ΤΙΜΕΣ ΚΛΕΙΣΙΜΑΤΟΣ'!AL24)</f>
        <v>-3.5506688456909644E-2</v>
      </c>
      <c r="AM24" s="43">
        <f>LN('2.ΤΙΜΕΣ ΚΛΕΙΣΙΜΑΤΟΣ'!AM25/'2.ΤΙΜΕΣ ΚΛΕΙΣΙΜΑΤΟΣ'!AM24)</f>
        <v>-2.6863642269548269E-2</v>
      </c>
      <c r="AN24" s="43">
        <f>LN('2.ΤΙΜΕΣ ΚΛΕΙΣΙΜΑΤΟΣ'!AN25/'2.ΤΙΜΕΣ ΚΛΕΙΣΙΜΑΤΟΣ'!AN24)</f>
        <v>-5.2817555839414353E-2</v>
      </c>
      <c r="AO24" s="43">
        <f>LN('2.ΤΙΜΕΣ ΚΛΕΙΣΙΜΑΤΟΣ'!AO25/'2.ΤΙΜΕΣ ΚΛΕΙΣΙΜΑΤΟΣ'!AO24)</f>
        <v>-5.4588190284403183E-2</v>
      </c>
      <c r="AP24" s="43">
        <f>LN('2.ΤΙΜΕΣ ΚΛΕΙΣΙΜΑΤΟΣ'!AP25/'2.ΤΙΜΕΣ ΚΛΕΙΣΙΜΑΤΟΣ'!AP24)</f>
        <v>-9.8818271494065107E-2</v>
      </c>
      <c r="AQ24" s="43">
        <f>LN('2.ΤΙΜΕΣ ΚΛΕΙΣΙΜΑΤΟΣ'!AQ25/'2.ΤΙΜΕΣ ΚΛΕΙΣΙΜΑΤΟΣ'!AQ24)</f>
        <v>-3.9402547866028932E-2</v>
      </c>
      <c r="AR24" s="43">
        <f>LN('2.ΤΙΜΕΣ ΚΛΕΙΣΙΜΑΤΟΣ'!AR25/'2.ΤΙΜΕΣ ΚΛΕΙΣΙΜΑΤΟΣ'!AR24)</f>
        <v>-5.6881635537600353E-2</v>
      </c>
      <c r="AS24" s="43">
        <f>LN('2.ΤΙΜΕΣ ΚΛΕΙΣΙΜΑΤΟΣ'!AS25/'2.ΤΙΜΕΣ ΚΛΕΙΣΙΜΑΤΟΣ'!AS24)</f>
        <v>-2.5317807984289897E-2</v>
      </c>
      <c r="AT24" s="43">
        <f>LN('2.ΤΙΜΕΣ ΚΛΕΙΣΙΜΑΤΟΣ'!AT25/'2.ΤΙΜΕΣ ΚΛΕΙΣΙΜΑΤΟΣ'!AT24)</f>
        <v>-1.3986241974739952E-2</v>
      </c>
      <c r="AU24" s="43">
        <f>LN('2.ΤΙΜΕΣ ΚΛΕΙΣΙΜΑΤΟΣ'!AU25/'2.ΤΙΜΕΣ ΚΛΕΙΣΙΜΑΤΟΣ'!AU24)</f>
        <v>-2.6392210718288657E-2</v>
      </c>
    </row>
    <row r="25" spans="1:47">
      <c r="A25" s="41">
        <v>43592</v>
      </c>
      <c r="B25" s="43">
        <f>LN('2.ΤΙΜΕΣ ΚΛΕΙΣΙΜΑΤΟΣ'!B26/'2.ΤΙΜΕΣ ΚΛΕΙΣΙΜΑΤΟΣ'!B25)</f>
        <v>1.1553602366925209E-2</v>
      </c>
      <c r="C25" s="43">
        <f>LN('2.ΤΙΜΕΣ ΚΛΕΙΣΙΜΑΤΟΣ'!C26/'2.ΤΙΜΕΣ ΚΛΕΙΣΙΜΑΤΟΣ'!C25)</f>
        <v>-1.4573768445318783E-2</v>
      </c>
      <c r="D25" s="43">
        <f>LN('2.ΤΙΜΕΣ ΚΛΕΙΣΙΜΑΤΟΣ'!D26/'2.ΤΙΜΕΣ ΚΛΕΙΣΙΜΑΤΟΣ'!D25)</f>
        <v>1.6278694788049227E-3</v>
      </c>
      <c r="E25" s="43">
        <f>LN('2.ΤΙΜΕΣ ΚΛΕΙΣΙΜΑΤΟΣ'!E26/'2.ΤΙΜΕΣ ΚΛΕΙΣΙΜΑΤΟΣ'!E25)</f>
        <v>1.8692133012152546E-2</v>
      </c>
      <c r="F25" s="43">
        <f>LN('2.ΤΙΜΕΣ ΚΛΕΙΣΙΜΑΤΟΣ'!F26/'2.ΤΙΜΕΣ ΚΛΕΙΣΙΜΑΤΟΣ'!F25)</f>
        <v>1.2143292324017585E-3</v>
      </c>
      <c r="G25" s="43">
        <f>LN('2.ΤΙΜΕΣ ΚΛΕΙΣΙΜΑΤΟΣ'!G26/'2.ΤΙΜΕΣ ΚΛΕΙΣΙΜΑΤΟΣ'!G25)</f>
        <v>2.0284671171505717E-2</v>
      </c>
      <c r="H25" s="43">
        <f>LN('2.ΤΙΜΕΣ ΚΛΕΙΣΙΜΑΤΟΣ'!H26/'2.ΤΙΜΕΣ ΚΛΕΙΣΙΜΑΤΟΣ'!H25)</f>
        <v>-2.0735898479178276E-2</v>
      </c>
      <c r="I25" s="43">
        <f>LN('2.ΤΙΜΕΣ ΚΛΕΙΣΙΜΑΤΟΣ'!I26/'2.ΤΙΜΕΣ ΚΛΕΙΣΙΜΑΤΟΣ'!I25)</f>
        <v>6.1919702479209804E-3</v>
      </c>
      <c r="J25" s="43">
        <f>LN('2.ΤΙΜΕΣ ΚΛΕΙΣΙΜΑΤΟΣ'!J26/'2.ΤΙΜΕΣ ΚΛΕΙΣΙΜΑΤΟΣ'!J25)</f>
        <v>1.5666116744399456E-2</v>
      </c>
      <c r="K25" s="43">
        <f>LN('2.ΤΙΜΕΣ ΚΛΕΙΣΙΜΑΤΟΣ'!K26/'2.ΤΙΜΕΣ ΚΛΕΙΣΙΜΑΤΟΣ'!K25)</f>
        <v>-3.0583524844648153E-3</v>
      </c>
      <c r="L25" s="43">
        <f>LN('2.ΤΙΜΕΣ ΚΛΕΙΣΙΜΑΤΟΣ'!L26/'2.ΤΙΜΕΣ ΚΛΕΙΣΙΜΑΤΟΣ'!L25)</f>
        <v>1.82115370639379E-2</v>
      </c>
      <c r="M25" s="43">
        <f>LN('2.ΤΙΜΕΣ ΚΛΕΙΣΙΜΑΤΟΣ'!M26/'2.ΤΙΜΕΣ ΚΛΕΙΣΙΜΑΤΟΣ'!M25)</f>
        <v>-2.0811662038245117E-3</v>
      </c>
      <c r="N25" s="43">
        <f>LN('2.ΤΙΜΕΣ ΚΛΕΙΣΙΜΑΤΟΣ'!N26/'2.ΤΙΜΕΣ ΚΛΕΙΣΙΜΑΤΟΣ'!N25)</f>
        <v>5.8022925561830177E-3</v>
      </c>
      <c r="O25" s="43">
        <f>LN('2.ΤΙΜΕΣ ΚΛΕΙΣΙΜΑΤΟΣ'!O26/'2.ΤΙΜΕΣ ΚΛΕΙΣΙΜΑΤΟΣ'!O25)</f>
        <v>1.1696039763191236E-2</v>
      </c>
      <c r="P25" s="43">
        <f>LN('2.ΤΙΜΕΣ ΚΛΕΙΣΙΜΑΤΟΣ'!P26/'2.ΤΙΜΕΣ ΚΛΕΙΣΙΜΑΤΟΣ'!P25)</f>
        <v>1.8018505502678212E-2</v>
      </c>
      <c r="Q25" s="43">
        <f>LN('2.ΤΙΜΕΣ ΚΛΕΙΣΙΜΑΤΟΣ'!Q26/'2.ΤΙΜΕΣ ΚΛΕΙΣΙΜΑΤΟΣ'!Q25)</f>
        <v>9.6839264326799152E-3</v>
      </c>
      <c r="R25" s="43">
        <f>LN('2.ΤΙΜΕΣ ΚΛΕΙΣΙΜΑΤΟΣ'!R26/'2.ΤΙΜΕΣ ΚΛΕΙΣΙΜΑΤΟΣ'!R25)</f>
        <v>4.380262265839284E-2</v>
      </c>
      <c r="S25" s="43">
        <f>LN('2.ΤΙΜΕΣ ΚΛΕΙΣΙΜΑΤΟΣ'!S26/'2.ΤΙΜΕΣ ΚΛΕΙΣΙΜΑΤΟΣ'!S25)</f>
        <v>1.7627575083313456E-2</v>
      </c>
      <c r="T25" s="43">
        <f>LN('2.ΤΙΜΕΣ ΚΛΕΙΣΙΜΑΤΟΣ'!T26/'2.ΤΙΜΕΣ ΚΛΕΙΣΙΜΑΤΟΣ'!T25)</f>
        <v>-2.8259337314403162E-2</v>
      </c>
      <c r="U25" s="43">
        <f>LN('2.ΤΙΜΕΣ ΚΛΕΙΣΙΜΑΤΟΣ'!U26/'2.ΤΙΜΕΣ ΚΛΕΙΣΙΜΑΤΟΣ'!U25)</f>
        <v>1.0619568827460351E-2</v>
      </c>
      <c r="V25" s="43">
        <f>LN('2.ΤΙΜΕΣ ΚΛΕΙΣΙΜΑΤΟΣ'!V26/'2.ΤΙΜΕΣ ΚΛΕΙΣΙΜΑΤΟΣ'!V25)</f>
        <v>-4.8426244757879032E-3</v>
      </c>
      <c r="W25" s="43">
        <f>LN('2.ΤΙΜΕΣ ΚΛΕΙΣΙΜΑΤΟΣ'!W26/'2.ΤΙΜΕΣ ΚΛΕΙΣΙΜΑΤΟΣ'!W25)</f>
        <v>1.4018921179330778E-2</v>
      </c>
      <c r="X25" s="43">
        <f>LN('2.ΤΙΜΕΣ ΚΛΕΙΣΙΜΑΤΟΣ'!X26/'2.ΤΙΜΕΣ ΚΛΕΙΣΙΜΑΤΟΣ'!X25)</f>
        <v>-1.1808657520580693E-2</v>
      </c>
      <c r="Y25" s="43">
        <f>LN('2.ΤΙΜΕΣ ΚΛΕΙΣΙΜΑΤΟΣ'!Y26/'2.ΤΙΜΕΣ ΚΛΕΙΣΙΜΑΤΟΣ'!Y25)</f>
        <v>-9.1954670931002746E-3</v>
      </c>
      <c r="Z25" s="43">
        <f>LN('2.ΤΙΜΕΣ ΚΛΕΙΣΙΜΑΤΟΣ'!Z26/'2.ΤΙΜΕΣ ΚΛΕΙΣΙΜΑΤΟΣ'!Z25)</f>
        <v>0</v>
      </c>
      <c r="AA25" s="43">
        <f>LN('2.ΤΙΜΕΣ ΚΛΕΙΣΙΜΑΤΟΣ'!AA26/'2.ΤΙΜΕΣ ΚΛΕΙΣΙΜΑΤΟΣ'!AA25)</f>
        <v>-4.0080213975388218E-3</v>
      </c>
      <c r="AB25" s="43">
        <f>LN('2.ΤΙΜΕΣ ΚΛΕΙΣΙΜΑΤΟΣ'!AB26/'2.ΤΙΜΕΣ ΚΛΕΙΣΙΜΑΤΟΣ'!AB25)</f>
        <v>1.1406967793376381E-2</v>
      </c>
      <c r="AC25" s="43">
        <f>LN('2.ΤΙΜΕΣ ΚΛΕΙΣΙΜΑΤΟΣ'!AC26/'2.ΤΙΜΕΣ ΚΛΕΙΣΙΜΑΤΟΣ'!AC25)</f>
        <v>0</v>
      </c>
      <c r="AD25" s="43">
        <f>LN('2.ΤΙΜΕΣ ΚΛΕΙΣΙΜΑΤΟΣ'!AD26/'2.ΤΙΜΕΣ ΚΛΕΙΣΙΜΑΤΟΣ'!AD25)</f>
        <v>9.5542128048117115E-3</v>
      </c>
      <c r="AE25" s="43">
        <f>LN('2.ΤΙΜΕΣ ΚΛΕΙΣΙΜΑΤΟΣ'!AE26/'2.ΤΙΜΕΣ ΚΛΕΙΣΙΜΑΤΟΣ'!AE25)</f>
        <v>1.142869582362285E-2</v>
      </c>
      <c r="AF25" s="43">
        <f>LN('2.ΤΙΜΕΣ ΚΛΕΙΣΙΜΑΤΟΣ'!AF26/'2.ΤΙΜΕΣ ΚΛΕΙΣΙΜΑΤΟΣ'!AF25)</f>
        <v>3.6518604187710177E-3</v>
      </c>
      <c r="AG25" s="43">
        <f>LN('2.ΤΙΜΕΣ ΚΛΕΙΣΙΜΑΤΟΣ'!AG26/'2.ΤΙΜΕΣ ΚΛΕΙΣΙΜΑΤΟΣ'!AG25)</f>
        <v>3.6179656577502474E-2</v>
      </c>
      <c r="AH25" s="43">
        <f>LN('2.ΤΙΜΕΣ ΚΛΕΙΣΙΜΑΤΟΣ'!AH26/'2.ΤΙΜΕΣ ΚΛΕΙΣΙΜΑΤΟΣ'!AH25)</f>
        <v>-1.5396461855927501E-3</v>
      </c>
      <c r="AI25" s="43">
        <f>LN('2.ΤΙΜΕΣ ΚΛΕΙΣΙΜΑΤΟΣ'!AI26/'2.ΤΙΜΕΣ ΚΛΕΙΣΙΜΑΤΟΣ'!AI25)</f>
        <v>-3.053672386008165E-2</v>
      </c>
      <c r="AJ25" s="43">
        <f>LN('2.ΤΙΜΕΣ ΚΛΕΙΣΙΜΑΤΟΣ'!AJ26/'2.ΤΙΜΕΣ ΚΛΕΙΣΙΜΑΤΟΣ'!AJ25)</f>
        <v>0</v>
      </c>
      <c r="AK25" s="43">
        <f>LN('2.ΤΙΜΕΣ ΚΛΕΙΣΙΜΑΤΟΣ'!AK26/'2.ΤΙΜΕΣ ΚΛΕΙΣΙΜΑΤΟΣ'!AK25)</f>
        <v>-2.241687891454203E-2</v>
      </c>
      <c r="AL25" s="43">
        <f>LN('2.ΤΙΜΕΣ ΚΛΕΙΣΙΜΑΤΟΣ'!AL26/'2.ΤΙΜΕΣ ΚΛΕΙΣΙΜΑΤΟΣ'!AL25)</f>
        <v>4.7067510857985731E-2</v>
      </c>
      <c r="AM25" s="43">
        <f>LN('2.ΤΙΜΕΣ ΚΛΕΙΣΙΜΑΤΟΣ'!AM26/'2.ΤΙΜΕΣ ΚΛΕΙΣΙΜΑΤΟΣ'!AM25)</f>
        <v>2.2032714999882706E-2</v>
      </c>
      <c r="AN25" s="43">
        <f>LN('2.ΤΙΜΕΣ ΚΛΕΙΣΙΜΑΤΟΣ'!AN26/'2.ΤΙΜΕΣ ΚΛΕΙΣΙΜΑΤΟΣ'!AN25)</f>
        <v>7.5076026440357102E-2</v>
      </c>
      <c r="AO25" s="43">
        <f>LN('2.ΤΙΜΕΣ ΚΛΕΙΣΙΜΑΤΟΣ'!AO26/'2.ΤΙΜΕΣ ΚΛΕΙΣΙΜΑΤΟΣ'!AO25)</f>
        <v>9.8522964430116395E-3</v>
      </c>
      <c r="AP25" s="43">
        <f>LN('2.ΤΙΜΕΣ ΚΛΕΙΣΙΜΑΤΟΣ'!AP26/'2.ΤΙΜΕΣ ΚΛΕΙΣΙΜΑΤΟΣ'!AP25)</f>
        <v>3.7928315576219507E-2</v>
      </c>
      <c r="AQ25" s="43">
        <f>LN('2.ΤΙΜΕΣ ΚΛΕΙΣΙΜΑΤΟΣ'!AQ26/'2.ΤΙΜΕΣ ΚΛΕΙΣΙΜΑΤΟΣ'!AQ25)</f>
        <v>-1.1827322490493785E-3</v>
      </c>
      <c r="AR25" s="43">
        <f>LN('2.ΤΙΜΕΣ ΚΛΕΙΣΙΜΑΤΟΣ'!AR26/'2.ΤΙΜΕΣ ΚΛΕΙΣΙΜΑΤΟΣ'!AR25)</f>
        <v>-1.0012599292429814E-2</v>
      </c>
      <c r="AS25" s="43">
        <f>LN('2.ΤΙΜΕΣ ΚΛΕΙΣΙΜΑΤΟΣ'!AS26/'2.ΤΙΜΕΣ ΚΛΕΙΣΙΜΑΤΟΣ'!AS25)</f>
        <v>4.2643987864577392E-3</v>
      </c>
      <c r="AT25" s="43">
        <f>LN('2.ΤΙΜΕΣ ΚΛΕΙΣΙΜΑΤΟΣ'!AT26/'2.ΤΙΜΕΣ ΚΛΕΙΣΙΜΑΤΟΣ'!AT25)</f>
        <v>4.6838493124264375E-3</v>
      </c>
      <c r="AU25" s="43">
        <f>LN('2.ΤΙΜΕΣ ΚΛΕΙΣΙΜΑΤΟΣ'!AU26/'2.ΤΙΜΕΣ ΚΛΕΙΣΙΜΑΤΟΣ'!AU25)</f>
        <v>6.3046660985129049E-3</v>
      </c>
    </row>
    <row r="26" spans="1:47">
      <c r="A26" s="41">
        <v>43593</v>
      </c>
      <c r="B26" s="43">
        <f>LN('2.ΤΙΜΕΣ ΚΛΕΙΣΙΜΑΤΟΣ'!B27/'2.ΤΙΜΕΣ ΚΛΕΙΣΙΜΑΤΟΣ'!B26)</f>
        <v>-5.9162557745387461E-3</v>
      </c>
      <c r="C26" s="43">
        <f>LN('2.ΤΙΜΕΣ ΚΛΕΙΣΙΜΑΤΟΣ'!C27/'2.ΤΙΜΕΣ ΚΛΕΙΣΙΜΑΤΟΣ'!C26)</f>
        <v>-6.9324367756447907E-3</v>
      </c>
      <c r="D26" s="43">
        <f>LN('2.ΤΙΜΕΣ ΚΛΕΙΣΙΜΑΤΟΣ'!D27/'2.ΤΙΜΕΣ ΚΛΕΙΣΙΜΑΤΟΣ'!D26)</f>
        <v>-1.4197027794216961E-2</v>
      </c>
      <c r="E26" s="43">
        <f>LN('2.ΤΙΜΕΣ ΚΛΕΙΣΙΜΑΤΟΣ'!E27/'2.ΤΙΜΕΣ ΚΛΕΙΣΙΜΑΤΟΣ'!E26)</f>
        <v>-4.1593897298837015E-2</v>
      </c>
      <c r="F26" s="43">
        <f>LN('2.ΤΙΜΕΣ ΚΛΕΙΣΙΜΑΤΟΣ'!F27/'2.ΤΙΜΕΣ ΚΛΕΙΣΙΜΑΤΟΣ'!F26)</f>
        <v>-2.9558802241544391E-2</v>
      </c>
      <c r="G26" s="43">
        <f>LN('2.ΤΙΜΕΣ ΚΛΕΙΣΙΜΑΤΟΣ'!G27/'2.ΤΙΜΕΣ ΚΛΕΙΣΙΜΑΤΟΣ'!G26)</f>
        <v>-4.2385018172171766E-2</v>
      </c>
      <c r="H26" s="43">
        <f>LN('2.ΤΙΜΕΣ ΚΛΕΙΣΙΜΑΤΟΣ'!H27/'2.ΤΙΜΕΣ ΚΛΕΙΣΙΜΑΤΟΣ'!H26)</f>
        <v>-1.3423020332140774E-2</v>
      </c>
      <c r="I26" s="43">
        <f>LN('2.ΤΙΜΕΣ ΚΛΕΙΣΙΜΑΤΟΣ'!I27/'2.ΤΙΜΕΣ ΚΛΕΙΣΙΜΑΤΟΣ'!I26)</f>
        <v>-4.4171218313137542E-2</v>
      </c>
      <c r="J26" s="43">
        <f>LN('2.ΤΙΜΕΣ ΚΛΕΙΣΙΜΑΤΟΣ'!J27/'2.ΤΙΜΕΣ ΚΛΕΙΣΙΜΑΤΟΣ'!J26)</f>
        <v>-1.5666116744399463E-2</v>
      </c>
      <c r="K26" s="43">
        <f>LN('2.ΤΙΜΕΣ ΚΛΕΙΣΙΜΑΤΟΣ'!K27/'2.ΤΙΜΕΣ ΚΛΕΙΣΙΜΑΤΟΣ'!K26)</f>
        <v>-9.0688880661080485E-3</v>
      </c>
      <c r="L26" s="43">
        <f>LN('2.ΤΙΜΕΣ ΚΛΕΙΣΙΜΑΤΟΣ'!L27/'2.ΤΙΜΕΣ ΚΛΕΙΣΙΜΑΤΟΣ'!L26)</f>
        <v>-1.713103993018367E-2</v>
      </c>
      <c r="M26" s="43">
        <f>LN('2.ΤΙΜΕΣ ΚΛΕΙΣΙΜΑΤΟΣ'!M27/'2.ΤΙΜΕΣ ΚΛΕΙΣΙΜΑΤΟΣ'!M26)</f>
        <v>-1.9990144876502271E-2</v>
      </c>
      <c r="N26" s="43">
        <f>LN('2.ΤΙΜΕΣ ΚΛΕΙΣΙΜΑΤΟΣ'!N27/'2.ΤΙΜΕΣ ΚΛΕΙΣΙΜΑΤΟΣ'!N26)</f>
        <v>-7.2954987467242337E-3</v>
      </c>
      <c r="O26" s="43">
        <f>LN('2.ΤΙΜΕΣ ΚΛΕΙΣΙΜΑΤΟΣ'!O27/'2.ΤΙΜΕΣ ΚΛΕΙΣΙΜΑΤΟΣ'!O26)</f>
        <v>-1.0016778243471232E-2</v>
      </c>
      <c r="P26" s="43">
        <f>LN('2.ΤΙΜΕΣ ΚΛΕΙΣΙΜΑΤΟΣ'!P27/'2.ΤΙΜΕΣ ΚΛΕΙΣΙΜΑΤΟΣ'!P26)</f>
        <v>-2.409755157906053E-2</v>
      </c>
      <c r="Q26" s="43">
        <f>LN('2.ΤΙΜΕΣ ΚΛΕΙΣΙΜΑΤΟΣ'!Q27/'2.ΤΙΜΕΣ ΚΛΕΙΣΙΜΑΤΟΣ'!Q26)</f>
        <v>-7.9003942765928648E-2</v>
      </c>
      <c r="R26" s="43">
        <f>LN('2.ΤΙΜΕΣ ΚΛΕΙΣΙΜΑΤΟΣ'!R27/'2.ΤΙΜΕΣ ΚΛΕΙΣΙΜΑΤΟΣ'!R26)</f>
        <v>2.2599831917240992E-2</v>
      </c>
      <c r="S26" s="43">
        <f>LN('2.ΤΙΜΕΣ ΚΛΕΙΣΙΜΑΤΟΣ'!S27/'2.ΤΙΜΕΣ ΚΛΕΙΣΙΜΑΤΟΣ'!S26)</f>
        <v>-1.3532006218576385E-2</v>
      </c>
      <c r="T26" s="43">
        <f>LN('2.ΤΙΜΕΣ ΚΛΕΙΣΙΜΑΤΟΣ'!T27/'2.ΤΙΜΕΣ ΚΛΕΙΣΙΜΑΤΟΣ'!T26)</f>
        <v>-1.9293202934678896E-2</v>
      </c>
      <c r="U26" s="43">
        <f>LN('2.ΤΙΜΕΣ ΚΛΕΙΣΙΜΑΤΟΣ'!U27/'2.ΤΙΜΕΣ ΚΛΕΙΣΙΜΑΤΟΣ'!U26)</f>
        <v>-2.2552884662473086E-2</v>
      </c>
      <c r="V26" s="43">
        <f>LN('2.ΤΙΜΕΣ ΚΛΕΙΣΙΜΑΤΟΣ'!V27/'2.ΤΙΜΕΣ ΚΛΕΙΣΙΜΑΤΟΣ'!V26)</f>
        <v>0</v>
      </c>
      <c r="W26" s="43">
        <f>LN('2.ΤΙΜΕΣ ΚΛΕΙΣΙΜΑΤΟΣ'!W27/'2.ΤΙΜΕΣ ΚΛΕΙΣΙΜΑΤΟΣ'!W26)</f>
        <v>-3.1823545812837604E-2</v>
      </c>
      <c r="X26" s="43">
        <f>LN('2.ΤΙΜΕΣ ΚΛΕΙΣΙΜΑΤΟΣ'!X27/'2.ΤΙΜΕΣ ΚΛΕΙΣΙΜΑΤΟΣ'!X26)</f>
        <v>-6.0489598794257046E-3</v>
      </c>
      <c r="Y26" s="43">
        <f>LN('2.ΤΙΜΕΣ ΚΛΕΙΣΙΜΑΤΟΣ'!Y27/'2.ΤΙΜΕΣ ΚΛΕΙΣΙΜΑΤΟΣ'!Y26)</f>
        <v>-2.3121397583795024E-3</v>
      </c>
      <c r="Z26" s="43">
        <f>LN('2.ΤΙΜΕΣ ΚΛΕΙΣΙΜΑΤΟΣ'!Z27/'2.ΤΙΜΕΣ ΚΛΕΙΣΙΜΑΤΟΣ'!Z26)</f>
        <v>7.1174677688639549E-3</v>
      </c>
      <c r="AA26" s="43">
        <f>LN('2.ΤΙΜΕΣ ΚΛΕΙΣΙΜΑΤΟΣ'!AA27/'2.ΤΙΜΕΣ ΚΛΕΙΣΙΜΑΤΟΣ'!AA26)</f>
        <v>-1.6194685919980606E-2</v>
      </c>
      <c r="AB26" s="43">
        <f>LN('2.ΤΙΜΕΣ ΚΛΕΙΣΙΜΑΤΟΣ'!AB27/'2.ΤΙΜΕΣ ΚΛΕΙΣΙΜΑΤΟΣ'!AB26)</f>
        <v>-2.8765166403134323E-2</v>
      </c>
      <c r="AC26" s="43">
        <f>LN('2.ΤΙΜΕΣ ΚΛΕΙΣΙΜΑΤΟΣ'!AC27/'2.ΤΙΜΕΣ ΚΛΕΙΣΙΜΑΤΟΣ'!AC26)</f>
        <v>0</v>
      </c>
      <c r="AD26" s="43">
        <f>LN('2.ΤΙΜΕΣ ΚΛΕΙΣΙΜΑΤΟΣ'!AD27/'2.ΤΙΜΕΣ ΚΛΕΙΣΙΜΑΤΟΣ'!AD26)</f>
        <v>-3.3846905373856283E-2</v>
      </c>
      <c r="AE26" s="43">
        <f>LN('2.ΤΙΜΕΣ ΚΛΕΙΣΙΜΑΤΟΣ'!AE27/'2.ΤΙΜΕΣ ΚΛΕΙΣΙΜΑΤΟΣ'!AE26)</f>
        <v>-2.2989518224698718E-2</v>
      </c>
      <c r="AF26" s="43">
        <f>LN('2.ΤΙΜΕΣ ΚΛΕΙΣΙΜΑΤΟΣ'!AF27/'2.ΤΙΜΕΣ ΚΛΕΙΣΙΜΑΤΟΣ'!AF26)</f>
        <v>-3.0847603227260934E-2</v>
      </c>
      <c r="AG26" s="43">
        <f>LN('2.ΤΙΜΕΣ ΚΛΕΙΣΙΜΑΤΟΣ'!AG27/'2.ΤΙΜΕΣ ΚΛΕΙΣΙΜΑΤΟΣ'!AG26)</f>
        <v>-4.6761765908039328E-2</v>
      </c>
      <c r="AH26" s="43">
        <f>LN('2.ΤΙΜΕΣ ΚΛΕΙΣΙΜΑΤΟΣ'!AH27/'2.ΤΙΜΕΣ ΚΛΕΙΣΙΜΑΤΟΣ'!AH26)</f>
        <v>-1.0065899934715256E-2</v>
      </c>
      <c r="AI26" s="43">
        <f>LN('2.ΤΙΜΕΣ ΚΛΕΙΣΙΜΑΤΟΣ'!AI27/'2.ΤΙΜΕΣ ΚΛΕΙΣΙΜΑΤΟΣ'!AI26)</f>
        <v>7.7220460939103185E-3</v>
      </c>
      <c r="AJ26" s="43">
        <f>LN('2.ΤΙΜΕΣ ΚΛΕΙΣΙΜΑΤΟΣ'!AJ27/'2.ΤΙΜΕΣ ΚΛΕΙΣΙΜΑΤΟΣ'!AJ26)</f>
        <v>-4.728141195946012E-3</v>
      </c>
      <c r="AK26" s="43">
        <f>LN('2.ΤΙΜΕΣ ΚΛΕΙΣΙΜΑΤΟΣ'!AK27/'2.ΤΙΜΕΣ ΚΛΕΙΣΙΜΑΤΟΣ'!AK26)</f>
        <v>2.5157245972471489E-3</v>
      </c>
      <c r="AL26" s="43">
        <f>LN('2.ΤΙΜΕΣ ΚΛΕΙΣΙΜΑΤΟΣ'!AL27/'2.ΤΙΜΕΣ ΚΛΕΙΣΙΜΑΤΟΣ'!AL26)</f>
        <v>-1.1560822401075971E-2</v>
      </c>
      <c r="AM26" s="43">
        <f>LN('2.ΤΙΜΕΣ ΚΛΕΙΣΙΜΑΤΟΣ'!AM27/'2.ΤΙΜΕΣ ΚΛΕΙΣΙΜΑΤΟΣ'!AM26)</f>
        <v>-1.4634407518437696E-2</v>
      </c>
      <c r="AN26" s="43">
        <f>LN('2.ΤΙΜΕΣ ΚΛΕΙΣΙΜΑΤΟΣ'!AN27/'2.ΤΙΜΕΣ ΚΛΕΙΣΙΜΑΤΟΣ'!AN26)</f>
        <v>1.2500162764231468E-2</v>
      </c>
      <c r="AO26" s="43">
        <f>LN('2.ΤΙΜΕΣ ΚΛΕΙΣΙΜΑΤΟΣ'!AO27/'2.ΤΙΜΕΣ ΚΛΕΙΣΙΜΑΤΟΣ'!AO26)</f>
        <v>-1.3158084577511199E-2</v>
      </c>
      <c r="AP26" s="43">
        <f>LN('2.ΤΙΜΕΣ ΚΛΕΙΣΙΜΑΤΟΣ'!AP27/'2.ΤΙΜΕΣ ΚΛΕΙΣΙΜΑΤΟΣ'!AP26)</f>
        <v>1.4555211242259706E-2</v>
      </c>
      <c r="AQ26" s="43">
        <f>LN('2.ΤΙΜΕΣ ΚΛΕΙΣΙΜΑΤΟΣ'!AQ27/'2.ΤΙΜΕΣ ΚΛΕΙΣΙΜΑΤΟΣ'!AQ26)</f>
        <v>-1.6706832501725673E-2</v>
      </c>
      <c r="AR26" s="43">
        <f>LN('2.ΤΙΜΕΣ ΚΛΕΙΣΙΜΑΤΟΣ'!AR27/'2.ΤΙΜΕΣ ΚΛΕΙΣΙΜΑΤΟΣ'!AR26)</f>
        <v>-1.2658396871923465E-2</v>
      </c>
      <c r="AS26" s="43">
        <f>LN('2.ΤΙΜΕΣ ΚΛΕΙΣΙΜΑΤΟΣ'!AS27/'2.ΤΙΜΕΣ ΚΛΕΙΣΙΜΑΤΟΣ'!AS26)</f>
        <v>-8.5470605784584083E-3</v>
      </c>
      <c r="AT26" s="43">
        <f>LN('2.ΤΙΜΕΣ ΚΛΕΙΣΙΜΑΤΟΣ'!AT27/'2.ΤΙΜΕΣ ΚΛΕΙΣΙΜΑΤΟΣ'!AT26)</f>
        <v>-3.5675602620764128E-2</v>
      </c>
      <c r="AU26" s="43">
        <f>LN('2.ΤΙΜΕΣ ΚΛΕΙΣΙΜΑΤΟΣ'!AU27/'2.ΤΙΜΕΣ ΚΛΕΙΣΙΜΑΤΟΣ'!AU26)</f>
        <v>-2.1252747345379495E-2</v>
      </c>
    </row>
    <row r="27" spans="1:47">
      <c r="A27" s="41">
        <v>43594</v>
      </c>
      <c r="B27" s="43">
        <f>LN('2.ΤΙΜΕΣ ΚΛΕΙΣΙΜΑΤΟΣ'!B28/'2.ΤΙΜΕΣ ΚΛΕΙΣΙΜΑΤΟΣ'!B27)</f>
        <v>-6.2480476884219582E-4</v>
      </c>
      <c r="C27" s="43">
        <f>LN('2.ΤΙΜΕΣ ΚΛΕΙΣΙΜΑΤΟΣ'!C28/'2.ΤΙΜΕΣ ΚΛΕΙΣΙΜΑΤΟΣ'!C27)</f>
        <v>-1.5775962594167435E-2</v>
      </c>
      <c r="D27" s="43">
        <f>LN('2.ΤΙΜΕΣ ΚΛΕΙΣΙΜΑΤΟΣ'!D28/'2.ΤΙΜΕΣ ΚΛΕΙΣΙΜΑΤΟΣ'!D27)</f>
        <v>-3.0713229885406833E-2</v>
      </c>
      <c r="E27" s="43">
        <f>LN('2.ΤΙΜΕΣ ΚΛΕΙΣΙΜΑΤΟΣ'!E28/'2.ΤΙΜΕΣ ΚΛΕΙΣΙΜΑΤΟΣ'!E27)</f>
        <v>-1.4258180627056076E-2</v>
      </c>
      <c r="F27" s="43">
        <f>LN('2.ΤΙΜΕΣ ΚΛΕΙΣΙΜΑΤΟΣ'!F28/'2.ΤΙΜΕΣ ΚΛΕΙΣΙΜΑΤΟΣ'!F27)</f>
        <v>-1.0050335853501451E-2</v>
      </c>
      <c r="G27" s="43">
        <f>LN('2.ΤΙΜΕΣ ΚΛΕΙΣΙΜΑΤΟΣ'!G28/'2.ΤΙΜΕΣ ΚΛΕΙΣΙΜΑΤΟΣ'!G27)</f>
        <v>-4.1345874738296186E-2</v>
      </c>
      <c r="H27" s="43">
        <f>LN('2.ΤΙΜΕΣ ΚΛΕΙΣΙΜΑΤΟΣ'!H28/'2.ΤΙΜΕΣ ΚΛΕΙΣΙΜΑΤΟΣ'!H27)</f>
        <v>-1.5564516541111573E-2</v>
      </c>
      <c r="I27" s="43">
        <f>LN('2.ΤΙΜΕΣ ΚΛΕΙΣΙΜΑΤΟΣ'!I28/'2.ΤΙΜΕΣ ΚΛΕΙΣΙΜΑΤΟΣ'!I27)</f>
        <v>-1.8722565611555268E-2</v>
      </c>
      <c r="J27" s="43">
        <f>LN('2.ΤΙΜΕΣ ΚΛΕΙΣΙΜΑΤΟΣ'!J28/'2.ΤΙΜΕΣ ΚΛΕΙΣΙΜΑΤΟΣ'!J27)</f>
        <v>-1.0582109330536972E-2</v>
      </c>
      <c r="K27" s="43">
        <f>LN('2.ΤΙΜΕΣ ΚΛΕΙΣΙΜΑΤΟΣ'!K28/'2.ΤΙΜΕΣ ΚΛΕΙΣΙΜΑΤΟΣ'!K27)</f>
        <v>-4.5654734444689603E-3</v>
      </c>
      <c r="L27" s="43">
        <f>LN('2.ΤΙΜΕΣ ΚΛΕΙΣΙΜΑΤΟΣ'!L28/'2.ΤΙΜΕΣ ΚΛΕΙΣΙΜΑΤΟΣ'!L27)</f>
        <v>-1.6331337386221102E-2</v>
      </c>
      <c r="M27" s="43">
        <f>LN('2.ΤΙΜΕΣ ΚΛΕΙΣΙΜΑΤΟΣ'!M28/'2.ΤΙΜΕΣ ΚΛΕΙΣΙΜΑΤΟΣ'!M27)</f>
        <v>-3.3498540074484009E-2</v>
      </c>
      <c r="N27" s="43">
        <f>LN('2.ΤΙΜΕΣ ΚΛΕΙΣΙΜΑΤΟΣ'!N28/'2.ΤΙΜΕΣ ΚΛΕΙΣΙΜΑΤΟΣ'!N27)</f>
        <v>-1.323725706669595E-2</v>
      </c>
      <c r="O27" s="43">
        <f>LN('2.ΤΙΜΕΣ ΚΛΕΙΣΙΜΑΤΟΣ'!O28/'2.ΤΙΜΕΣ ΚΛΕΙΣΙΜΑΤΟΣ'!O27)</f>
        <v>-3.4133006369458582E-2</v>
      </c>
      <c r="P27" s="43">
        <f>LN('2.ΤΙΜΕΣ ΚΛΕΙΣΙΜΑΤΟΣ'!P28/'2.ΤΙΜΕΣ ΚΛΕΙΣΙΜΑΤΟΣ'!P27)</f>
        <v>-2.0534602441707753E-2</v>
      </c>
      <c r="Q27" s="43">
        <f>LN('2.ΤΙΜΕΣ ΚΛΕΙΣΙΜΑΤΟΣ'!Q28/'2.ΤΙΜΕΣ ΚΛΕΙΣΙΜΑΤΟΣ'!Q27)</f>
        <v>-8.7122928108045367E-2</v>
      </c>
      <c r="R27" s="43">
        <f>LN('2.ΤΙΜΕΣ ΚΛΕΙΣΙΜΑΤΟΣ'!R28/'2.ΤΙΜΕΣ ΚΛΕΙΣΙΜΑΤΟΣ'!R27)</f>
        <v>-6.0450056048338426E-2</v>
      </c>
      <c r="S27" s="43">
        <f>LN('2.ΤΙΜΕΣ ΚΛΕΙΣΙΜΑΤΟΣ'!S28/'2.ΤΙΜΕΣ ΚΛΕΙΣΙΜΑΤΟΣ'!S27)</f>
        <v>-5.4644944720787375E-3</v>
      </c>
      <c r="T27" s="43">
        <f>LN('2.ΤΙΜΕΣ ΚΛΕΙΣΙΜΑΤΟΣ'!T28/'2.ΤΙΜΕΣ ΚΛΕΙΣΙΜΑΤΟΣ'!T27)</f>
        <v>-1.4718172474021534E-2</v>
      </c>
      <c r="U27" s="43">
        <f>LN('2.ΤΙΜΕΣ ΚΛΕΙΣΙΜΑΤΟΣ'!U28/'2.ΤΙΜΕΣ ΚΛΕΙΣΙΜΑΤΟΣ'!U27)</f>
        <v>1.1997601919040951E-3</v>
      </c>
      <c r="V27" s="43">
        <f>LN('2.ΤΙΜΕΣ ΚΛΕΙΣΙΜΑΤΟΣ'!V28/'2.ΤΙΜΕΣ ΚΛΕΙΣΙΜΑΤΟΣ'!V27)</f>
        <v>-3.055930257512797E-2</v>
      </c>
      <c r="W27" s="43">
        <f>LN('2.ΤΙΜΕΣ ΚΛΕΙΣΙΜΑΤΟΣ'!W28/'2.ΤΙΜΕΣ ΚΛΕΙΣΙΜΑΤΟΣ'!W27)</f>
        <v>-1.3261194941383685E-2</v>
      </c>
      <c r="X27" s="43">
        <f>LN('2.ΤΙΜΕΣ ΚΛΕΙΣΙΜΑΤΟΣ'!X28/'2.ΤΙΜΕΣ ΚΛΕΙΣΙΜΑΤΟΣ'!X27)</f>
        <v>-3.3654325833616501E-2</v>
      </c>
      <c r="Y27" s="43">
        <f>LN('2.ΤΙΜΕΣ ΚΛΕΙΣΙΜΑΤΟΣ'!Y28/'2.ΤΙΜΕΣ ΚΛΕΙΣΙΜΑΤΟΣ'!Y27)</f>
        <v>-1.6336419319693499E-2</v>
      </c>
      <c r="Z27" s="43">
        <f>LN('2.ΤΙΜΕΣ ΚΛΕΙΣΙΜΑΤΟΣ'!Z28/'2.ΤΙΜΕΣ ΚΛΕΙΣΙΜΑΤΟΣ'!Z27)</f>
        <v>-2.5135973271542274E-2</v>
      </c>
      <c r="AA27" s="43">
        <f>LN('2.ΤΙΜΕΣ ΚΛΕΙΣΙΜΑΤΟΣ'!AA28/'2.ΤΙΜΕΣ ΚΛΕΙΣΙΜΑΤΟΣ'!AA27)</f>
        <v>0</v>
      </c>
      <c r="AB27" s="43">
        <f>LN('2.ΤΙΜΕΣ ΚΛΕΙΣΙΜΑΤΟΣ'!AB28/'2.ΤΙΜΕΣ ΚΛΕΙΣΙΜΑΤΟΣ'!AB27)</f>
        <v>-3.7665502886474668E-2</v>
      </c>
      <c r="AC27" s="43">
        <f>LN('2.ΤΙΜΕΣ ΚΛΕΙΣΙΜΑΤΟΣ'!AC28/'2.ΤΙΜΕΣ ΚΛΕΙΣΙΜΑΤΟΣ'!AC27)</f>
        <v>-2.7285146532040625E-3</v>
      </c>
      <c r="AD27" s="43">
        <f>LN('2.ΤΙΜΕΣ ΚΛΕΙΣΙΜΑΤΟΣ'!AD28/'2.ΤΙΜΕΣ ΚΛΕΙΣΙΜΑΤΟΣ'!AD27)</f>
        <v>-8.23049913651548E-3</v>
      </c>
      <c r="AE27" s="43">
        <f>LN('2.ΤΙΜΕΣ ΚΛΕΙΣΙΜΑΤΟΣ'!AE28/'2.ΤΙΜΕΣ ΚΛΕΙΣΙΜΑΤΟΣ'!AE27)</f>
        <v>0</v>
      </c>
      <c r="AF27" s="43">
        <f>LN('2.ΤΙΜΕΣ ΚΛΕΙΣΙΜΑΤΟΣ'!AF28/'2.ΤΙΜΕΣ ΚΛΕΙΣΙΜΑΤΟΣ'!AF27)</f>
        <v>-1.7699577099400975E-2</v>
      </c>
      <c r="AG27" s="43">
        <f>LN('2.ΤΙΜΕΣ ΚΛΕΙΣΙΜΑΤΟΣ'!AG28/'2.ΤΙΜΕΣ ΚΛΕΙΣΙΜΑΤΟΣ'!AG27)</f>
        <v>1.0582109330537008E-2</v>
      </c>
      <c r="AH27" s="43">
        <f>LN('2.ΤΙΜΕΣ ΚΛΕΙΣΙΜΑΤΟΣ'!AH28/'2.ΤΙΜΕΣ ΚΛΕΙΣΙΜΑΤΟΣ'!AH27)</f>
        <v>-2.3623145763435941E-2</v>
      </c>
      <c r="AI27" s="43">
        <f>LN('2.ΤΙΜΕΣ ΚΛΕΙΣΙΜΑΤΟΣ'!AI28/'2.ΤΙΜΕΣ ΚΛΕΙΣΙΜΑΤΟΣ'!AI27)</f>
        <v>-3.9220713153281267E-2</v>
      </c>
      <c r="AJ27" s="43">
        <f>LN('2.ΤΙΜΕΣ ΚΛΕΙΣΙΜΑΤΟΣ'!AJ28/'2.ΤΙΜΕΣ ΚΛΕΙΣΙΜΑΤΟΣ'!AJ27)</f>
        <v>0</v>
      </c>
      <c r="AK27" s="43">
        <f>LN('2.ΤΙΜΕΣ ΚΛΕΙΣΙΜΑΤΟΣ'!AK28/'2.ΤΙΜΕΣ ΚΛΕΙΣΙΜΑΤΟΣ'!AK27)</f>
        <v>2.509411605425707E-3</v>
      </c>
      <c r="AL27" s="43">
        <f>LN('2.ΤΙΜΕΣ ΚΛΕΙΣΙΜΑΤΟΣ'!AL28/'2.ΤΙΜΕΣ ΚΛΕΙΣΙΜΑΤΟΣ'!AL27)</f>
        <v>0</v>
      </c>
      <c r="AM27" s="43">
        <f>LN('2.ΤΙΜΕΣ ΚΛΕΙΣΙΜΑΤΟΣ'!AM28/'2.ΤΙΜΕΣ ΚΛΕΙΣΙΜΑΤΟΣ'!AM27)</f>
        <v>-4.9261183360560009E-3</v>
      </c>
      <c r="AN27" s="43">
        <f>LN('2.ΤΙΜΕΣ ΚΛΕΙΣΙΜΑΤΟΣ'!AN28/'2.ΤΙΜΕΣ ΚΛΕΙΣΙΜΑΤΟΣ'!AN27)</f>
        <v>-3.1548357734926008E-2</v>
      </c>
      <c r="AO27" s="43">
        <f>LN('2.ΤΙΜΕΣ ΚΛΕΙΣΙΜΑΤΟΣ'!AO28/'2.ΤΙΜΕΣ ΚΛΕΙΣΙΜΑΤΟΣ'!AO27)</f>
        <v>-9.9834439841831497E-3</v>
      </c>
      <c r="AP27" s="43">
        <f>LN('2.ΤΙΜΕΣ ΚΛΕΙΣΙΜΑΤΟΣ'!AP28/'2.ΤΙΜΕΣ ΚΛΕΙΣΙΜΑΤΟΣ'!AP27)</f>
        <v>-2.5897487846194375E-2</v>
      </c>
      <c r="AQ27" s="43">
        <f>LN('2.ΤΙΜΕΣ ΚΛΕΙΣΙΜΑΤΟΣ'!AQ28/'2.ΤΙΜΕΣ ΚΛΕΙΣΙΜΑΤΟΣ'!AQ27)</f>
        <v>-2.6830877796956393E-2</v>
      </c>
      <c r="AR27" s="43">
        <f>LN('2.ΤΙΜΕΣ ΚΛΕΙΣΙΜΑΤΟΣ'!AR28/'2.ΤΙΜΕΣ ΚΛΕΙΣΙΜΑΤΟΣ'!AR27)</f>
        <v>-1.9293202934678896E-2</v>
      </c>
      <c r="AS27" s="43">
        <f>LN('2.ΤΙΜΕΣ ΚΛΕΙΣΙΜΑΤΟΣ'!AS28/'2.ΤΙΜΕΣ ΚΛΕΙΣΙΜΑΤΟΣ'!AS27)</f>
        <v>-3.0503454293414854E-2</v>
      </c>
      <c r="AT27" s="43">
        <f>LN('2.ΤΙΜΕΣ ΚΛΕΙΣΙΜΑΤΟΣ'!AT28/'2.ΤΙΜΕΣ ΚΛΕΙΣΙΜΑΤΟΣ'!AT27)</f>
        <v>-2.2032714999882578E-2</v>
      </c>
      <c r="AU27" s="43">
        <f>LN('2.ΤΙΜΕΣ ΚΛΕΙΣΙΜΑΤΟΣ'!AU28/'2.ΤΙΜΕΣ ΚΛΕΙΣΙΜΑΤΟΣ'!AU27)</f>
        <v>-1.9557169475743166E-2</v>
      </c>
    </row>
    <row r="28" spans="1:47">
      <c r="A28" s="41">
        <v>43595</v>
      </c>
      <c r="B28" s="43">
        <f>LN('2.ΤΙΜΕΣ ΚΛΕΙΣΙΜΑΤΟΣ'!B29/'2.ΤΙΜΕΣ ΚΛΕΙΣΙΜΑΤΟΣ'!B28)</f>
        <v>-1.1313759900273404E-2</v>
      </c>
      <c r="C28" s="43">
        <f>LN('2.ΤΙΜΕΣ ΚΛΕΙΣΙΜΑΤΟΣ'!C29/'2.ΤΙΜΕΣ ΚΛΕΙΣΙΜΑΤΟΣ'!C28)</f>
        <v>1.7652255245691492E-3</v>
      </c>
      <c r="D28" s="43">
        <f>LN('2.ΤΙΜΕΣ ΚΛΕΙΣΙΜΑΤΟΣ'!D29/'2.ΤΙΜΕΣ ΚΛΕΙΣΙΜΑΤΟΣ'!D28)</f>
        <v>1.07170070800383E-2</v>
      </c>
      <c r="E28" s="43">
        <f>LN('2.ΤΙΜΕΣ ΚΛΕΙΣΙΜΑΤΟΣ'!E29/'2.ΤΙΜΕΣ ΚΛΕΙΣΙΜΑΤΟΣ'!E28)</f>
        <v>-1.4464420491566612E-2</v>
      </c>
      <c r="F28" s="43">
        <f>LN('2.ΤΙΜΕΣ ΚΛΕΙΣΙΜΑΤΟΣ'!F29/'2.ΤΙΜΕΣ ΚΛΕΙΣΙΜΑΤΟΣ'!F28)</f>
        <v>-1.2634240467719062E-3</v>
      </c>
      <c r="G28" s="43">
        <f>LN('2.ΤΙΜΕΣ ΚΛΕΙΣΙΜΑΤΟΣ'!G29/'2.ΤΙΜΕΣ ΚΛΕΙΣΙΜΑΤΟΣ'!G28)</f>
        <v>2.5863510589919154E-2</v>
      </c>
      <c r="H28" s="43">
        <f>LN('2.ΤΙΜΕΣ ΚΛΕΙΣΙΜΑΤΟΣ'!H29/'2.ΤΙΜΕΣ ΚΛΕΙΣΙΜΑΤΟΣ'!H28)</f>
        <v>-1.9627091678487058E-3</v>
      </c>
      <c r="I28" s="43">
        <f>LN('2.ΤΙΜΕΣ ΚΛΕΙΣΙΜΑΤΟΣ'!I29/'2.ΤΙΜΕΣ ΚΛΕΙΣΙΜΑΤΟΣ'!I28)</f>
        <v>1.468215607455051E-2</v>
      </c>
      <c r="J28" s="43">
        <f>LN('2.ΤΙΜΕΣ ΚΛΕΙΣΙΜΑΤΟΣ'!J29/'2.ΤΙΜΕΣ ΚΛΕΙΣΙΜΑΤΟΣ'!J28)</f>
        <v>8.1678031014267294E-2</v>
      </c>
      <c r="K28" s="43">
        <f>LN('2.ΤΙΜΕΣ ΚΛΕΙΣΙΜΑΤΟΣ'!K29/'2.ΤΙΜΕΣ ΚΛΕΙΣΙΜΑΤΟΣ'!K28)</f>
        <v>1.4697479578867161E-3</v>
      </c>
      <c r="L28" s="43">
        <f>LN('2.ΤΙΜΕΣ ΚΛΕΙΣΙΜΑΤΟΣ'!L29/'2.ΤΙΜΕΣ ΚΛΕΙΣΙΜΑΤΟΣ'!L28)</f>
        <v>5.4734674141721281E-3</v>
      </c>
      <c r="M28" s="43">
        <f>LN('2.ΤΙΜΕΣ ΚΛΕΙΣΙΜΑΤΟΣ'!M29/'2.ΤΙΜΕΣ ΚΛΕΙΣΙΜΑΤΟΣ'!M28)</f>
        <v>-1.5504186535965086E-2</v>
      </c>
      <c r="N28" s="43">
        <f>LN('2.ΤΙΜΕΣ ΚΛΕΙΣΙΜΑΤΟΣ'!N29/'2.ΤΙΜΕΣ ΚΛΕΙΣΙΜΑΤΟΣ'!N28)</f>
        <v>-3.0330626831129252E-3</v>
      </c>
      <c r="O28" s="43">
        <f>LN('2.ΤΙΜΕΣ ΚΛΕΙΣΙΜΑΤΟΣ'!O29/'2.ΤΙΜΕΣ ΚΛΕΙΣΙΜΑΤΟΣ'!O28)</f>
        <v>1.7212128881121426E-2</v>
      </c>
      <c r="P28" s="43">
        <f>LN('2.ΤΙΜΕΣ ΚΛΕΙΣΙΜΑΤΟΣ'!P29/'2.ΤΙΜΕΣ ΚΛΕΙΣΙΜΑΤΟΣ'!P28)</f>
        <v>2.2565059992089725E-2</v>
      </c>
      <c r="Q28" s="43">
        <f>LN('2.ΤΙΜΕΣ ΚΛΕΙΣΙΜΑΤΟΣ'!Q29/'2.ΤΙΜΕΣ ΚΛΕΙΣΙΜΑΤΟΣ'!Q28)</f>
        <v>2.8375377845833161E-2</v>
      </c>
      <c r="R28" s="43">
        <f>LN('2.ΤΙΜΕΣ ΚΛΕΙΣΙΜΑΤΟΣ'!R29/'2.ΤΙΜΕΣ ΚΛΕΙΣΙΜΑΤΟΣ'!R28)</f>
        <v>-3.6257748022624249E-2</v>
      </c>
      <c r="S28" s="43">
        <f>LN('2.ΤΙΜΕΣ ΚΛΕΙΣΙΜΑΤΟΣ'!S29/'2.ΤΙΜΕΣ ΚΛΕΙΣΙΜΑΤΟΣ'!S28)</f>
        <v>-2.7434859457508326E-3</v>
      </c>
      <c r="T28" s="43">
        <f>LN('2.ΤΙΜΕΣ ΚΛΕΙΣΙΜΑΤΟΣ'!T29/'2.ΤΙΜΕΣ ΚΛΕΙΣΙΜΑΤΟΣ'!T28)</f>
        <v>1.3093476747019604E-2</v>
      </c>
      <c r="U28" s="43">
        <f>LN('2.ΤΙΜΕΣ ΚΛΕΙΣΙΜΑΤΟΣ'!U29/'2.ΤΙΜΕΣ ΚΛΕΙΣΙΜΑΤΟΣ'!U28)</f>
        <v>5.9773041084593822E-3</v>
      </c>
      <c r="V28" s="43">
        <f>LN('2.ΤΙΜΕΣ ΚΛΕΙΣΙΜΑΤΟΣ'!V29/'2.ΤΙΜΕΣ ΚΛΕΙΣΙΜΑΤΟΣ'!V28)</f>
        <v>6.8659148807398193E-2</v>
      </c>
      <c r="W28" s="43">
        <f>LN('2.ΤΙΜΕΣ ΚΛΕΙΣΙΜΑΤΟΣ'!W29/'2.ΤΙΜΕΣ ΚΛΕΙΣΙΜΑΤΟΣ'!W28)</f>
        <v>-1.0982416668608929E-2</v>
      </c>
      <c r="X28" s="43">
        <f>LN('2.ΤΙΜΕΣ ΚΛΕΙΣΙΜΑΤΟΣ'!X29/'2.ΤΙΜΕΣ ΚΛΕΙΣΙΜΑΤΟΣ'!X28)</f>
        <v>2.4604490313698463E-2</v>
      </c>
      <c r="Y28" s="43">
        <f>LN('2.ΤΙΜΕΣ ΚΛΕΙΣΙΜΑΤΟΣ'!Y29/'2.ΤΙΜΕΣ ΚΛΕΙΣΙΜΑΤΟΣ'!Y28)</f>
        <v>8.2015691134177098E-3</v>
      </c>
      <c r="Z28" s="43">
        <f>LN('2.ΤΙΜΕΣ ΚΛΕΙΣΙΜΑΤΟΣ'!Z29/'2.ΤΙΜΕΣ ΚΛΕΙΣΙΜΑΤΟΣ'!Z28)</f>
        <v>1.8018505502678212E-2</v>
      </c>
      <c r="AA28" s="43">
        <f>LN('2.ΤΙΜΕΣ ΚΛΕΙΣΙΜΑΤΟΣ'!AA29/'2.ΤΙΜΕΣ ΚΛΕΙΣΙΜΑΤΟΣ'!AA28)</f>
        <v>-1.2320484388040624E-2</v>
      </c>
      <c r="AB28" s="43">
        <f>LN('2.ΤΙΜΕΣ ΚΛΕΙΣΙΜΑΤΟΣ'!AB29/'2.ΤΙΜΕΣ ΚΛΕΙΣΙΜΑΤΟΣ'!AB28)</f>
        <v>-4.0485885260003315E-3</v>
      </c>
      <c r="AC28" s="43">
        <f>LN('2.ΤΙΜΕΣ ΚΛΕΙΣΙΜΑΤΟΣ'!AC29/'2.ΤΙΜΕΣ ΚΛΕΙΣΙΜΑΤΟΣ'!AC28)</f>
        <v>0</v>
      </c>
      <c r="AD28" s="43">
        <f>LN('2.ΤΙΜΕΣ ΚΛΕΙΣΙΜΑΤΟΣ'!AD29/'2.ΤΙΜΕΣ ΚΛΕΙΣΙΜΑΤΟΣ'!AD28)</f>
        <v>1.9640565874546417E-2</v>
      </c>
      <c r="AE28" s="43">
        <f>LN('2.ΤΙΜΕΣ ΚΛΕΙΣΙΜΑΤΟΣ'!AE29/'2.ΤΙΜΕΣ ΚΛΕΙΣΙΜΑΤΟΣ'!AE28)</f>
        <v>1.5384918839479456E-2</v>
      </c>
      <c r="AF28" s="43">
        <f>LN('2.ΤΙΜΕΣ ΚΛΕΙΣΙΜΑΤΟΣ'!AF29/'2.ΤΙΜΕΣ ΚΛΕΙΣΙΜΑΤΟΣ'!AF28)</f>
        <v>1.1414201284440191E-2</v>
      </c>
      <c r="AG28" s="43">
        <f>LN('2.ΤΙΜΕΣ ΚΛΕΙΣΙΜΑΤΟΣ'!AG29/'2.ΤΙΜΕΣ ΚΛΕΙΣΙΜΑΤΟΣ'!AG28)</f>
        <v>3.1090587070031182E-2</v>
      </c>
      <c r="AH28" s="43">
        <f>LN('2.ΤΙΜΕΣ ΚΛΕΙΣΙΜΑΤΟΣ'!AH29/'2.ΤΙΜΕΣ ΚΛΕΙΣΙΜΑΤΟΣ'!AH28)</f>
        <v>-3.9920212695373379E-3</v>
      </c>
      <c r="AI28" s="43">
        <f>LN('2.ΤΙΜΕΣ ΚΛΕΙΣΙΜΑΤΟΣ'!AI29/'2.ΤΙΜΕΣ ΚΛΕΙΣΙΜΑΤΟΣ'!AI28)</f>
        <v>7.9681696491768813E-3</v>
      </c>
      <c r="AJ28" s="43">
        <f>LN('2.ΤΙΜΕΣ ΚΛΕΙΣΙΜΑΤΟΣ'!AJ29/'2.ΤΙΜΕΣ ΚΛΕΙΣΙΜΑΤΟΣ'!AJ28)</f>
        <v>1.8779894651596275E-2</v>
      </c>
      <c r="AK28" s="43">
        <f>LN('2.ΤΙΜΕΣ ΚΛΕΙΣΙΜΑΤΟΣ'!AK29/'2.ΤΙΜΕΣ ΚΛΕΙΣΙΜΑΤΟΣ'!AK28)</f>
        <v>-2.2814677766171399E-2</v>
      </c>
      <c r="AL28" s="43">
        <f>LN('2.ΤΙΜΕΣ ΚΛΕΙΣΙΜΑΤΟΣ'!AL29/'2.ΤΙΜΕΣ ΚΛΕΙΣΙΜΑΤΟΣ'!AL28)</f>
        <v>2.2989518224698781E-2</v>
      </c>
      <c r="AM28" s="43">
        <f>LN('2.ΤΙΜΕΣ ΚΛΕΙΣΙΜΑΤΟΣ'!AM29/'2.ΤΙΜΕΣ ΚΛΕΙΣΙΜΑΤΟΣ'!AM28)</f>
        <v>9.8280889362626928E-3</v>
      </c>
      <c r="AN28" s="43">
        <f>LN('2.ΤΙΜΕΣ ΚΛΕΙΣΙΜΑΤΟΣ'!AN29/'2.ΤΙΜΕΣ ΚΛΕΙΣΙΜΑΤΟΣ'!AN28)</f>
        <v>4.3894193557225347E-2</v>
      </c>
      <c r="AO28" s="43">
        <f>LN('2.ΤΙΜΕΣ ΚΛΕΙΣΙΜΑΤΟΣ'!AO29/'2.ΤΙΜΕΣ ΚΛΕΙΣΙΜΑΤΟΣ'!AO28)</f>
        <v>1.9868203216724965E-2</v>
      </c>
      <c r="AP28" s="43">
        <f>LN('2.ΤΙΜΕΣ ΚΛΕΙΣΙΜΑΤΟΣ'!AP29/'2.ΤΙΜΕΣ ΚΛΕΙΣΙΜΑΤΟΣ'!AP28)</f>
        <v>2.9595716913284942E-2</v>
      </c>
      <c r="AQ28" s="43">
        <f>LN('2.ΤΙΜΕΣ ΚΛΕΙΣΙΜΑΤΟΣ'!AQ29/'2.ΤΙΜΕΣ ΚΛΕΙΣΙΜΑΤΟΣ'!AQ28)</f>
        <v>6.1614489440484053E-3</v>
      </c>
      <c r="AR28" s="43">
        <f>LN('2.ΤΙΜΕΣ ΚΛΕΙΣΙΜΑΤΟΣ'!AR29/'2.ΤΙΜΕΣ ΚΛΕΙΣΙΜΑΤΟΣ'!AR28)</f>
        <v>-5.2083451071382354E-3</v>
      </c>
      <c r="AS28" s="43">
        <f>LN('2.ΤΙΜΕΣ ΚΛΕΙΣΙΜΑΤΟΣ'!AS29/'2.ΤΙΜΕΣ ΚΛΕΙΣΙΜΑΤΟΣ'!AS28)</f>
        <v>8.8106296821549059E-3</v>
      </c>
      <c r="AT28" s="43">
        <f>LN('2.ΤΙΜΕΣ ΚΛΕΙΣΙΜΑΤΟΣ'!AT29/'2.ΤΙΜΕΣ ΚΛΕΙΣΙΜΑΤΟΣ'!AT28)</f>
        <v>5.7708317620646564E-2</v>
      </c>
      <c r="AU28" s="43">
        <f>LN('2.ΤΙΜΕΣ ΚΛΕΙΣΙΜΑΤΟΣ'!AU29/'2.ΤΙΜΕΣ ΚΛΕΙΣΙΜΑΤΟΣ'!AU28)</f>
        <v>1.009137149144901E-2</v>
      </c>
    </row>
    <row r="29" spans="1:47">
      <c r="A29" s="41">
        <v>43598</v>
      </c>
      <c r="B29" s="43">
        <f>LN('2.ΤΙΜΕΣ ΚΛΕΙΣΙΜΑΤΟΣ'!B30/'2.ΤΙΜΕΣ ΚΛΕΙΣΙΜΑΤΟΣ'!B29)</f>
        <v>-1.4324612279741264E-2</v>
      </c>
      <c r="C29" s="43">
        <f>LN('2.ΤΙΜΕΣ ΚΛΕΙΣΙΜΑΤΟΣ'!C30/'2.ΤΙΜΕΣ ΚΛΕΙΣΙΜΑΤΟΣ'!C29)</f>
        <v>0</v>
      </c>
      <c r="D29" s="43">
        <f>LN('2.ΤΙΜΕΣ ΚΛΕΙΣΙΜΑΤΟΣ'!D30/'2.ΤΙΜΕΣ ΚΛΕΙΣΙΜΑΤΟΣ'!D29)</f>
        <v>-1.3556466083608075E-2</v>
      </c>
      <c r="E29" s="43">
        <f>LN('2.ΤΙΜΕΣ ΚΛΕΙΣΙΜΑΤΟΣ'!E30/'2.ΤΙΜΕΣ ΚΛΕΙΣΙΜΑΤΟΣ'!E29)</f>
        <v>-2.0067563050809142E-2</v>
      </c>
      <c r="F29" s="43">
        <f>LN('2.ΤΙΜΕΣ ΚΛΕΙΣΙΜΑΤΟΣ'!F30/'2.ΤΙΜΕΣ ΚΛΕΙΣΙΜΑΤΟΣ'!F29)</f>
        <v>5.0441468866780029E-3</v>
      </c>
      <c r="G29" s="43">
        <f>LN('2.ΤΙΜΕΣ ΚΛΕΙΣΙΜΑΤΟΣ'!G30/'2.ΤΙΜΕΣ ΚΛΕΙΣΙΜΑΤΟΣ'!G29)</f>
        <v>-2.7320175086383239E-2</v>
      </c>
      <c r="H29" s="43">
        <f>LN('2.ΤΙΜΕΣ ΚΛΕΙΣΙΜΑΤΟΣ'!H30/'2.ΤΙΜΕΣ ΚΛΕΙΣΙΜΑΤΟΣ'!H29)</f>
        <v>-7.8895872751629324E-3</v>
      </c>
      <c r="I29" s="43">
        <f>LN('2.ΤΙΜΕΣ ΚΛΕΙΣΙΜΑΤΟΣ'!I30/'2.ΤΙΜΕΣ ΚΛΕΙΣΙΜΑΤΟΣ'!I29)</f>
        <v>-2.0450610471290879E-2</v>
      </c>
      <c r="J29" s="43">
        <f>LN('2.ΤΙΜΕΣ ΚΛΕΙΣΙΜΑΤΟΣ'!J30/'2.ΤΙΜΕΣ ΚΛΕΙΣΙΜΑΤΟΣ'!J29)</f>
        <v>-1.4317697065609977E-2</v>
      </c>
      <c r="K29" s="43">
        <f>LN('2.ΤΙΜΕΣ ΚΛΕΙΣΙΜΑΤΟΣ'!K30/'2.ΤΙΜΕΣ ΚΛΕΙΣΙΜΑΤΟΣ'!K29)</f>
        <v>-1.5458291701420834E-2</v>
      </c>
      <c r="L29" s="43">
        <f>LN('2.ΤΙΜΕΣ ΚΛΕΙΣΙΜΑΤΟΣ'!L30/'2.ΤΙΜΕΣ ΚΛΕΙΣΙΜΑΤΟΣ'!L29)</f>
        <v>-3.2804840791617238E-3</v>
      </c>
      <c r="M29" s="43">
        <f>LN('2.ΤΙΜΕΣ ΚΛΕΙΣΙΜΑΤΟΣ'!M30/'2.ΤΙΜΕΣ ΚΛΕΙΣΙΜΑΤΟΣ'!M29)</f>
        <v>-1.9155515289753716E-2</v>
      </c>
      <c r="N29" s="43">
        <f>LN('2.ΤΙΜΕΣ ΚΛΕΙΣΙΜΑΤΟΣ'!N30/'2.ΤΙΜΕΣ ΚΛΕΙΣΙΜΑΤΟΣ'!N29)</f>
        <v>-4.4143461591054731E-3</v>
      </c>
      <c r="O29" s="43">
        <f>LN('2.ΤΙΜΕΣ ΚΛΕΙΣΙΜΑΤΟΣ'!O30/'2.ΤΙΜΕΣ ΚΛΕΙΣΙΜΑΤΟΣ'!O29)</f>
        <v>-2.0690393257446166E-2</v>
      </c>
      <c r="P29" s="43">
        <f>LN('2.ΤΙΜΕΣ ΚΛΕΙΣΙΜΑΤΟΣ'!P30/'2.ΤΙΜΕΣ ΚΛΕΙΣΙΜΑΤΟΣ'!P29)</f>
        <v>-2.7765279719197133E-2</v>
      </c>
      <c r="Q29" s="43">
        <f>LN('2.ΤΙΜΕΣ ΚΛΕΙΣΙΜΑΤΟΣ'!Q30/'2.ΤΙΜΕΣ ΚΛΕΙΣΙΜΑΤΟΣ'!Q29)</f>
        <v>-8.9083671167985615E-2</v>
      </c>
      <c r="R29" s="43">
        <f>LN('2.ΤΙΜΕΣ ΚΛΕΙΣΙΜΑΤΟΣ'!R30/'2.ΤΙΜΕΣ ΚΛΕΙΣΙΜΑΤΟΣ'!R29)</f>
        <v>5.37017017459378E-3</v>
      </c>
      <c r="S29" s="43">
        <f>LN('2.ΤΙΜΕΣ ΚΛΕΙΣΙΜΑΤΟΣ'!S30/'2.ΤΙΜΕΣ ΚΛΕΙΣΙΜΑΤΟΣ'!S29)</f>
        <v>-1.6620881236040407E-2</v>
      </c>
      <c r="T29" s="43">
        <f>LN('2.ΤΙΜΕΣ ΚΛΕΙΣΙΜΑΤΟΣ'!T30/'2.ΤΙΜΕΣ ΚΛΕΙΣΙΜΑΤΟΣ'!T29)</f>
        <v>-2.9705154413915923E-2</v>
      </c>
      <c r="U29" s="43">
        <f>LN('2.ΤΙΜΕΣ ΚΛΕΙΣΙΜΑΤΟΣ'!U30/'2.ΤΙΜΕΣ ΚΛΕΙΣΙΜΑΤΟΣ'!U29)</f>
        <v>0</v>
      </c>
      <c r="V29" s="43">
        <f>LN('2.ΤΙΜΕΣ ΚΛΕΙΣΙΜΑΤΟΣ'!V30/'2.ΤΙΜΕΣ ΚΛΕΙΣΙΜΑΤΟΣ'!V29)</f>
        <v>-9.3897403498390316E-3</v>
      </c>
      <c r="W29" s="43">
        <f>LN('2.ΤΙΜΕΣ ΚΛΕΙΣΙΜΑΤΟΣ'!W30/'2.ΤΙΜΕΣ ΚΛΕΙΣΙΜΑΤΟΣ'!W29)</f>
        <v>-2.4570036930521028E-3</v>
      </c>
      <c r="X29" s="43">
        <f>LN('2.ΤΙΜΕΣ ΚΛΕΙΣΙΜΑΤΟΣ'!X30/'2.ΤΙΜΕΣ ΚΛΕΙΣΙΜΑΤΟΣ'!X29)</f>
        <v>6.1037829380178859E-3</v>
      </c>
      <c r="Y29" s="43">
        <f>LN('2.ΤΙΜΕΣ ΚΛΕΙΣΙΜΑΤΟΣ'!Y30/'2.ΤΙΜΕΣ ΚΛΕΙΣΙΜΑΤΟΣ'!Y29)</f>
        <v>-5.1477552595239513E-2</v>
      </c>
      <c r="Z29" s="43">
        <f>LN('2.ΤΙΜΕΣ ΚΛΕΙΣΙΜΑΤΟΣ'!Z30/'2.ΤΙΜΕΣ ΚΛΕΙΣΙΜΑΤΟΣ'!Z29)</f>
        <v>-3.2670782289548707E-2</v>
      </c>
      <c r="AA29" s="43">
        <f>LN('2.ΤΙΜΕΣ ΚΛΕΙΣΙΜΑΤΟΣ'!AA30/'2.ΤΙΜΕΣ ΚΛΕΙΣΙΜΑΤΟΣ'!AA29)</f>
        <v>4.1237171838621562E-3</v>
      </c>
      <c r="AB29" s="43">
        <f>LN('2.ΤΙΜΕΣ ΚΛΕΙΣΙΜΑΤΟΣ'!AB30/'2.ΤΙΜΕΣ ΚΛΕΙΣΙΜΑΤΟΣ'!AB29)</f>
        <v>-2.6723070140753508E-2</v>
      </c>
      <c r="AC29" s="43">
        <f>LN('2.ΤΙΜΕΣ ΚΛΕΙΣΙΜΑΤΟΣ'!AC30/'2.ΤΙΜΕΣ ΚΛΕΙΣΙΜΑΤΟΣ'!AC29)</f>
        <v>-1.3670542115330011E-3</v>
      </c>
      <c r="AD29" s="43">
        <f>LN('2.ΤΙΜΕΣ ΚΛΕΙΣΙΜΑΤΟΣ'!AD30/'2.ΤΙΜΕΣ ΚΛΕΙΣΙΜΑΤΟΣ'!AD29)</f>
        <v>1.6077516727532843E-2</v>
      </c>
      <c r="AE29" s="43">
        <f>LN('2.ΤΙΜΕΣ ΚΛΕΙΣΙΜΑΤΟΣ'!AE30/'2.ΤΙΜΕΣ ΚΛΕΙΣΙΜΑΤΟΣ'!AE29)</f>
        <v>1.138532222512521E-2</v>
      </c>
      <c r="AF29" s="43">
        <f>LN('2.ΤΙΜΕΣ ΚΛΕΙΣΙΜΑΤΟΣ'!AF30/'2.ΤΙΜΕΣ ΚΛΕΙΣΙΜΑΤΟΣ'!AF29)</f>
        <v>-1.7812175764099776E-2</v>
      </c>
      <c r="AG29" s="43">
        <f>LN('2.ΤΙΜΕΣ ΚΛΕΙΣΙΜΑΤΟΣ'!AG30/'2.ΤΙΜΕΣ ΚΛΕΙΣΙΜΑΤΟΣ'!AG29)</f>
        <v>5.0890695074712281E-3</v>
      </c>
      <c r="AH29" s="43">
        <f>LN('2.ΤΙΜΕΣ ΚΛΕΙΣΙΜΑΤΟΣ'!AH30/'2.ΤΙΜΕΣ ΚΛΕΙΣΙΜΑΤΟΣ'!AH29)</f>
        <v>0</v>
      </c>
      <c r="AI29" s="43">
        <f>LN('2.ΤΙΜΕΣ ΚΛΕΙΣΙΜΑΤΟΣ'!AI30/'2.ΤΙΜΕΣ ΚΛΕΙΣΙΜΑΤΟΣ'!AI29)</f>
        <v>-1.6000341346441075E-2</v>
      </c>
      <c r="AJ29" s="43">
        <f>LN('2.ΤΙΜΕΣ ΚΛΕΙΣΙΜΑΤΟΣ'!AJ30/'2.ΤΙΜΕΣ ΚΛΕΙΣΙΜΑΤΟΣ'!AJ29)</f>
        <v>-9.345862418237658E-3</v>
      </c>
      <c r="AK29" s="43">
        <f>LN('2.ΤΙΜΕΣ ΚΛΕΙΣΙΜΑΤΟΣ'!AK30/'2.ΤΙΜΕΣ ΚΛΕΙΣΙΜΑΤΟΣ'!AK29)</f>
        <v>-1.0309369658861213E-2</v>
      </c>
      <c r="AL29" s="43">
        <f>LN('2.ΤΙΜΕΣ ΚΛΕΙΣΙΜΑΤΟΣ'!AL30/'2.ΤΙΜΕΣ ΚΛΕΙΣΙΜΑΤΟΣ'!AL29)</f>
        <v>-3.4685557987889873E-2</v>
      </c>
      <c r="AM29" s="43">
        <f>LN('2.ΤΙΜΕΣ ΚΛΕΙΣΙΜΑΤΟΣ'!AM30/'2.ΤΙΜΕΣ ΚΛΕΙΣΙΜΑΤΟΣ'!AM29)</f>
        <v>-9.8280889362626512E-3</v>
      </c>
      <c r="AN29" s="43">
        <f>LN('2.ΤΙΜΕΣ ΚΛΕΙΣΙΜΑΤΟΣ'!AN30/'2.ΤΙΜΕΣ ΚΛΕΙΣΙΜΑΤΟΣ'!AN29)</f>
        <v>-9.2450581440511621E-3</v>
      </c>
      <c r="AO29" s="43">
        <f>LN('2.ΤΙΜΕΣ ΚΛΕΙΣΙΜΑΤΟΣ'!AO30/'2.ΤΙΜΕΣ ΚΛΕΙΣΙΜΑΤΟΣ'!AO29)</f>
        <v>-9.8847592325419734E-3</v>
      </c>
      <c r="AP29" s="43">
        <f>LN('2.ΤΙΜΕΣ ΚΛΕΙΣΙΜΑΤΟΣ'!AP30/'2.ΤΙΜΕΣ ΚΛΕΙΣΙΜΑΤΟΣ'!AP29)</f>
        <v>1.7926216268151895E-2</v>
      </c>
      <c r="AQ29" s="43">
        <f>LN('2.ΤΙΜΕΣ ΚΛΕΙΣΙΜΑΤΟΣ'!AQ30/'2.ΤΙΜΕΣ ΚΛΕΙΣΙΜΑΤΟΣ'!AQ29)</f>
        <v>-2.4600258408622E-3</v>
      </c>
      <c r="AR29" s="43">
        <f>LN('2.ΤΙΜΕΣ ΚΛΕΙΣΙΜΑΤΟΣ'!AR30/'2.ΤΙΜΕΣ ΚΛΕΙΣΙΜΑΤΟΣ'!AR29)</f>
        <v>1.1680859612755808E-2</v>
      </c>
      <c r="AS29" s="43">
        <f>LN('2.ΤΙΜΕΣ ΚΛΕΙΣΙΜΑΤΟΣ'!AS30/'2.ΤΙΜΕΣ ΚΛΕΙΣΙΜΑΤΟΣ'!AS29)</f>
        <v>0</v>
      </c>
      <c r="AT29" s="43">
        <f>LN('2.ΤΙΜΕΣ ΚΛΕΙΣΙΜΑΤΟΣ'!AT30/'2.ΤΙΜΕΣ ΚΛΕΙΣΙΜΑΤΟΣ'!AT29)</f>
        <v>-6.7658648473814698E-2</v>
      </c>
      <c r="AU29" s="43">
        <f>LN('2.ΤΙΜΕΣ ΚΛΕΙΣΙΜΑΤΟΣ'!AU30/'2.ΤΙΜΕΣ ΚΛΕΙΣΙΜΑΤΟΣ'!AU29)</f>
        <v>-1.5554925924570773E-2</v>
      </c>
    </row>
    <row r="30" spans="1:47">
      <c r="A30" s="41">
        <v>43599</v>
      </c>
      <c r="B30" s="43">
        <f>LN('2.ΤΙΜΕΣ ΚΛΕΙΣΙΜΑΤΟΣ'!B31/'2.ΤΙΜΕΣ ΚΛΕΙΣΙΜΑΤΟΣ'!B30)</f>
        <v>1.6219150263523049E-2</v>
      </c>
      <c r="C30" s="43">
        <f>LN('2.ΤΙΜΕΣ ΚΛΕΙΣΙΜΑΤΟΣ'!C31/'2.ΤΙΜΕΣ ΚΛΕΙΣΙΜΑΤΟΣ'!C30)</f>
        <v>1.0526412986987603E-2</v>
      </c>
      <c r="D30" s="43">
        <f>LN('2.ΤΙΜΕΣ ΚΛΕΙΣΙΜΑΤΟΣ'!D31/'2.ΤΙΜΕΣ ΚΛΕΙΣΙΜΑΤΟΣ'!D30)</f>
        <v>-1.9409165131132878E-2</v>
      </c>
      <c r="E30" s="43">
        <f>LN('2.ΤΙΜΕΣ ΚΛΕΙΣΙΜΑΤΟΣ'!E31/'2.ΤΙΜΕΣ ΚΛΕΙΣΙΜΑΤΟΣ'!E30)</f>
        <v>-1.29209550074613E-2</v>
      </c>
      <c r="F30" s="43">
        <f>LN('2.ΤΙΜΕΣ ΚΛΕΙΣΙΜΑΤΟΣ'!F31/'2.ΤΙΜΕΣ ΚΛΕΙΣΙΜΑΤΟΣ'!F30)</f>
        <v>1.2570711900511137E-3</v>
      </c>
      <c r="G30" s="43">
        <f>LN('2.ΤΙΜΕΣ ΚΛΕΙΣΙΜΑΤΟΣ'!G31/'2.ΤΙΜΕΣ ΚΛΕΙΣΙΜΑΤΟΣ'!G30)</f>
        <v>2.4479264084779628E-2</v>
      </c>
      <c r="H30" s="43">
        <f>LN('2.ΤΙΜΕΣ ΚΛΕΙΣΙΜΑΤΟΣ'!H31/'2.ΤΙΜΕΣ ΚΛΕΙΣΙΜΑΤΟΣ'!H30)</f>
        <v>-7.9523281904950345E-3</v>
      </c>
      <c r="I30" s="43">
        <f>LN('2.ΤΙΜΕΣ ΚΛΕΙΣΙΜΑΤΟΣ'!I31/'2.ΤΙΜΕΣ ΚΛΕΙΣΙΜΑΤΟΣ'!I30)</f>
        <v>4.4451762570833796E-2</v>
      </c>
      <c r="J30" s="43">
        <f>LN('2.ΤΙΜΕΣ ΚΛΕΙΣΙΜΑΤΟΣ'!J31/'2.ΤΙΜΕΣ ΚΛΕΙΣΙΜΑΤΟΣ'!J30)</f>
        <v>3.277378188652047E-2</v>
      </c>
      <c r="K30" s="43">
        <f>LN('2.ΤΙΜΕΣ ΚΛΕΙΣΙΜΑΤΟΣ'!K31/'2.ΤΙΜΕΣ ΚΛΕΙΣΙΜΑΤΟΣ'!K30)</f>
        <v>1.0878630442396208E-2</v>
      </c>
      <c r="L30" s="43">
        <f>LN('2.ΤΙΜΕΣ ΚΛΕΙΣΙΜΑΤΟΣ'!L31/'2.ΤΙΜΕΣ ΚΛΕΙΣΙΜΑΤΟΣ'!L30)</f>
        <v>1.8448705552333064E-2</v>
      </c>
      <c r="M30" s="43">
        <f>LN('2.ΤΙΜΕΣ ΚΛΕΙΣΙΜΑΤΟΣ'!M31/'2.ΤΙΜΕΣ ΚΛΕΙΣΙΜΑΤΟΣ'!M30)</f>
        <v>-2.1852508437623493E-2</v>
      </c>
      <c r="N30" s="43">
        <f>LN('2.ΤΙΜΕΣ ΚΛΕΙΣΙΜΑΤΟΣ'!N31/'2.ΤΙΜΕΣ ΚΛΕΙΣΙΜΑΤΟΣ'!N30)</f>
        <v>0</v>
      </c>
      <c r="O30" s="43">
        <f>LN('2.ΤΙΜΕΣ ΚΛΕΙΣΙΜΑΤΟΣ'!O31/'2.ΤΙΜΕΣ ΚΛΕΙΣΙΜΑΤΟΣ'!O30)</f>
        <v>3.4782643763247925E-3</v>
      </c>
      <c r="P30" s="43">
        <f>LN('2.ΤΙΜΕΣ ΚΛΕΙΣΙΜΑΤΟΣ'!P31/'2.ΤΙΜΕΣ ΚΛΕΙΣΙΜΑΤΟΣ'!P30)</f>
        <v>9.3410123931386754E-3</v>
      </c>
      <c r="Q30" s="43">
        <f>LN('2.ΤΙΜΕΣ ΚΛΕΙΣΙΜΑΤΟΣ'!Q31/'2.ΤΙΜΕΣ ΚΛΕΙΣΙΜΑΤΟΣ'!Q30)</f>
        <v>3.4257107234982681E-2</v>
      </c>
      <c r="R30" s="43">
        <f>LN('2.ΤΙΜΕΣ ΚΛΕΙΣΙΜΑΤΟΣ'!R31/'2.ΤΙΜΕΣ ΚΛΕΙΣΙΜΑΤΟΣ'!R30)</f>
        <v>-1.9313076143606486E-2</v>
      </c>
      <c r="S30" s="43">
        <f>LN('2.ΤΙΜΕΣ ΚΛΕΙΣΙΜΑΤΟΣ'!S31/'2.ΤΙΜΕΣ ΚΛΕΙΣΙΜΑΤΟΣ'!S30)</f>
        <v>1.2491487894029053E-2</v>
      </c>
      <c r="T30" s="43">
        <f>LN('2.ΤΙΜΕΣ ΚΛΕΙΣΙΜΑΤΟΣ'!T31/'2.ΤΙΜΕΣ ΚΛΕΙΣΙΜΑΤΟΣ'!T30)</f>
        <v>3.132985014091786E-2</v>
      </c>
      <c r="U30" s="43">
        <f>LN('2.ΤΙΜΕΣ ΚΛΕΙΣΙΜΑΤΟΣ'!U31/'2.ΤΙΜΕΣ ΚΛΕΙΣΙΜΑΤΟΣ'!U30)</f>
        <v>1.1911853701532321E-3</v>
      </c>
      <c r="V30" s="43">
        <f>LN('2.ΤΙΜΕΣ ΚΛΕΙΣΙΜΑΤΟΣ'!V31/'2.ΤΙΜΕΣ ΚΛΕΙΣΙΜΑΤΟΣ'!V30)</f>
        <v>1.6374634871790104E-2</v>
      </c>
      <c r="W30" s="43">
        <f>LN('2.ΤΙΜΕΣ ΚΛΕΙΣΙΜΑΤΟΣ'!W31/'2.ΤΙΜΕΣ ΚΛΕΙΣΙΜΑΤΟΣ'!W30)</f>
        <v>-1.6119381879883415E-2</v>
      </c>
      <c r="X30" s="43">
        <f>LN('2.ΤΙΜΕΣ ΚΛΕΙΣΙΜΑΤΟΣ'!X31/'2.ΤΙΜΕΣ ΚΛΕΙΣΙΜΑΤΟΣ'!X30)</f>
        <v>2.946052581900175E-3</v>
      </c>
      <c r="Y30" s="43">
        <f>LN('2.ΤΙΜΕΣ ΚΛΕΙΣΙΜΑΤΟΣ'!Y31/'2.ΤΙΜΕΣ ΚΛΕΙΣΙΜΑΤΟΣ'!Y30)</f>
        <v>1.2210163906931337E-2</v>
      </c>
      <c r="Z30" s="43">
        <f>LN('2.ΤΙΜΕΣ ΚΛΕΙΣΙΜΑΤΟΣ'!Z31/'2.ΤΙΜΕΣ ΚΛΕΙΣΙΜΑΤΟΣ'!Z30)</f>
        <v>1.1009285508369175E-2</v>
      </c>
      <c r="AA30" s="43">
        <f>LN('2.ΤΙΜΕΣ ΚΛΕΙΣΙΜΑΤΟΣ'!AA31/'2.ΤΙΜΕΣ ΚΛΕΙΣΙΜΑΤΟΣ'!AA30)</f>
        <v>2.8399474521697957E-2</v>
      </c>
      <c r="AB30" s="43">
        <f>LN('2.ΤΙΜΕΣ ΚΛΕΙΣΙΜΑΤΟΣ'!AB31/'2.ΤΙΜΕΣ ΚΛΕΙΣΙΜΑΤΟΣ'!AB30)</f>
        <v>5.1948168771041511E-3</v>
      </c>
      <c r="AC30" s="43">
        <f>LN('2.ΤΙΜΕΣ ΚΛΕΙΣΙΜΑΤΟΣ'!AC31/'2.ΤΙΜΕΣ ΚΛΕΙΣΙΜΑΤΟΣ'!AC30)</f>
        <v>0</v>
      </c>
      <c r="AD30" s="43">
        <f>LN('2.ΤΙΜΕΣ ΚΛΕΙΣΙΜΑΤΟΣ'!AD31/'2.ΤΙΜΕΣ ΚΛΕΙΣΙΜΑΤΟΣ'!AD30)</f>
        <v>2.2082916287749315E-2</v>
      </c>
      <c r="AE30" s="43">
        <f>LN('2.ΤΙΜΕΣ ΚΛΕΙΣΙΜΑΤΟΣ'!AE31/'2.ΤΙΜΕΣ ΚΛΕΙΣΙΜΑΤΟΣ'!AE30)</f>
        <v>3.7664827954768648E-3</v>
      </c>
      <c r="AF30" s="43">
        <f>LN('2.ΤΙΜΕΣ ΚΛΕΙΣΙΜΑΤΟΣ'!AF31/'2.ΤΙΜΕΣ ΚΛΕΙΣΙΜΑΤΟΣ'!AF30)</f>
        <v>-9.0264958459720778E-3</v>
      </c>
      <c r="AG30" s="43">
        <f>LN('2.ΤΙΜΕΣ ΚΛΕΙΣΙΜΑΤΟΣ'!AG31/'2.ΤΙΜΕΣ ΚΛΕΙΣΙΜΑΤΟΣ'!AG30)</f>
        <v>1.5113637810048106E-2</v>
      </c>
      <c r="AH30" s="43">
        <f>LN('2.ΤΙΜΕΣ ΚΛΕΙΣΙΜΑΤΟΣ'!AH31/'2.ΤΙΜΕΣ ΚΛΕΙΣΙΜΑΤΟΣ'!AH30)</f>
        <v>0</v>
      </c>
      <c r="AI30" s="43">
        <f>LN('2.ΤΙΜΕΣ ΚΛΕΙΣΙΜΑΤΟΣ'!AI31/'2.ΤΙΜΕΣ ΚΛΕΙΣΙΜΑΤΟΣ'!AI30)</f>
        <v>-1.6260520871780405E-2</v>
      </c>
      <c r="AJ30" s="43">
        <f>LN('2.ΤΙΜΕΣ ΚΛΕΙΣΙΜΑΤΟΣ'!AJ31/'2.ΤΙΜΕΣ ΚΛΕΙΣΙΜΑΤΟΣ'!AJ30)</f>
        <v>-4.3172171865208664E-2</v>
      </c>
      <c r="AK30" s="43">
        <f>LN('2.ΤΙΜΕΣ ΚΛΕΙΣΙΜΑΤΟΣ'!AK31/'2.ΤΙΜΕΣ ΚΛΕΙΣΙΜΑΤΟΣ'!AK30)</f>
        <v>-2.5940351770465356E-3</v>
      </c>
      <c r="AL30" s="43">
        <f>LN('2.ΤΙΜΕΣ ΚΛΕΙΣΙΜΑΤΟΣ'!AL31/'2.ΤΙΜΕΣ ΚΛΕΙΣΙΜΑΤΟΣ'!AL30)</f>
        <v>-1.1834457647002796E-2</v>
      </c>
      <c r="AM30" s="43">
        <f>LN('2.ΤΙΜΕΣ ΚΛΕΙΣΙΜΑΤΟΣ'!AM31/'2.ΤΙΜΕΣ ΚΛΕΙΣΙΜΑΤΟΣ'!AM30)</f>
        <v>-2.4721891453890368E-3</v>
      </c>
      <c r="AN30" s="43">
        <f>LN('2.ΤΙΜΕΣ ΚΛΕΙΣΙΜΑΤΟΣ'!AN31/'2.ΤΙΜΕΣ ΚΛΕΙΣΙΜΑΤΟΣ'!AN30)</f>
        <v>-6.2112000926406357E-3</v>
      </c>
      <c r="AO30" s="43">
        <f>LN('2.ΤΙΜΕΣ ΚΛΕΙΣΙΜΑΤΟΣ'!AO31/'2.ΤΙΜΕΣ ΚΛΕΙΣΙΜΑΤΟΣ'!AO30)</f>
        <v>-2.0067563050809256E-2</v>
      </c>
      <c r="AP30" s="43">
        <f>LN('2.ΤΙΜΕΣ ΚΛΕΙΣΙΜΑΤΟΣ'!AP31/'2.ΤΙΜΕΣ ΚΛΕΙΣΙΜΑΤΟΣ'!AP30)</f>
        <v>-7.2780525048529131E-3</v>
      </c>
      <c r="AQ30" s="43">
        <f>LN('2.ΤΙΜΕΣ ΚΛΕΙΣΙΜΑΤΟΣ'!AQ31/'2.ΤΙΜΕΣ ΚΛΕΙΣΙΜΑΤΟΣ'!AQ30)</f>
        <v>-8.6580627431145415E-3</v>
      </c>
      <c r="AR30" s="43">
        <f>LN('2.ΤΙΜΕΣ ΚΛΕΙΣΙΜΑΤΟΣ'!AR31/'2.ΤΙΜΕΣ ΚΛΕΙΣΙΜΑΤΟΣ'!AR30)</f>
        <v>0</v>
      </c>
      <c r="AS30" s="43">
        <f>LN('2.ΤΙΜΕΣ ΚΛΕΙΣΙΜΑΤΟΣ'!AS31/'2.ΤΙΜΕΣ ΚΛΕΙΣΙΜΑΤΟΣ'!AS30)</f>
        <v>1.7391742711869239E-2</v>
      </c>
      <c r="AT30" s="43">
        <f>LN('2.ΤΙΜΕΣ ΚΛΕΙΣΙΜΑΤΟΣ'!AT31/'2.ΤΙΜΕΣ ΚΛΕΙΣΙΜΑΤΟΣ'!AT30)</f>
        <v>-3.8221212820197741E-2</v>
      </c>
      <c r="AU30" s="43">
        <f>LN('2.ΤΙΜΕΣ ΚΛΕΙΣΙΜΑΤΟΣ'!AU31/'2.ΤΙΜΕΣ ΚΛΕΙΣΙΜΑΤΟΣ'!AU30)</f>
        <v>1.0173698146772469E-2</v>
      </c>
    </row>
    <row r="31" spans="1:47">
      <c r="A31" s="41">
        <v>43600</v>
      </c>
      <c r="B31" s="43">
        <f>LN('2.ΤΙΜΕΣ ΚΛΕΙΣΙΜΑΤΟΣ'!B32/'2.ΤΙΜΕΣ ΚΛΕΙΣΙΜΑΤΟΣ'!B31)</f>
        <v>5.9758001387313726E-3</v>
      </c>
      <c r="C31" s="43">
        <f>LN('2.ΤΙΜΕΣ ΚΛΕΙΣΙΜΑΤΟΣ'!C32/'2.ΤΙΜΕΣ ΚΛΕΙΣΙΜΑΤΟΣ'!C31)</f>
        <v>-9.6449673591819558E-3</v>
      </c>
      <c r="D31" s="43">
        <f>LN('2.ΤΙΜΕΣ ΚΛΕΙΣΙΜΑΤΟΣ'!D32/'2.ΤΙΜΕΣ ΚΛΕΙΣΙΜΑΤΟΣ'!D31)</f>
        <v>-2.9420808747892629E-2</v>
      </c>
      <c r="E31" s="43">
        <f>LN('2.ΤΙΜΕΣ ΚΛΕΙΣΙΜΑΤΟΣ'!E32/'2.ΤΙΜΕΣ ΚΛΕΙΣΙΜΑΤΟΣ'!E31)</f>
        <v>-1.3783815751177337E-2</v>
      </c>
      <c r="F31" s="43">
        <f>LN('2.ΤΙΜΕΣ ΚΛΕΙΣΙΜΑΤΟΣ'!F32/'2.ΤΙΜΕΣ ΚΛΕΙΣΙΜΑΤΟΣ'!F31)</f>
        <v>-4.3652630157736759E-2</v>
      </c>
      <c r="G31" s="43">
        <f>LN('2.ΤΙΜΕΣ ΚΛΕΙΣΙΜΑΤΟΣ'!G32/'2.ΤΙΜΕΣ ΚΛΕΙΣΙΜΑΤΟΣ'!G31)</f>
        <v>1.2721019601310861E-2</v>
      </c>
      <c r="H31" s="43">
        <f>LN('2.ΤΙΜΕΣ ΚΛΕΙΣΙΜΑΤΟΣ'!H32/'2.ΤΙΜΕΣ ΚΛΕΙΣΙΜΑΤΟΣ'!H31)</f>
        <v>-1.7111640472721231E-2</v>
      </c>
      <c r="I31" s="43">
        <f>LN('2.ΤΙΜΕΣ ΚΛΕΙΣΙΜΑΤΟΣ'!I32/'2.ΤΙΜΕΣ ΚΛΕΙΣΙΜΑΤΟΣ'!I31)</f>
        <v>-3.3765265474448053E-2</v>
      </c>
      <c r="J31" s="43">
        <f>LN('2.ΤΙΜΕΣ ΚΛΕΙΣΙΜΑΤΟΣ'!J32/'2.ΤΙΜΕΣ ΚΛΕΙΣΙΜΑΤΟΣ'!J31)</f>
        <v>-1.7966008849327898E-2</v>
      </c>
      <c r="K31" s="43">
        <f>LN('2.ΤΙΜΕΣ ΚΛΕΙΣΙΜΑΤΟΣ'!K32/'2.ΤΙΜΕΣ ΚΛΕΙΣΙΜΑΤΟΣ'!K31)</f>
        <v>-1.5529801618126926E-2</v>
      </c>
      <c r="L31" s="43">
        <f>LN('2.ΤΙΜΕΣ ΚΛΕΙΣΙΜΑΤΟΣ'!L32/'2.ΤΙΜΕΣ ΚΛΕΙΣΙΜΑΤΟΣ'!L31)</f>
        <v>-3.1124543503929656E-2</v>
      </c>
      <c r="M31" s="43">
        <f>LN('2.ΤΙΜΕΣ ΚΛΕΙΣΙΜΑΤΟΣ'!M32/'2.ΤΙΜΕΣ ΚΛΕΙΣΙΜΑΤΟΣ'!M31)</f>
        <v>-1.996543124569793E-2</v>
      </c>
      <c r="N31" s="43">
        <f>LN('2.ΤΙΜΕΣ ΚΛΕΙΣΙΜΑΤΟΣ'!N32/'2.ΤΙΜΕΣ ΚΛΕΙΣΙΜΑΤΟΣ'!N31)</f>
        <v>-1.0582109330536972E-2</v>
      </c>
      <c r="O31" s="43">
        <f>LN('2.ΤΙΜΕΣ ΚΛΕΙΣΙΜΑΤΟΣ'!O32/'2.ΤΙΜΕΣ ΚΛΕΙΣΙΜΑΤΟΣ'!O31)</f>
        <v>1.0362787035546658E-2</v>
      </c>
      <c r="P31" s="43">
        <f>LN('2.ΤΙΜΕΣ ΚΛΕΙΣΙΜΑΤΟΣ'!P32/'2.ΤΙΜΕΣ ΚΛΕΙΣΙΜΑΤΟΣ'!P31)</f>
        <v>-6.2176366108705619E-3</v>
      </c>
      <c r="Q31" s="43">
        <f>LN('2.ΤΙΜΕΣ ΚΛΕΙΣΙΜΑΤΟΣ'!Q32/'2.ΤΙΜΕΣ ΚΛΕΙΣΙΜΑΤΟΣ'!Q31)</f>
        <v>-2.4349029010286613E-2</v>
      </c>
      <c r="R31" s="43">
        <f>LN('2.ΤΙΜΕΣ ΚΛΕΙΣΙΜΑΤΟΣ'!R32/'2.ΤΙΜΕΣ ΚΛΕΙΣΙΜΑΤΟΣ'!R31)</f>
        <v>-1.5612805669524645E-3</v>
      </c>
      <c r="S31" s="43">
        <f>LN('2.ΤΙΜΕΣ ΚΛΕΙΣΙΜΑΤΟΣ'!S32/'2.ΤΙΜΕΣ ΚΛΕΙΣΙΜΑΤΟΣ'!S31)</f>
        <v>-5.5325175697256666E-3</v>
      </c>
      <c r="T31" s="43">
        <f>LN('2.ΤΙΜΕΣ ΚΛΕΙΣΙΜΑΤΟΣ'!T32/'2.ΤΙΜΕΣ ΚΛΕΙΣΙΜΑΤΟΣ'!T31)</f>
        <v>-4.312442663375457E-2</v>
      </c>
      <c r="U31" s="43">
        <f>LN('2.ΤΙΜΕΣ ΚΛΕΙΣΙΜΑΤΟΣ'!U32/'2.ΤΙΜΕΣ ΚΛΕΙΣΙΜΑΤΟΣ'!U31)</f>
        <v>-2.3837913552762504E-3</v>
      </c>
      <c r="V31" s="43">
        <f>LN('2.ΤΙΜΕΣ ΚΛΕΙΣΙΜΑΤΟΣ'!V32/'2.ΤΙΜΕΣ ΚΛΕΙΣΙΜΑΤΟΣ'!V31)</f>
        <v>-2.5853378826333782E-2</v>
      </c>
      <c r="W31" s="43">
        <f>LN('2.ΤΙΜΕΣ ΚΛΕΙΣΙΜΑΤΟΣ'!W32/'2.ΤΙΜΕΣ ΚΛΕΙΣΙΜΑΤΟΣ'!W31)</f>
        <v>-3.7570488777122881E-3</v>
      </c>
      <c r="X31" s="43">
        <f>LN('2.ΤΙΜΕΣ ΚΛΕΙΣΙΜΑΤΟΣ'!X32/'2.ΤΙΜΕΣ ΚΛΕΙΣΙΜΑΤΟΣ'!X31)</f>
        <v>0</v>
      </c>
      <c r="Y31" s="43">
        <f>LN('2.ΤΙΜΕΣ ΚΛΕΙΣΙΜΑΤΟΣ'!Y32/'2.ΤΙΜΕΣ ΚΛΕΙΣΙΜΑΤΟΣ'!Y31)</f>
        <v>4.8426244757879908E-3</v>
      </c>
      <c r="Z31" s="43">
        <f>LN('2.ΤΙΜΕΣ ΚΛΕΙΣΙΜΑΤΟΣ'!Z32/'2.ΤΙΜΕΣ ΚΛΕΙΣΙΜΑΤΟΣ'!Z31)</f>
        <v>-3.6563112031104319E-3</v>
      </c>
      <c r="AA31" s="43">
        <f>LN('2.ΤΙΜΕΣ ΚΛΕΙΣΙΜΑΤΟΣ'!AA32/'2.ΤΙΜΕΣ ΚΛΕΙΣΙΜΑΤΟΣ'!AA31)</f>
        <v>-1.2072581234269249E-2</v>
      </c>
      <c r="AB31" s="43">
        <f>LN('2.ΤΙΜΕΣ ΚΛΕΙΣΙΜΑΤΟΣ'!AB32/'2.ΤΙΜΕΣ ΚΛΕΙΣΙΜΑΤΟΣ'!AB31)</f>
        <v>-3.2651663110143357E-2</v>
      </c>
      <c r="AC31" s="43">
        <f>LN('2.ΤΙΜΕΣ ΚΛΕΙΣΙΜΑΤΟΣ'!AC32/'2.ΤΙΜΕΣ ΚΛΕΙΣΙΜΑΤΟΣ'!AC31)</f>
        <v>-1.3689256073417322E-3</v>
      </c>
      <c r="AD31" s="43">
        <f>LN('2.ΤΙΜΕΣ ΚΛΕΙΣΙΜΑΤΟΣ'!AD32/'2.ΤΙΜΕΣ ΚΛΕΙΣΙΜΑΤΟΣ'!AD31)</f>
        <v>-1.7309637535091731E-2</v>
      </c>
      <c r="AE31" s="43">
        <f>LN('2.ΤΙΜΕΣ ΚΛΕΙΣΙΜΑΤΟΣ'!AE32/'2.ΤΙΜΕΣ ΚΛΕΙΣΙΜΑΤΟΣ'!AE31)</f>
        <v>-7.5472056353829663E-3</v>
      </c>
      <c r="AF31" s="43">
        <f>LN('2.ΤΙΜΕΣ ΚΛΕΙΣΙΜΑΤΟΣ'!AF32/'2.ΤΙΜΕΣ ΚΛΕΙΣΙΜΑΤΟΣ'!AF31)</f>
        <v>-2.4919322224882568E-2</v>
      </c>
      <c r="AG31" s="43">
        <f>LN('2.ΤΙΜΕΣ ΚΛΕΙΣΙΜΑΤΟΣ'!AG32/'2.ΤΙΜΕΣ ΚΛΕΙΣΙΜΑΤΟΣ'!AG31)</f>
        <v>-2.0202707317519466E-2</v>
      </c>
      <c r="AH31" s="43">
        <f>LN('2.ΤΙΜΕΣ ΚΛΕΙΣΙΜΑΤΟΣ'!AH32/'2.ΤΙΜΕΣ ΚΛΕΙΣΙΜΑΤΟΣ'!AH31)</f>
        <v>0</v>
      </c>
      <c r="AI31" s="43">
        <f>LN('2.ΤΙΜΕΣ ΚΛΕΙΣΙΜΑΤΟΣ'!AI32/'2.ΤΙΜΕΣ ΚΛΕΙΣΙΜΑΤΟΣ'!AI31)</f>
        <v>1.6260520871780326E-2</v>
      </c>
      <c r="AJ31" s="43">
        <f>LN('2.ΤΙΜΕΣ ΚΛΕΙΣΙΜΑΤΟΣ'!AJ32/'2.ΤΙΜΕΣ ΚΛΕΙΣΙΜΑΤΟΣ'!AJ31)</f>
        <v>-2.481516911972402E-2</v>
      </c>
      <c r="AK31" s="43">
        <f>LN('2.ΤΙΜΕΣ ΚΛΕΙΣΙΜΑΤΟΣ'!AK32/'2.ΤΙΜΕΣ ΚΛΕΙΣΙΜΑΤΟΣ'!AK31)</f>
        <v>-2.365419089788983E-2</v>
      </c>
      <c r="AL31" s="43">
        <f>LN('2.ΤΙΜΕΣ ΚΛΕΙΣΙΜΑΤΟΣ'!AL32/'2.ΤΙΜΕΣ ΚΛΕΙΣΙΜΑΤΟΣ'!AL31)</f>
        <v>0</v>
      </c>
      <c r="AM31" s="43">
        <f>LN('2.ΤΙΜΕΣ ΚΛΕΙΣΙΜΑΤΟΣ'!AM32/'2.ΤΙΜΕΣ ΚΛΕΙΣΙΜΑΤΟΣ'!AM31)</f>
        <v>-2.2529113060028222E-2</v>
      </c>
      <c r="AN31" s="43">
        <f>LN('2.ΤΙΜΕΣ ΚΛΕΙΣΙΜΑΤΟΣ'!AN32/'2.ΤΙΜΕΣ ΚΛΕΙΣΙΜΑΤΟΣ'!AN31)</f>
        <v>-1.8868484304382805E-2</v>
      </c>
      <c r="AO31" s="43">
        <f>LN('2.ΤΙΜΕΣ ΚΛΕΙΣΙΜΑΤΟΣ'!AO32/'2.ΤΙΜΕΣ ΚΛΕΙΣΙΜΑΤΟΣ'!AO31)</f>
        <v>-6.7796869853788038E-3</v>
      </c>
      <c r="AP31" s="43">
        <f>LN('2.ΤΙΜΕΣ ΚΛΕΙΣΙΜΑΤΟΣ'!AP32/'2.ΤΙΜΕΣ ΚΛΕΙΣΙΜΑΤΟΣ'!AP31)</f>
        <v>6.6408575731675468E-2</v>
      </c>
      <c r="AQ31" s="43">
        <f>LN('2.ΤΙΜΕΣ ΚΛΕΙΣΙΜΑΤΟΣ'!AQ32/'2.ΤΙΜΕΣ ΚΛΕΙΣΙΜΑΤΟΣ'!AQ31)</f>
        <v>-2.3885484989356848E-2</v>
      </c>
      <c r="AR31" s="43">
        <f>LN('2.ΤΙΜΕΣ ΚΛΕΙΣΙΜΑΤΟΣ'!AR32/'2.ΤΙΜΕΣ ΚΛΕΙΣΙΜΑΤΟΣ'!AR31)</f>
        <v>6.252035698133393E-2</v>
      </c>
      <c r="AS31" s="43">
        <f>LN('2.ΤΙΜΕΣ ΚΛΕΙΣΙΜΑΤΟΣ'!AS32/'2.ΤΙΜΕΣ ΚΛΕΙΣΙΜΑΤΟΣ'!AS31)</f>
        <v>-4.3196611445162842E-3</v>
      </c>
      <c r="AT31" s="43">
        <f>LN('2.ΤΙΜΕΣ ΚΛΕΙΣΙΜΑΤΟΣ'!AT32/'2.ΤΙΜΕΣ ΚΛΕΙΣΙΜΑΤΟΣ'!AT31)</f>
        <v>-8.3946421154009798E-2</v>
      </c>
      <c r="AU31" s="43">
        <f>LN('2.ΤΙΜΕΣ ΚΛΕΙΣΙΜΑΤΟΣ'!AU32/'2.ΤΙΜΕΣ ΚΛΕΙΣΙΜΑΤΟΣ'!AU31)</f>
        <v>-1.2619244535659329E-2</v>
      </c>
    </row>
    <row r="32" spans="1:47">
      <c r="A32" s="41">
        <v>43601</v>
      </c>
      <c r="B32" s="43">
        <f>LN('2.ΤΙΜΕΣ ΚΛΕΙΣΙΜΑΤΟΣ'!B33/'2.ΤΙΜΕΣ ΚΛΕΙΣΙΜΑΤΟΣ'!B32)</f>
        <v>6.2519740997994035E-3</v>
      </c>
      <c r="C32" s="43">
        <f>LN('2.ΤΙΜΕΣ ΚΛΕΙΣΙΜΑΤΟΣ'!C33/'2.ΤΙΜΕΣ ΚΛΕΙΣΙΜΑΤΟΣ'!C32)</f>
        <v>-1.7636688874967041E-3</v>
      </c>
      <c r="D32" s="43">
        <f>LN('2.ΤΙΜΕΣ ΚΛΕΙΣΙΜΑΤΟΣ'!D33/'2.ΤΙΜΕΣ ΚΛΕΙΣΙΜΑΤΟΣ'!D32)</f>
        <v>-3.5893793023571946E-3</v>
      </c>
      <c r="E32" s="43">
        <f>LN('2.ΤΙΜΕΣ ΚΛΕΙΣΙΜΑΤΟΣ'!E33/'2.ΤΙΜΕΣ ΚΛΕΙΣΙΜΑΤΟΣ'!E32)</f>
        <v>6.2262394150978777E-3</v>
      </c>
      <c r="F32" s="43">
        <f>LN('2.ΤΙΜΕΣ ΚΛΕΙΣΙΜΑΤΟΣ'!F33/'2.ΤΙΜΕΣ ΚΛΕΙΣΙΜΑΤΟΣ'!F32)</f>
        <v>1.0443959161083314E-2</v>
      </c>
      <c r="G32" s="43">
        <f>LN('2.ΤΙΜΕΣ ΚΛΕΙΣΙΜΑΤΟΣ'!G33/'2.ΤΙΜΕΣ ΚΛΕΙΣΙΜΑΤΟΣ'!G32)</f>
        <v>-4.2223848798482498E-3</v>
      </c>
      <c r="H32" s="43">
        <f>LN('2.ΤΙΜΕΣ ΚΛΕΙΣΙΜΑΤΟΣ'!H33/'2.ΤΙΜΕΣ ΚΛΕΙΣΙΜΑΤΟΣ'!H32)</f>
        <v>1.1105616412509451E-2</v>
      </c>
      <c r="I32" s="43">
        <f>LN('2.ΤΙΜΕΣ ΚΛΕΙΣΙΜΑΤΟΣ'!I33/'2.ΤΙΜΕΣ ΚΛΕΙΣΙΜΑΤΟΣ'!I32)</f>
        <v>-1.636661576467626E-3</v>
      </c>
      <c r="J32" s="43">
        <f>LN('2.ΤΙΜΕΣ ΚΛΕΙΣΙΜΑΤΟΣ'!J33/'2.ΤΙΜΕΣ ΚΛΕΙΣΙΜΑΤΟΣ'!J32)</f>
        <v>3.4195482016307309E-2</v>
      </c>
      <c r="K32" s="43">
        <f>LN('2.ΤΙΜΕΣ ΚΛΕΙΣΙΜΑΤΟΣ'!K33/'2.ΤΙΜΕΣ ΚΛΕΙΣΙΜΑΤΟΣ'!K32)</f>
        <v>9.2808090744727831E-3</v>
      </c>
      <c r="L32" s="43">
        <f>LN('2.ΤΙΜΕΣ ΚΛΕΙΣΙΜΑΤΟΣ'!L33/'2.ΤΙΜΕΣ ΚΛΕΙΣΙΜΑΤΟΣ'!L32)</f>
        <v>-1.6652793190613201E-3</v>
      </c>
      <c r="M32" s="43">
        <f>LN('2.ΤΙΜΕΣ ΚΛΕΙΣΙΜΑΤΟΣ'!M33/'2.ΤΙΜΕΣ ΚΛΕΙΣΙΜΑΤΟΣ'!M32)</f>
        <v>1.4134510934904934E-2</v>
      </c>
      <c r="N32" s="43">
        <f>LN('2.ΤΙΜΕΣ ΚΛΕΙΣΙΜΑΤΟΣ'!N33/'2.ΤΙΜΕΣ ΚΛΕΙΣΙΜΑΤΟΣ'!N32)</f>
        <v>1.0582109330537008E-2</v>
      </c>
      <c r="O32" s="43">
        <f>LN('2.ΤΙΜΕΣ ΚΛΕΙΣΙΜΑΤΟΣ'!O33/'2.ΤΙΜΕΣ ΚΛΕΙΣΙΜΑΤΟΣ'!O32)</f>
        <v>-3.4423441909729015E-3</v>
      </c>
      <c r="P32" s="43">
        <f>LN('2.ΤΙΜΕΣ ΚΛΕΙΣΙΜΑΤΟΣ'!P33/'2.ΤΙΜΕΣ ΚΛΕΙΣΙΜΑΤΟΣ'!P32)</f>
        <v>-1.255246607111986E-2</v>
      </c>
      <c r="Q32" s="43">
        <f>LN('2.ΤΙΜΕΣ ΚΛΕΙΣΙΜΑΤΟΣ'!Q33/'2.ΤΙΜΕΣ ΚΛΕΙΣΙΜΑΤΟΣ'!Q32)</f>
        <v>4.2164503789348254E-3</v>
      </c>
      <c r="R32" s="43">
        <f>LN('2.ΤΙΜΕΣ ΚΛΕΙΣΙΜΑΤΟΣ'!R33/'2.ΤΙΜΕΣ ΚΛΕΙΣΙΜΑΤΟΣ'!R32)</f>
        <v>0</v>
      </c>
      <c r="S32" s="43">
        <f>LN('2.ΤΙΜΕΣ ΚΛΕΙΣΙΜΑΤΟΣ'!S33/'2.ΤΙΜΕΣ ΚΛΕΙΣΙΜΑΤΟΣ'!S32)</f>
        <v>-5.5632966853287153E-3</v>
      </c>
      <c r="T32" s="43">
        <f>LN('2.ΤΙΜΕΣ ΚΛΕΙΣΙΜΑΤΟΣ'!T33/'2.ΤΙΜΕΣ ΚΛΕΙΣΙΜΑΤΟΣ'!T32)</f>
        <v>-3.3955890011382718E-3</v>
      </c>
      <c r="U32" s="43">
        <f>LN('2.ΤΙΜΕΣ ΚΛΕΙΣΙΜΑΤΟΣ'!U33/'2.ΤΙΜΕΣ ΚΛΕΙΣΙΜΑΤΟΣ'!U32)</f>
        <v>3.4020876298458812E-2</v>
      </c>
      <c r="V32" s="43">
        <f>LN('2.ΤΙΜΕΣ ΚΛΕΙΣΙΜΑΤΟΣ'!V33/'2.ΤΙΜΕΣ ΚΛΕΙΣΙΜΑΤΟΣ'!V32)</f>
        <v>1.8868484304382736E-2</v>
      </c>
      <c r="W32" s="43">
        <f>LN('2.ΤΙΜΕΣ ΚΛΕΙΣΙΜΑΤΟΣ'!W33/'2.ΤΙΜΕΣ ΚΛΕΙΣΙΜΑΤΟΣ'!W32)</f>
        <v>-1.3897886361008438E-2</v>
      </c>
      <c r="X32" s="43">
        <f>LN('2.ΤΙΜΕΣ ΚΛΕΙΣΙΜΑΤΟΣ'!X33/'2.ΤΙΜΕΣ ΚΛΕΙΣΙΜΑΤΟΣ'!X32)</f>
        <v>2.0743101818646505E-2</v>
      </c>
      <c r="Y32" s="43">
        <f>LN('2.ΤΙΜΕΣ ΚΛΕΙΣΙΜΑΤΟΣ'!Y33/'2.ΤΙΜΕΣ ΚΛΕΙΣΙΜΑΤΟΣ'!Y32)</f>
        <v>-1.7052788382719244E-2</v>
      </c>
      <c r="Z32" s="43">
        <f>LN('2.ΤΙΜΕΣ ΚΛΕΙΣΙΜΑΤΟΣ'!Z33/'2.ΤΙΜΕΣ ΚΛΕΙΣΙΜΑΤΟΣ'!Z32)</f>
        <v>0</v>
      </c>
      <c r="AA32" s="43">
        <f>LN('2.ΤΙΜΕΣ ΚΛΕΙΣΙΜΑΤΟΣ'!AA33/'2.ΤΙΜΕΣ ΚΛΕΙΣΙΜΑΤΟΣ'!AA32)</f>
        <v>8.0645598367304946E-3</v>
      </c>
      <c r="AB32" s="43">
        <f>LN('2.ΤΙΜΕΣ ΚΛΕΙΣΙΜΑΤΟΣ'!AB33/'2.ΤΙΜΕΣ ΚΛΕΙΣΙΜΑΤΟΣ'!AB32)</f>
        <v>7.4667013565370699E-3</v>
      </c>
      <c r="AC32" s="43">
        <f>LN('2.ΤΙΜΕΣ ΚΛΕΙΣΙΜΑΤΟΣ'!AC33/'2.ΤΙΜΕΣ ΚΛΕΙΣΙΜΑΤΟΣ'!AC32)</f>
        <v>0</v>
      </c>
      <c r="AD32" s="43">
        <f>LN('2.ΤΙΜΕΣ ΚΛΕΙΣΙΜΑΤΟΣ'!AD33/'2.ΤΙΜΕΣ ΚΛΕΙΣΙΜΑΤΟΣ'!AD32)</f>
        <v>-4.7732787526576599E-3</v>
      </c>
      <c r="AE32" s="43">
        <f>LN('2.ΤΙΜΕΣ ΚΛΕΙΣΙΜΑΤΟΣ'!AE33/'2.ΤΙΜΕΣ ΚΛΕΙΣΙΜΑΤΟΣ'!AE32)</f>
        <v>-3.077165866675366E-2</v>
      </c>
      <c r="AF32" s="43">
        <f>LN('2.ΤΙΜΕΣ ΚΛΕΙΣΙΜΑΤΟΣ'!AF33/'2.ΤΙΜΕΣ ΚΛΕΙΣΙΜΑΤΟΣ'!AF32)</f>
        <v>1.1881327886752686E-2</v>
      </c>
      <c r="AG32" s="43">
        <f>LN('2.ΤΙΜΕΣ ΚΛΕΙΣΙΜΑΤΟΣ'!AG33/'2.ΤΙΜΕΣ ΚΛΕΙΣΙΜΑΤΟΣ'!AG32)</f>
        <v>5.0890695074712281E-3</v>
      </c>
      <c r="AH32" s="43">
        <f>LN('2.ΤΙΜΕΣ ΚΛΕΙΣΙΜΑΤΟΣ'!AH33/'2.ΤΙΜΕΣ ΚΛΕΙΣΙΜΑΤΟΣ'!AH32)</f>
        <v>0</v>
      </c>
      <c r="AI32" s="43">
        <f>LN('2.ΤΙΜΕΣ ΚΛΕΙΣΙΜΑΤΟΣ'!AI33/'2.ΤΙΜΕΣ ΚΛΕΙΣΙΜΑΤΟΣ'!AI32)</f>
        <v>-2.449102000829587E-2</v>
      </c>
      <c r="AJ32" s="43">
        <f>LN('2.ΤΙΜΕΣ ΚΛΕΙΣΙΜΑΤΟΣ'!AJ33/'2.ΤΙΜΕΣ ΚΛΕΙΣΙΜΑΤΟΣ'!AJ32)</f>
        <v>2.4815169119723993E-2</v>
      </c>
      <c r="AK32" s="43">
        <f>LN('2.ΤΙΜΕΣ ΚΛΕΙΣΙΜΑΤΟΣ'!AK33/'2.ΤΙΜΕΣ ΚΛΕΙΣΙΜΑΤΟΣ'!AK32)</f>
        <v>0</v>
      </c>
      <c r="AL32" s="43">
        <f>LN('2.ΤΙΜΕΣ ΚΛΕΙΣΙΜΑΤΟΣ'!AL33/'2.ΤΙΜΕΣ ΚΛΕΙΣΙΜΑΤΟΣ'!AL32)</f>
        <v>0</v>
      </c>
      <c r="AM32" s="43">
        <f>LN('2.ΤΙΜΕΣ ΚΛΕΙΣΙΜΑΤΟΣ'!AM33/'2.ΤΙΜΕΣ ΚΛΕΙΣΙΜΑΤΟΣ'!AM32)</f>
        <v>-2.5348556031880663E-3</v>
      </c>
      <c r="AN32" s="43">
        <f>LN('2.ΤΙΜΕΣ ΚΛΕΙΣΙΜΑΤΟΣ'!AN33/'2.ΤΙΜΕΣ ΚΛΕΙΣΙΜΑΤΟΣ'!AN32)</f>
        <v>3.1695747612790395E-3</v>
      </c>
      <c r="AO32" s="43">
        <f>LN('2.ΤΙΜΕΣ ΚΛΕΙΣΙΜΑΤΟΣ'!AO33/'2.ΤΙΜΕΣ ΚΛΕΙΣΙΜΑΤΟΣ'!AO32)</f>
        <v>0</v>
      </c>
      <c r="AP32" s="43">
        <f>LN('2.ΤΙΜΕΣ ΚΛΕΙΣΙΜΑΤΟΣ'!AP33/'2.ΤΙΜΕΣ ΚΛΕΙΣΙΜΑΤΟΣ'!AP32)</f>
        <v>-1.3764842246253477E-2</v>
      </c>
      <c r="AQ32" s="43">
        <f>LN('2.ΤΙΜΕΣ ΚΛΕΙΣΙΜΑΤΟΣ'!AQ33/'2.ΤΙΜΕΣ ΚΛΕΙΣΙΜΑΤΟΣ'!AQ32)</f>
        <v>-1.4093763075859592E-2</v>
      </c>
      <c r="AR32" s="43">
        <f>LN('2.ΤΙΜΕΣ ΚΛΕΙΣΙΜΑΤΟΣ'!AR33/'2.ΤΙΜΕΣ ΚΛΕΙΣΙΜΑΤΟΣ'!AR32)</f>
        <v>1.68273201325253E-2</v>
      </c>
      <c r="AS32" s="43">
        <f>LN('2.ΤΙΜΕΣ ΚΛΕΙΣΙΜΑΤΟΣ'!AS33/'2.ΤΙΜΕΣ ΚΛΕΙΣΙΜΑΤΟΣ'!AS32)</f>
        <v>4.3196611445163796E-3</v>
      </c>
      <c r="AT32" s="43">
        <f>LN('2.ΤΙΜΕΣ ΚΛΕΙΣΙΜΑΤΟΣ'!AT33/'2.ΤΙΜΕΣ ΚΛΕΙΣΙΜΑΤΟΣ'!AT32)</f>
        <v>1.123607326692597E-2</v>
      </c>
      <c r="AU32" s="43">
        <f>LN('2.ΤΙΜΕΣ ΚΛΕΙΣΙΜΑΤΟΣ'!AU33/'2.ΤΙΜΕΣ ΚΛΕΙΣΙΜΑΤΟΣ'!AU32)</f>
        <v>5.0090142608815603E-3</v>
      </c>
    </row>
    <row r="33" spans="1:47">
      <c r="A33" s="41">
        <v>43602</v>
      </c>
      <c r="B33" s="43">
        <f>LN('2.ΤΙΜΕΣ ΚΛΕΙΣΙΜΑΤΟΣ'!B34/'2.ΤΙΜΕΣ ΚΛΕΙΣΙΜΑΤΟΣ'!B33)</f>
        <v>1.6687655483463744E-2</v>
      </c>
      <c r="C33" s="43">
        <f>LN('2.ΤΙΜΕΣ ΚΛΕΙΣΙΜΑΤΟΣ'!C34/'2.ΤΙΜΕΣ ΚΛΕΙΣΙΜΑΤΟΣ'!C33)</f>
        <v>1.7636688874967138E-3</v>
      </c>
      <c r="D33" s="43">
        <f>LN('2.ΤΙΜΕΣ ΚΛΕΙΣΙΜΑΤΟΣ'!D34/'2.ΤΙΜΕΣ ΚΛΕΙΣΙΜΑΤΟΣ'!D33)</f>
        <v>7.7607696547124707E-3</v>
      </c>
      <c r="E33" s="43">
        <f>LN('2.ΤΙΜΕΣ ΚΛΕΙΣΙΜΑΤΟΣ'!E34/'2.ΤΙΜΕΣ ΚΛΕΙΣΙΜΑΤΟΣ'!E33)</f>
        <v>1.709443335930004E-2</v>
      </c>
      <c r="F33" s="43">
        <f>LN('2.ΤΙΜΕΣ ΚΛΕΙΣΙΜΑΤΟΣ'!F34/'2.ΤΙΜΕΣ ΚΛΕΙΣΙΜΑΤΟΣ'!F33)</f>
        <v>1.6742181143073628E-2</v>
      </c>
      <c r="G33" s="43">
        <f>LN('2.ΤΙΜΕΣ ΚΛΕΙΣΙΜΑΤΟΣ'!G34/'2.ΤΙΜΕΣ ΚΛΕΙΣΙΜΑΤΟΣ'!G33)</f>
        <v>9.8246404285181003E-3</v>
      </c>
      <c r="H33" s="43">
        <f>LN('2.ΤΙΜΕΣ ΚΛΕΙΣΙΜΑΤΟΣ'!H34/'2.ΤΙΜΕΣ ΚΛΕΙΣΙΜΑΤΟΣ'!H33)</f>
        <v>-1.0045204260055874E-3</v>
      </c>
      <c r="I33" s="43">
        <f>LN('2.ΤΙΜΕΣ ΚΛΕΙΣΙΜΑΤΟΣ'!I34/'2.ΤΙΜΕΣ ΚΛΕΙΣΙΜΑΤΟΣ'!I33)</f>
        <v>-8.1933638340250001E-4</v>
      </c>
      <c r="J33" s="43">
        <f>LN('2.ΤΙΜΕΣ ΚΛΕΙΣΙΜΑΤΟΣ'!J34/'2.ΤΙΜΕΣ ΚΛΕΙΣΙΜΑΤΟΣ'!J33)</f>
        <v>-1.0949883269586394E-2</v>
      </c>
      <c r="K33" s="43">
        <f>LN('2.ΤΙΜΕΣ ΚΛΕΙΣΙΜΑΤΟΣ'!K34/'2.ΤΙΜΕΣ ΚΛΕΙΣΙΜΑΤΟΣ'!K33)</f>
        <v>1.648261457717386E-3</v>
      </c>
      <c r="L33" s="43">
        <f>LN('2.ΤΙΜΕΣ ΚΛΕΙΣΙΜΑΤΟΣ'!L34/'2.ΤΙΜΕΣ ΚΛΕΙΣΙΜΑΤΟΣ'!L33)</f>
        <v>-2.7816429618768026E-3</v>
      </c>
      <c r="M33" s="43">
        <f>LN('2.ΤΙΜΕΣ ΚΛΕΙΣΙΜΑΤΟΣ'!M34/'2.ΤΙΜΕΣ ΚΛΕΙΣΙΜΑΤΟΣ'!M33)</f>
        <v>-5.8651194523981339E-3</v>
      </c>
      <c r="N33" s="43">
        <f>LN('2.ΤΙΜΕΣ ΚΛΕΙΣΙΜΑΤΟΣ'!N34/'2.ΤΙΜΕΣ ΚΛΕΙΣΙΜΑΤΟΣ'!N33)</f>
        <v>1.0320322287179322E-2</v>
      </c>
      <c r="O33" s="43">
        <f>LN('2.ΤΙΜΕΣ ΚΛΕΙΣΙΜΑΤΟΣ'!O34/'2.ΤΙΜΕΣ ΚΛΕΙΣΙΜΑΤΟΣ'!O33)</f>
        <v>1.722653311446156E-3</v>
      </c>
      <c r="P33" s="43">
        <f>LN('2.ΤΙΜΕΣ ΚΛΕΙΣΙΜΑΤΟΣ'!P34/'2.ΤΙΜΕΣ ΚΛΕΙΣΙΜΑΤΟΣ'!P33)</f>
        <v>-9.5188450092068694E-3</v>
      </c>
      <c r="Q33" s="43">
        <f>LN('2.ΤΙΜΕΣ ΚΛΕΙΣΙΜΑΤΟΣ'!Q34/'2.ΤΙΜΕΣ ΚΛΕΙΣΙΜΑΤΟΣ'!Q33)</f>
        <v>1.6690234440378947E-2</v>
      </c>
      <c r="R33" s="43">
        <f>LN('2.ΤΙΜΕΣ ΚΛΕΙΣΙΜΑΤΟΣ'!R34/'2.ΤΙΜΕΣ ΚΛΕΙΣΙΜΑΤΟΣ'!R33)</f>
        <v>6.2305497506361628E-3</v>
      </c>
      <c r="S33" s="43">
        <f>LN('2.ΤΙΜΕΣ ΚΛΕΙΣΙΜΑΤΟΣ'!S34/'2.ΤΙΜΕΣ ΚΛΕΙΣΙΜΑΤΟΣ'!S33)</f>
        <v>8.3333815591444607E-3</v>
      </c>
      <c r="T33" s="43">
        <f>LN('2.ΤΙΜΕΣ ΚΛΕΙΣΙΜΑΤΟΣ'!T34/'2.ΤΙΜΕΣ ΚΛΕΙΣΙΜΑΤΟΣ'!T33)</f>
        <v>-6.8259650703998706E-3</v>
      </c>
      <c r="U33" s="43">
        <f>LN('2.ΤΙΜΕΣ ΚΛΕΙΣΙΜΑΤΟΣ'!U34/'2.ΤΙΜΕΣ ΚΛΕΙΣΙΜΑΤΟΣ'!U33)</f>
        <v>-8.1065875329884851E-3</v>
      </c>
      <c r="V33" s="43">
        <f>LN('2.ΤΙΜΕΣ ΚΛΕΙΣΙΜΑΤΟΣ'!V34/'2.ΤΙΜΕΣ ΚΛΕΙΣΙΜΑΤΟΣ'!V33)</f>
        <v>6.984894521951189E-3</v>
      </c>
      <c r="W33" s="43">
        <f>LN('2.ΤΙΜΕΣ ΚΛΕΙΣΙΜΑΤΟΣ'!W34/'2.ΤΙΜΕΣ ΚΛΕΙΣΙΜΑΤΟΣ'!W33)</f>
        <v>-2.5477720787987755E-3</v>
      </c>
      <c r="X33" s="43">
        <f>LN('2.ΤΙΜΕΣ ΚΛΕΙΣΙΜΑΤΟΣ'!X34/'2.ΤΙΜΕΣ ΚΛΕΙΣΙΜΑΤΟΣ'!X33)</f>
        <v>5.9251452635148676E-3</v>
      </c>
      <c r="Y33" s="43">
        <f>LN('2.ΤΙΜΕΣ ΚΛΕΙΣΙΜΑΤΟΣ'!Y34/'2.ΤΙΜΕΣ ΚΛΕΙΣΙΜΑΤΟΣ'!Y33)</f>
        <v>-3.692311887127491E-3</v>
      </c>
      <c r="Z33" s="43">
        <f>LN('2.ΤΙΜΕΣ ΚΛΕΙΣΙΜΑΤΟΣ'!Z34/'2.ΤΙΜΕΣ ΚΛΕΙΣΙΜΑΤΟΣ'!Z33)</f>
        <v>0</v>
      </c>
      <c r="AA33" s="43">
        <f>LN('2.ΤΙΜΕΣ ΚΛΕΙΣΙΜΑΤΟΣ'!AA34/'2.ΤΙΜΕΣ ΚΛΕΙΣΙΜΑΤΟΣ'!AA33)</f>
        <v>0</v>
      </c>
      <c r="AB33" s="43">
        <f>LN('2.ΤΙΜΕΣ ΚΛΕΙΣΙΜΑΤΟΣ'!AB34/'2.ΤΙΜΕΣ ΚΛΕΙΣΙΜΑΤΟΣ'!AB33)</f>
        <v>1.5814773466021725E-2</v>
      </c>
      <c r="AC33" s="43">
        <f>LN('2.ΤΙΜΕΣ ΚΛΕΙΣΙΜΑΤΟΣ'!AC34/'2.ΤΙΜΕΣ ΚΛΕΙΣΙΜΑΤΟΣ'!AC33)</f>
        <v>0</v>
      </c>
      <c r="AD33" s="43">
        <f>LN('2.ΤΙΜΕΣ ΚΛΕΙΣΙΜΑΤΟΣ'!AD34/'2.ΤΙΜΕΣ ΚΛΕΙΣΙΜΑΤΟΣ'!AD33)</f>
        <v>1.1102413804305322E-2</v>
      </c>
      <c r="AE33" s="43">
        <f>LN('2.ΤΙΜΕΣ ΚΛΕΙΣΙΜΑΤΟΣ'!AE34/'2.ΤΙΜΕΣ ΚΛΕΙΣΙΜΑΤΟΣ'!AE33)</f>
        <v>-7.8431774610258926E-3</v>
      </c>
      <c r="AF33" s="43">
        <f>LN('2.ΤΙΜΕΣ ΚΛΕΙΣΙΜΑΤΟΣ'!AF34/'2.ΤΙΜΕΣ ΚΛΕΙΣΙΜΑΤΟΣ'!AF33)</f>
        <v>-1.3131978249604722E-3</v>
      </c>
      <c r="AG33" s="43">
        <f>LN('2.ΤΙΜΕΣ ΚΛΕΙΣΙΜΑΤΟΣ'!AG34/'2.ΤΙΜΕΣ ΚΛΕΙΣΙΜΑΤΟΣ'!AG33)</f>
        <v>-2.5708356710207037E-2</v>
      </c>
      <c r="AH33" s="43">
        <f>LN('2.ΤΙΜΕΣ ΚΛΕΙΣΙΜΑΤΟΣ'!AH34/'2.ΤΙΜΕΣ ΚΛΕΙΣΙΜΑΤΟΣ'!AH33)</f>
        <v>-4.0080213975387108E-3</v>
      </c>
      <c r="AI33" s="43">
        <f>LN('2.ΤΙΜΕΣ ΚΛΕΙΣΙΜΑΤΟΣ'!AI34/'2.ΤΙΜΕΣ ΚΛΕΙΣΙΜΑΤΟΣ'!AI33)</f>
        <v>-1.6667052485211647E-2</v>
      </c>
      <c r="AJ33" s="43">
        <f>LN('2.ΤΙΜΕΣ ΚΛΕΙΣΙΜΑΤΟΣ'!AJ34/'2.ΤΙΜΕΣ ΚΛΕΙΣΙΜΑΤΟΣ'!AJ33)</f>
        <v>-9.8522964430115944E-3</v>
      </c>
      <c r="AK33" s="43">
        <f>LN('2.ΤΙΜΕΣ ΚΛΕΙΣΙΜΑΤΟΣ'!AK34/'2.ΤΙΜΕΣ ΚΛΕΙΣΙΜΑΤΟΣ'!AK33)</f>
        <v>0</v>
      </c>
      <c r="AL33" s="43">
        <f>LN('2.ΤΙΜΕΣ ΚΛΕΙΣΙΜΑΤΟΣ'!AL34/'2.ΤΙΜΕΣ ΚΛΕΙΣΙΜΑΤΟΣ'!AL33)</f>
        <v>-1.1976191046715649E-2</v>
      </c>
      <c r="AM33" s="43">
        <f>LN('2.ΤΙΜΕΣ ΚΛΕΙΣΙΜΑΤΟΣ'!AM34/'2.ΤΙΜΕΣ ΚΛΕΙΣΙΜΑΤΟΣ'!AM33)</f>
        <v>2.0101179321087088E-2</v>
      </c>
      <c r="AN33" s="43">
        <f>LN('2.ΤΙΜΕΣ ΚΛΕΙΣΙΜΑΤΟΣ'!AN34/'2.ΤΙΜΕΣ ΚΛΕΙΣΙΜΑΤΟΣ'!AN33)</f>
        <v>1.5698909543103833E-2</v>
      </c>
      <c r="AO33" s="43">
        <f>LN('2.ΤΙΜΕΣ ΚΛΕΙΣΙΜΑΤΟΣ'!AO34/'2.ΤΙΜΕΣ ΚΛΕΙΣΙΜΑΤΟΣ'!AO33)</f>
        <v>1.0152371464018128E-2</v>
      </c>
      <c r="AP33" s="43">
        <f>LN('2.ΤΙΜΕΣ ΚΛΕΙΣΙΜΑΤΟΣ'!AP34/'2.ΤΙΜΕΣ ΚΛΕΙΣΙΜΑΤΟΣ'!AP33)</f>
        <v>-6.9541309456989846E-3</v>
      </c>
      <c r="AQ33" s="43">
        <f>LN('2.ΤΙΜΕΣ ΚΛΕΙΣΙΜΑΤΟΣ'!AQ34/'2.ΤΙΜΕΣ ΚΛΕΙΣΙΜΑΤΟΣ'!AQ33)</f>
        <v>-1.298719552681119E-2</v>
      </c>
      <c r="AR33" s="43">
        <f>LN('2.ΤΙΜΕΣ ΚΛΕΙΣΙΜΑΤΟΣ'!AR34/'2.ΤΙΜΕΣ ΚΛΕΙΣΙΜΑΤΟΣ'!AR33)</f>
        <v>-2.2906366208907361E-2</v>
      </c>
      <c r="AS33" s="43">
        <f>LN('2.ΤΙΜΕΣ ΚΛΕΙΣΙΜΑΤΟΣ'!AS34/'2.ΤΙΜΕΣ ΚΛΕΙΣΙΜΑΤΟΣ'!AS33)</f>
        <v>4.3010818993907017E-3</v>
      </c>
      <c r="AT33" s="43">
        <f>LN('2.ΤΙΜΕΣ ΚΛΕΙΣΙΜΑΤΟΣ'!AT34/'2.ΤΙΜΕΣ ΚΛΕΙΣΙΜΑΤΟΣ'!AT33)</f>
        <v>1.3869847864150377E-2</v>
      </c>
      <c r="AU33" s="43">
        <f>LN('2.ΤΙΜΕΣ ΚΛΕΙΣΙΜΑΤΟΣ'!AU34/'2.ΤΙΜΕΣ ΚΛΕΙΣΙΜΑΤΟΣ'!AU33)</f>
        <v>3.8466341340794032E-3</v>
      </c>
    </row>
    <row r="34" spans="1:47">
      <c r="A34" s="41">
        <v>43605</v>
      </c>
      <c r="B34" s="43">
        <f>LN('2.ΤΙΜΕΣ ΚΛΕΙΣΙΜΑΤΟΣ'!B35/'2.ΤΙΜΕΣ ΚΛΕΙΣΙΜΑΤΟΣ'!B34)</f>
        <v>-5.804214866882032E-2</v>
      </c>
      <c r="C34" s="43">
        <f>LN('2.ΤΙΜΕΣ ΚΛΕΙΣΙΜΑΤΟΣ'!C35/'2.ΤΙΜΕΣ ΚΛΕΙΣΙΜΑΤΟΣ'!C34)</f>
        <v>1.7605638350329589E-3</v>
      </c>
      <c r="D34" s="43">
        <f>LN('2.ΤΙΜΕΣ ΚΛΕΙΣΙΜΑΤΟΣ'!D35/'2.ΤΙΜΕΣ ΚΛΕΙΣΙΜΑΤΟΣ'!D34)</f>
        <v>-2.3815205349764271E-3</v>
      </c>
      <c r="E34" s="43">
        <f>LN('2.ΤΙΜΕΣ ΚΛΕΙΣΙΜΑΤΟΣ'!E35/'2.ΤΙΜΕΣ ΚΛΕΙΣΙΜΑΤΟΣ'!E34)</f>
        <v>-2.7493140580198732E-2</v>
      </c>
      <c r="F34" s="43">
        <f>LN('2.ΤΙΜΕΣ ΚΛΕΙΣΙΜΑΤΟΣ'!F35/'2.ΤΙΜΕΣ ΚΛΕΙΣΙΜΑΤΟΣ'!F34)</f>
        <v>-2.8499338129117206E-2</v>
      </c>
      <c r="G34" s="43">
        <f>LN('2.ΤΙΜΕΣ ΚΛΕΙΣΙΜΑΤΟΣ'!G35/'2.ΤΙΜΕΣ ΚΛΕΙΣΙΜΑΤΟΣ'!G34)</f>
        <v>-7.0077371574046891E-3</v>
      </c>
      <c r="H34" s="43">
        <f>LN('2.ΤΙΜΕΣ ΚΛΕΙΣΙΜΑΤΟΣ'!H35/'2.ΤΙΜΕΣ ΚΛΕΙΣΙΜΑΤΟΣ'!H34)</f>
        <v>-7.0600394107248072E-3</v>
      </c>
      <c r="I34" s="43">
        <f>LN('2.ΤΙΜΕΣ ΚΛΕΙΣΙΜΑΤΟΣ'!I35/'2.ΤΙΜΕΣ ΚΛΕΙΣΙΜΑΤΟΣ'!I34)</f>
        <v>-1.9032432169328969E-2</v>
      </c>
      <c r="J34" s="43">
        <f>LN('2.ΤΙΜΕΣ ΚΛΕΙΣΙΜΑΤΟΣ'!J35/'2.ΤΙΜΕΣ ΚΛΕΙΣΙΜΑΤΟΣ'!J34)</f>
        <v>-4.6542811034782174E-2</v>
      </c>
      <c r="K34" s="43">
        <f>LN('2.ΤΙΜΕΣ ΚΛΕΙΣΙΜΑΤΟΣ'!K35/'2.ΤΙΜΕΣ ΚΛΕΙΣΙΜΑΤΟΣ'!K34)</f>
        <v>-1.409758815011382E-2</v>
      </c>
      <c r="L34" s="43">
        <f>LN('2.ΤΙΜΕΣ ΚΛΕΙΣΙΜΑΤΟΣ'!L35/'2.ΤΙΜΕΣ ΚΛΕΙΣΙΜΑΤΟΣ'!L34)</f>
        <v>-2.5389234004819464E-2</v>
      </c>
      <c r="M34" s="43">
        <f>LN('2.ΤΙΜΕΣ ΚΛΕΙΣΙΜΑΤΟΣ'!M35/'2.ΤΙΜΕΣ ΚΛΕΙΣΙΜΑΤΟΣ'!M34)</f>
        <v>-8.2693914825067421E-3</v>
      </c>
      <c r="N34" s="43">
        <f>LN('2.ΤΙΜΕΣ ΚΛΕΙΣΙΜΑΤΟΣ'!N35/'2.ΤΙΜΕΣ ΚΛΕΙΣΙΜΑΤΟΣ'!N34)</f>
        <v>-1.5110308103170899E-3</v>
      </c>
      <c r="O34" s="43">
        <f>LN('2.ΤΙΜΕΣ ΚΛΕΙΣΙΜΑΤΟΣ'!O35/'2.ΤΙΜΕΣ ΚΛΕΙΣΙΜΑΤΟΣ'!O34)</f>
        <v>3.4364294985813186E-3</v>
      </c>
      <c r="P34" s="43">
        <f>LN('2.ΤΙΜΕΣ ΚΛΕΙΣΙΜΑΤΟΣ'!P35/'2.ΤΙΜΕΣ ΚΛΕΙΣΙΜΑΤΟΣ'!P34)</f>
        <v>1.7904638385480877E-2</v>
      </c>
      <c r="Q34" s="43">
        <f>LN('2.ΤΙΜΕΣ ΚΛΕΙΣΙΜΑΤΟΣ'!Q35/'2.ΤΙΜΕΣ ΚΛΕΙΣΙΜΑΤΟΣ'!Q34)</f>
        <v>0</v>
      </c>
      <c r="R34" s="43">
        <f>LN('2.ΤΙΜΕΣ ΚΛΕΙΣΙΜΑΤΟΣ'!R35/'2.ΤΙΜΕΣ ΚΛΕΙΣΙΜΑΤΟΣ'!R34)</f>
        <v>3.0583423372080185E-2</v>
      </c>
      <c r="S34" s="43">
        <f>LN('2.ΤΙΜΕΣ ΚΛΕΙΣΙΜΑΤΟΣ'!S35/'2.ΤΙΜΕΣ ΚΛΕΙΣΙΜΑΤΟΣ'!S34)</f>
        <v>-4.158010148663677E-3</v>
      </c>
      <c r="T34" s="43">
        <f>LN('2.ΤΙΜΕΣ ΚΛΕΙΣΙΜΑΤΟΣ'!T35/'2.ΤΙΜΕΣ ΚΛΕΙΣΙΜΑΤΟΣ'!T34)</f>
        <v>-1.7271586508660595E-2</v>
      </c>
      <c r="U34" s="43">
        <f>LN('2.ΤΙΜΕΣ ΚΛΕΙΣΙΜΑΤΟΣ'!U35/'2.ΤΙΜΕΣ ΚΛΕΙΣΙΜΑΤΟΣ'!U34)</f>
        <v>-2.3530497410194161E-2</v>
      </c>
      <c r="V34" s="43">
        <f>LN('2.ΤΙΜΕΣ ΚΛΕΙΣΙΜΑΤΟΣ'!V35/'2.ΤΙΜΕΣ ΚΛΕΙΣΙΜΑΤΟΣ'!V34)</f>
        <v>-2.8237170181610111E-2</v>
      </c>
      <c r="W34" s="43">
        <f>LN('2.ΤΙΜΕΣ ΚΛΕΙΣΙΜΑΤΟΣ'!W35/'2.ΤΙΜΕΣ ΚΛΕΙΣΙΜΑΤΟΣ'!W34)</f>
        <v>-2.5542798050967423E-3</v>
      </c>
      <c r="X34" s="43">
        <f>LN('2.ΤΙΜΕΣ ΚΛΕΙΣΙΜΑΤΟΣ'!X35/'2.ΤΙΜΕΣ ΚΛΕΙΣΙΜΑΤΟΣ'!X34)</f>
        <v>-2.8684135837923333E-3</v>
      </c>
      <c r="Y34" s="43">
        <f>LN('2.ΤΙΜΕΣ ΚΛΕΙΣΙΜΑΤΟΣ'!Y35/'2.ΤΙΜΕΣ ΚΛΕΙΣΙΜΑΤΟΣ'!Y34)</f>
        <v>-1.7413375325197891E-2</v>
      </c>
      <c r="Z34" s="43">
        <f>LN('2.ΤΙΜΕΣ ΚΛΕΙΣΙΜΑΤΟΣ'!Z35/'2.ΤΙΜΕΣ ΚΛΕΙΣΙΜΑΤΟΣ'!Z34)</f>
        <v>7.2993024816115351E-3</v>
      </c>
      <c r="AA34" s="43">
        <f>LN('2.ΤΙΜΕΣ ΚΛΕΙΣΙΜΑΤΟΣ'!AA35/'2.ΤΙΜΕΣ ΚΛΕΙΣΙΜΑΤΟΣ'!AA34)</f>
        <v>-5.7867382320548569E-2</v>
      </c>
      <c r="AB34" s="43">
        <f>LN('2.ΤΙΜΕΣ ΚΛΕΙΣΙΜΑΤΟΣ'!AB35/'2.ΤΙΜΕΣ ΚΛΕΙΣΙΜΑΤΟΣ'!AB34)</f>
        <v>-8.4034107963795041E-3</v>
      </c>
      <c r="AC34" s="43">
        <f>LN('2.ΤΙΜΕΣ ΚΛΕΙΣΙΜΑΤΟΣ'!AC35/'2.ΤΙΜΕΣ ΚΛΕΙΣΙΜΑΤΟΣ'!AC34)</f>
        <v>0</v>
      </c>
      <c r="AD34" s="43">
        <f>LN('2.ΤΙΜΕΣ ΚΛΕΙΣΙΜΑΤΟΣ'!AD35/'2.ΤΙΜΕΣ ΚΛΕΙΣΙΜΑΤΟΣ'!AD34)</f>
        <v>6.2893289075639184E-3</v>
      </c>
      <c r="AE34" s="43">
        <f>LN('2.ΤΙΜΕΣ ΚΛΕΙΣΙΜΑΤΟΣ'!AE35/'2.ΤΙΜΕΣ ΚΛΕΙΣΙΜΑΤΟΣ'!AE34)</f>
        <v>1.1741817876683195E-2</v>
      </c>
      <c r="AF34" s="43">
        <f>LN('2.ΤΙΜΕΣ ΚΛΕΙΣΙΜΑΤΟΣ'!AF35/'2.ΤΙΜΕΣ ΚΛΕΙΣΙΜΑΤΟΣ'!AF34)</f>
        <v>-9.2409898537297846E-3</v>
      </c>
      <c r="AG34" s="43">
        <f>LN('2.ΤΙΜΕΣ ΚΛΕΙΣΙΜΑΤΟΣ'!AG35/'2.ΤΙΜΕΣ ΚΛΕΙΣΙΜΑΤΟΣ'!AG34)</f>
        <v>-1.0471299867295366E-2</v>
      </c>
      <c r="AH34" s="43">
        <f>LN('2.ΤΙΜΕΣ ΚΛΕΙΣΙΜΑΤΟΣ'!AH35/'2.ΤΙΜΕΣ ΚΛΕΙΣΙΜΑΤΟΣ'!AH34)</f>
        <v>-8.8746044334749551E-3</v>
      </c>
      <c r="AI34" s="43">
        <f>LN('2.ΤΙΜΕΣ ΚΛΕΙΣΙΜΑΤΟΣ'!AI35/'2.ΤΙΜΕΣ ΚΛΕΙΣΙΜΑΤΟΣ'!AI34)</f>
        <v>8.3682496705165792E-3</v>
      </c>
      <c r="AJ34" s="43">
        <f>LN('2.ΤΙΜΕΣ ΚΛΕΙΣΙΜΑΤΟΣ'!AJ35/'2.ΤΙΜΕΣ ΚΛΕΙΣΙΜΑΤΟΣ'!AJ34)</f>
        <v>9.8522964430116395E-3</v>
      </c>
      <c r="AK34" s="43">
        <f>LN('2.ΤΙΜΕΣ ΚΛΕΙΣΙΜΑΤΟΣ'!AK35/'2.ΤΙΜΕΣ ΚΛΕΙΣΙΜΑΤΟΣ'!AK34)</f>
        <v>-1.3387080782459296E-2</v>
      </c>
      <c r="AL34" s="43">
        <f>LN('2.ΤΙΜΕΣ ΚΛΕΙΣΙΜΑΤΟΣ'!AL35/'2.ΤΙΜΕΣ ΚΛΕΙΣΙΜΑΤΟΣ'!AL34)</f>
        <v>0</v>
      </c>
      <c r="AM34" s="43">
        <f>LN('2.ΤΙΜΕΣ ΚΛΕΙΣΙΜΑΤΟΣ'!AM35/'2.ΤΙΜΕΣ ΚΛΕΙΣΙΜΑΤΟΣ'!AM34)</f>
        <v>1.4815085785140682E-2</v>
      </c>
      <c r="AN34" s="43">
        <f>LN('2.ΤΙΜΕΣ ΚΛΕΙΣΙΜΑΤΟΣ'!AN35/'2.ΤΙΜΕΣ ΚΛΕΙΣΙΜΑΤΟΣ'!AN34)</f>
        <v>-6.2500203451712946E-3</v>
      </c>
      <c r="AO34" s="43">
        <f>LN('2.ΤΙΜΕΣ ΚΛΕΙΣΙΜΑΤΟΣ'!AO35/'2.ΤΙΜΕΣ ΚΛΕΙΣΙΜΑΤΟΣ'!AO34)</f>
        <v>-1.0152371464018073E-2</v>
      </c>
      <c r="AP34" s="43">
        <f>LN('2.ΤΙΜΕΣ ΚΛΕΙΣΙΜΑΤΟΣ'!AP35/'2.ΤΙΜΕΣ ΚΛΕΙΣΙΜΑΤΟΣ'!AP34)</f>
        <v>3.4831104528201778E-3</v>
      </c>
      <c r="AQ34" s="43">
        <f>LN('2.ΤΙΜΕΣ ΚΛΕΙΣΙΜΑΤΟΣ'!AQ35/'2.ΤΙΜΕΣ ΚΛΕΙΣΙΜΑΤΟΣ'!AQ34)</f>
        <v>-4.683129968409909E-2</v>
      </c>
      <c r="AR34" s="43">
        <f>LN('2.ΤΙΜΕΣ ΚΛΕΙΣΙΜΑΤΟΣ'!AR35/'2.ΤΙΜΕΣ ΚΛΕΙΣΙΜΑΤΟΣ'!AR34)</f>
        <v>-3.3481118623450726E-2</v>
      </c>
      <c r="AS34" s="43">
        <f>LN('2.ΤΙΜΕΣ ΚΛΕΙΣΙΜΑΤΟΣ'!AS35/'2.ΤΙΜΕΣ ΚΛΕΙΣΙΜΑΤΟΣ'!AS34)</f>
        <v>-2.1692824611259896E-2</v>
      </c>
      <c r="AT34" s="43">
        <f>LN('2.ΤΙΜΕΣ ΚΛΕΙΣΙΜΑΤΟΣ'!AT35/'2.ΤΙΜΕΣ ΚΛΕΙΣΙΜΑΤΟΣ'!AT34)</f>
        <v>-2.2285044789434983E-2</v>
      </c>
      <c r="AU34" s="43">
        <f>LN('2.ΤΙΜΕΣ ΚΛΕΙΣΙΜΑΤΟΣ'!AU35/'2.ΤΙΜΕΣ ΚΛΕΙΣΙΜΑΤΟΣ'!AU34)</f>
        <v>-1.673019692872323E-2</v>
      </c>
    </row>
    <row r="35" spans="1:47">
      <c r="A35" s="41">
        <v>43606</v>
      </c>
      <c r="B35" s="43">
        <f>LN('2.ΤΙΜΕΣ ΚΛΕΙΣΙΜΑΤΟΣ'!B36/'2.ΤΙΜΕΣ ΚΛΕΙΣΙΜΑΤΟΣ'!B35)</f>
        <v>2.3114993832774246E-2</v>
      </c>
      <c r="C35" s="43">
        <f>LN('2.ΤΙΜΕΣ ΚΛΕΙΣΙΜΑΤΟΣ'!C36/'2.ΤΙΜΕΣ ΚΛΕΙΣΙΜΑΤΟΣ'!C35)</f>
        <v>7.0114222378040826E-3</v>
      </c>
      <c r="D35" s="43">
        <f>LN('2.ΤΙΜΕΣ ΚΛΕΙΣΙΜΑΤΟΣ'!D36/'2.ΤΙΜΕΣ ΚΛΕΙΣΙΜΑΤΟΣ'!D35)</f>
        <v>5.9591206101707484E-4</v>
      </c>
      <c r="E35" s="43">
        <f>LN('2.ΤΙΜΕΣ ΚΛΕΙΣΙΜΑΤΟΣ'!E36/'2.ΤΙΜΕΣ ΚΛΕΙΣΙΜΑΤΟΣ'!E35)</f>
        <v>4.895607043277405E-2</v>
      </c>
      <c r="F35" s="43">
        <f>LN('2.ΤΙΜΕΣ ΚΛΕΙΣΙΜΑΤΟΣ'!F36/'2.ΤΙΜΕΣ ΚΛΕΙΣΙΜΑΤΟΣ'!F35)</f>
        <v>5.2424759648500444E-3</v>
      </c>
      <c r="G35" s="43">
        <f>LN('2.ΤΙΜΕΣ ΚΛΕΙΣΙΜΑΤΟΣ'!G36/'2.ΤΙΜΕΣ ΚΛΕΙΣΙΜΑΤΟΣ'!G35)</f>
        <v>5.8719938204715195E-2</v>
      </c>
      <c r="H35" s="43">
        <f>LN('2.ΤΙΜΕΣ ΚΛΕΙΣΙΜΑΤΟΣ'!H36/'2.ΤΙΜΕΣ ΚΛΕΙΣΙΜΑΤΟΣ'!H35)</f>
        <v>1.4070583896942152E-2</v>
      </c>
      <c r="I35" s="43">
        <f>LN('2.ΤΙΜΕΣ ΚΛΕΙΣΙΜΑΤΟΣ'!I36/'2.ΤΙΜΕΣ ΚΛΕΙΣΙΜΑΤΟΣ'!I35)</f>
        <v>2.6382404008061671E-2</v>
      </c>
      <c r="J35" s="43">
        <f>LN('2.ΤΙΜΕΣ ΚΛΕΙΣΙΜΑΤΟΣ'!J36/'2.ΤΙΜΕΣ ΚΛΕΙΣΙΜΑΤΟΣ'!J35)</f>
        <v>1.88778581765888E-2</v>
      </c>
      <c r="K35" s="43">
        <f>LN('2.ΤΙΜΕΣ ΚΛΕΙΣΙΜΑΤΟΣ'!K36/'2.ΤΙΜΕΣ ΚΛΕΙΣΙΜΑΤΟΣ'!K35)</f>
        <v>4.0106856625232216E-2</v>
      </c>
      <c r="L35" s="43">
        <f>LN('2.ΤΙΜΕΣ ΚΛΕΙΣΙΜΑΤΟΣ'!L36/'2.ΤΙΜΕΣ ΚΛΕΙΣΙΜΑΤΟΣ'!L35)</f>
        <v>2.3716526617316065E-2</v>
      </c>
      <c r="M35" s="43">
        <f>LN('2.ΤΙΜΕΣ ΚΛΕΙΣΙΜΑΤΟΣ'!M36/'2.ΤΙΜΕΣ ΚΛΕΙΣΙΜΑΤΟΣ'!M35)</f>
        <v>2.3447733081572632E-2</v>
      </c>
      <c r="N35" s="43">
        <f>LN('2.ΤΙΜΕΣ ΚΛΕΙΣΙΜΑΤΟΣ'!N36/'2.ΤΙΜΕΣ ΚΛΕΙΣΙΜΑΤΟΣ'!N35)</f>
        <v>0</v>
      </c>
      <c r="O35" s="43">
        <f>LN('2.ΤΙΜΕΣ ΚΛΕΙΣΙΜΑΤΟΣ'!O36/'2.ΤΙΜΕΣ ΚΛΕΙΣΙΜΑΤΟΣ'!O35)</f>
        <v>1.0238997301094286E-2</v>
      </c>
      <c r="P35" s="43">
        <f>LN('2.ΤΙΜΕΣ ΚΛΕΙΣΙΜΑΤΟΣ'!P36/'2.ΤΙΜΕΣ ΚΛΕΙΣΙΜΑΤΟΣ'!P35)</f>
        <v>-1.0493275715838656E-2</v>
      </c>
      <c r="Q35" s="43">
        <f>LN('2.ΤΙΜΕΣ ΚΛΕΙΣΙΜΑΤΟΣ'!Q36/'2.ΤΙΜΕΣ ΚΛΕΙΣΙΜΑΤΟΣ'!Q35)</f>
        <v>7.6322267559633547E-2</v>
      </c>
      <c r="R35" s="43">
        <f>LN('2.ΤΙΜΕΣ ΚΛΕΙΣΙΜΑΤΟΣ'!R36/'2.ΤΙΜΕΣ ΚΛΕΙΣΙΜΑΤΟΣ'!R35)</f>
        <v>3.1866349525935082E-2</v>
      </c>
      <c r="S35" s="43">
        <f>LN('2.ΤΙΜΕΣ ΚΛΕΙΣΙΜΑΤΟΣ'!S36/'2.ΤΙΜΕΣ ΚΛΕΙΣΙΜΑΤΟΣ'!S35)</f>
        <v>2.061928720273561E-2</v>
      </c>
      <c r="T35" s="43">
        <f>LN('2.ΤΙΜΕΣ ΚΛΕΙΣΙΜΑΤΟΣ'!T36/'2.ΤΙΜΕΣ ΚΛΕΙΣΙΜΑΤΟΣ'!T35)</f>
        <v>1.3841051411871511E-2</v>
      </c>
      <c r="U35" s="43">
        <f>LN('2.ΤΙΜΕΣ ΚΛΕΙΣΙΜΑΤΟΣ'!U36/'2.ΤΙΜΕΣ ΚΛΕΙΣΙΜΑΤΟΣ'!U35)</f>
        <v>2.003602676042042E-2</v>
      </c>
      <c r="V35" s="43">
        <f>LN('2.ΤΙΜΕΣ ΚΛΕΙΣΙΜΑΤΟΣ'!V36/'2.ΤΙΜΕΣ ΚΛΕΙΣΙΜΑΤΟΣ'!V35)</f>
        <v>1.4218249002279172E-2</v>
      </c>
      <c r="W35" s="43">
        <f>LN('2.ΤΙΜΕΣ ΚΛΕΙΣΙΜΑΤΟΣ'!W36/'2.ΤΙΜΕΣ ΚΛΕΙΣΙΜΑΤΟΣ'!W35)</f>
        <v>2.2756987122616278E-2</v>
      </c>
      <c r="X35" s="43">
        <f>LN('2.ΤΙΜΕΣ ΚΛΕΙΣΙΜΑΤΟΣ'!X36/'2.ΤΙΜΕΣ ΚΛΕΙΣΙΜΑΤΟΣ'!X35)</f>
        <v>-3.0567316797225495E-3</v>
      </c>
      <c r="Y35" s="43">
        <f>LN('2.ΤΙΜΕΣ ΚΛΕΙΣΙΜΑΤΟΣ'!Y36/'2.ΤΙΜΕΣ ΚΛΕΙΣΙΜΑΤΟΣ'!Y35)</f>
        <v>3.7570488777123423E-3</v>
      </c>
      <c r="Z35" s="43">
        <f>LN('2.ΤΙΜΕΣ ΚΛΕΙΣΙΜΑΤΟΣ'!Z36/'2.ΤΙΜΕΣ ΚΛΕΙΣΙΜΑΤΟΣ'!Z35)</f>
        <v>0</v>
      </c>
      <c r="AA35" s="43">
        <f>LN('2.ΤΙΜΕΣ ΚΛΕΙΣΙΜΑΤΟΣ'!AA36/'2.ΤΙΜΕΣ ΚΛΕΙΣΙΜΑΤΟΣ'!AA35)</f>
        <v>4.2462908814512243E-3</v>
      </c>
      <c r="AB35" s="43">
        <f>LN('2.ΤΙΜΕΣ ΚΛΕΙΣΙΜΑΤΟΣ'!AB36/'2.ΤΙΜΕΣ ΚΛΕΙΣΙΜΑΤΟΣ'!AB35)</f>
        <v>2.1074823395645778E-3</v>
      </c>
      <c r="AC35" s="43">
        <f>LN('2.ΤΙΜΕΣ ΚΛΕΙΣΙΜΑΤΟΣ'!AC36/'2.ΤΙΜΕΣ ΚΛΕΙΣΙΜΑΤΟΣ'!AC35)</f>
        <v>-1.3708021337787146E-3</v>
      </c>
      <c r="AD35" s="43">
        <f>LN('2.ΤΙΜΕΣ ΚΛΕΙΣΙΜΑΤΟΣ'!AD36/'2.ΤΙΜΕΣ ΚΛΕΙΣΙΜΑΤΟΣ'!AD35)</f>
        <v>-7.8678612006136787E-3</v>
      </c>
      <c r="AE35" s="43">
        <f>LN('2.ΤΙΜΕΣ ΚΛΕΙΣΙΜΑΤΟΣ'!AE36/'2.ΤΙΜΕΣ ΚΛΕΙΣΙΜΑΤΟΣ'!AE35)</f>
        <v>0</v>
      </c>
      <c r="AF35" s="43">
        <f>LN('2.ΤΙΜΕΣ ΚΛΕΙΣΙΜΑΤΟΣ'!AF36/'2.ΤΙΜΕΣ ΚΛΕΙΣΙΜΑΤΟΣ'!AF35)</f>
        <v>7.9260652724207226E-3</v>
      </c>
      <c r="AG35" s="43">
        <f>LN('2.ΤΙΜΕΣ ΚΛΕΙΣΙΜΑΤΟΣ'!AG36/'2.ΤΙΜΕΣ ΚΛΕΙΣΙΜΑΤΟΣ'!AG35)</f>
        <v>2.5975486403260736E-2</v>
      </c>
      <c r="AH35" s="43">
        <f>LN('2.ΤΙΜΕΣ ΚΛΕΙΣΙΜΑΤΟΣ'!AH36/'2.ΤΙΜΕΣ ΚΛΕΙΣΙΜΑΤΟΣ'!AH35)</f>
        <v>1.6194335523029759E-3</v>
      </c>
      <c r="AI35" s="43">
        <f>LN('2.ΤΙΜΕΣ ΚΛΕΙΣΙΜΑΤΟΣ'!AI36/'2.ΤΙΜΕΣ ΚΛΕΙΣΙΜΑΤΟΣ'!AI35)</f>
        <v>0</v>
      </c>
      <c r="AJ35" s="43">
        <f>LN('2.ΤΙΜΕΣ ΚΛΕΙΣΙΜΑΤΟΣ'!AJ36/'2.ΤΙΜΕΣ ΚΛΕΙΣΙΜΑΤΟΣ'!AJ35)</f>
        <v>1.4598799421152631E-2</v>
      </c>
      <c r="AK35" s="43">
        <f>LN('2.ΤΙΜΕΣ ΚΛΕΙΣΙΜΑΤΟΣ'!AK36/'2.ΤΙΜΕΣ ΚΛΕΙΣΙΜΑΤΟΣ'!AK35)</f>
        <v>2.1334142474991141E-2</v>
      </c>
      <c r="AL35" s="43">
        <f>LN('2.ΤΙΜΕΣ ΚΛΕΙΣΙΜΑΤΟΣ'!AL36/'2.ΤΙΜΕΣ ΚΛΕΙΣΙΜΑΤΟΣ'!AL35)</f>
        <v>1.197619104671562E-2</v>
      </c>
      <c r="AM35" s="43">
        <f>LN('2.ΤΙΜΕΣ ΚΛΕΙΣΙΜΑΤΟΣ'!AM36/'2.ΤΙΜΕΣ ΚΛΕΙΣΙΜΑΤΟΣ'!AM35)</f>
        <v>2.4479816386400372E-3</v>
      </c>
      <c r="AN35" s="43">
        <f>LN('2.ΤΙΜΕΣ ΚΛΕΙΣΙΜΑΤΟΣ'!AN36/'2.ΤΙΜΕΣ ΚΛΕΙΣΙΜΑΤΟΣ'!AN35)</f>
        <v>2.1706278581863074E-2</v>
      </c>
      <c r="AO35" s="43">
        <f>LN('2.ΤΙΜΕΣ ΚΛΕΙΣΙΜΑΤΟΣ'!AO36/'2.ΤΙΜΕΣ ΚΛΕΙΣΙΜΑΤΟΣ'!AO35)</f>
        <v>2.0202707317519469E-2</v>
      </c>
      <c r="AP35" s="43">
        <f>LN('2.ΤΙΜΕΣ ΚΛΕΙΣΙΜΑΤΟΣ'!AP36/'2.ΤΙΜΕΣ ΚΛΕΙΣΙΜΑΤΟΣ'!AP35)</f>
        <v>-3.1075946960522832E-2</v>
      </c>
      <c r="AQ35" s="43">
        <f>LN('2.ΤΙΜΕΣ ΚΛΕΙΣΙΜΑΤΟΣ'!AQ36/'2.ΤΙΜΕΣ ΚΛΕΙΣΙΜΑΤΟΣ'!AQ35)</f>
        <v>9.543358046899696E-3</v>
      </c>
      <c r="AR35" s="43">
        <f>LN('2.ΤΙΜΕΣ ΚΛΕΙΣΙΜΑΤΟΣ'!AR36/'2.ΤΙΜΕΣ ΚΛΕΙΣΙΜΑΤΟΣ'!AR35)</f>
        <v>3.9560164699832812E-2</v>
      </c>
      <c r="AS35" s="43">
        <f>LN('2.ΤΙΜΕΣ ΚΛΕΙΣΙΜΑΤΟΣ'!AS36/'2.ΤΙΜΕΣ ΚΛΕΙΣΙΜΑΤΟΣ'!AS35)</f>
        <v>0</v>
      </c>
      <c r="AT35" s="43">
        <f>LN('2.ΤΙΜΕΣ ΚΛΕΙΣΙΜΑΤΟΣ'!AT36/'2.ΤΙΜΕΣ ΚΛΕΙΣΙΜΑΤΟΣ'!AT35)</f>
        <v>1.1204599012863062E-2</v>
      </c>
      <c r="AU35" s="43">
        <f>LN('2.ΤΙΜΕΣ ΚΛΕΙΣΙΜΑΤΟΣ'!AU36/'2.ΤΙΜΕΣ ΚΛΕΙΣΙΜΑΤΟΣ'!AU35)</f>
        <v>2.2022553160778596E-2</v>
      </c>
    </row>
    <row r="36" spans="1:47">
      <c r="A36" s="41">
        <v>43607</v>
      </c>
      <c r="B36" s="43">
        <f>LN('2.ΤΙΜΕΣ ΚΛΕΙΣΙΜΑΤΟΣ'!B37/'2.ΤΙΜΕΣ ΚΛΕΙΣΙΜΑΤΟΣ'!B36)</f>
        <v>2.4762274459427462E-2</v>
      </c>
      <c r="C36" s="43">
        <f>LN('2.ΤΙΜΕΣ ΚΛΕΙΣΙΜΑΤΟΣ'!C37/'2.ΤΙΜΕΣ ΚΛΕΙΣΙΜΑΤΟΣ'!C36)</f>
        <v>-2.4758116919139237E-2</v>
      </c>
      <c r="D36" s="43">
        <f>LN('2.ΤΙΜΕΣ ΚΛΕΙΣΙΜΑΤΟΣ'!D37/'2.ΤΙΜΕΣ ΚΛΕΙΣΙΜΑΤΟΣ'!D36)</f>
        <v>0</v>
      </c>
      <c r="E36" s="43">
        <f>LN('2.ΤΙΜΕΣ ΚΛΕΙΣΙΜΑΤΟΣ'!E37/'2.ΤΙΜΕΣ ΚΛΕΙΣΙΜΑΤΟΣ'!E36)</f>
        <v>-1.3360252166340493E-2</v>
      </c>
      <c r="F36" s="43">
        <f>LN('2.ΤΙΜΕΣ ΚΛΕΙΣΙΜΑΤΟΣ'!F37/'2.ΤΙΜΕΣ ΚΛΕΙΣΙΜΑΤΟΣ'!F36)</f>
        <v>9.1087161982403003E-3</v>
      </c>
      <c r="G36" s="43">
        <f>LN('2.ΤΙΜΕΣ ΚΛΕΙΣΙΜΑΤΟΣ'!G37/'2.ΤΙΜΕΣ ΚΛΕΙΣΙΜΑΤΟΣ'!G36)</f>
        <v>-1.2008149628396607E-2</v>
      </c>
      <c r="H36" s="43">
        <f>LN('2.ΤΙΜΕΣ ΚΛΕΙΣΙΜΑΤΟΣ'!H37/'2.ΤΙΜΕΣ ΚΛΕΙΣΙΜΑΤΟΣ'!H36)</f>
        <v>-3.6071982996424515E-2</v>
      </c>
      <c r="I36" s="43">
        <f>LN('2.ΤΙΜΕΣ ΚΛΕΙΣΙΜΑΤΟΣ'!I37/'2.ΤΙΜΕΣ ΚΛΕΙΣΙΜΑΤΟΣ'!I36)</f>
        <v>-4.8939738788624457E-3</v>
      </c>
      <c r="J36" s="43">
        <f>LN('2.ΤΙΜΕΣ ΚΛΕΙΣΙΜΑΤΟΣ'!J37/'2.ΤΙΜΕΣ ΚΛΕΙΣΙΜΑΤΟΣ'!J36)</f>
        <v>1.3685453085254229E-2</v>
      </c>
      <c r="K36" s="43">
        <f>LN('2.ΤΙΜΕΣ ΚΛΕΙΣΙΜΑΤΟΣ'!K37/'2.ΤΙΜΕΣ ΚΛΕΙΣΙΜΑΤΟΣ'!K36)</f>
        <v>-3.0534374868903431E-3</v>
      </c>
      <c r="L36" s="43">
        <f>LN('2.ΤΙΜΕΣ ΚΛΕΙΣΙΜΑΤΟΣ'!L37/'2.ΤΙΜΕΣ ΚΛΕΙΣΙΜΑΤΟΣ'!L36)</f>
        <v>4.4543503493801534E-3</v>
      </c>
      <c r="M36" s="43">
        <f>LN('2.ΤΙΜΕΣ ΚΛΕΙΣΙΜΑΤΟΣ'!M37/'2.ΤΙΜΕΣ ΚΛΕΙΣΙΜΑΤΟΣ'!M36)</f>
        <v>-2.8203984616221735E-2</v>
      </c>
      <c r="N36" s="43">
        <f>LN('2.ΤΙΜΕΣ ΚΛΕΙΣΙΜΑΤΟΣ'!N37/'2.ΤΙΜΕΣ ΚΛΕΙΣΙΜΑΤΟΣ'!N36)</f>
        <v>0</v>
      </c>
      <c r="O36" s="43">
        <f>LN('2.ΤΙΜΕΣ ΚΛΕΙΣΙΜΑΤΟΣ'!O37/'2.ΤΙΜΕΣ ΚΛΕΙΣΙΜΑΤΟΣ'!O36)</f>
        <v>-6.8143364197301654E-3</v>
      </c>
      <c r="P36" s="43">
        <f>LN('2.ΤΙΜΕΣ ΚΛΕΙΣΙΜΑΤΟΣ'!P37/'2.ΤΙΜΕΣ ΚΛΕΙΣΙΜΑΤΟΣ'!P36)</f>
        <v>8.4034107963793792E-3</v>
      </c>
      <c r="Q36" s="43">
        <f>LN('2.ΤΙΜΕΣ ΚΛΕΙΣΙΜΑΤΟΣ'!Q37/'2.ΤΙΜΕΣ ΚΛΕΙΣΙΜΑΤΟΣ'!Q36)</f>
        <v>2.3367024654051001E-2</v>
      </c>
      <c r="R36" s="43">
        <f>LN('2.ΤΙΜΕΣ ΚΛΕΙΣΙΜΑΤΟΣ'!R37/'2.ΤΙΜΕΣ ΚΛΕΙΣΙΜΑΤΟΣ'!R36)</f>
        <v>-4.094356767705179E-2</v>
      </c>
      <c r="S36" s="43">
        <f>LN('2.ΤΙΜΕΣ ΚΛΕΙΣΙΜΑΤΟΣ'!S37/'2.ΤΙΜΕΣ ΚΛΕΙΣΙΜΑΤΟΣ'!S36)</f>
        <v>0</v>
      </c>
      <c r="T36" s="43">
        <f>LN('2.ΤΙΜΕΣ ΚΛΕΙΣΙΜΑΤΟΣ'!T37/'2.ΤΙΜΕΣ ΚΛΕΙΣΙΜΑΤΟΣ'!T36)</f>
        <v>2.2090957814191861E-2</v>
      </c>
      <c r="U36" s="43">
        <f>LN('2.ΤΙΜΕΣ ΚΛΕΙΣΙΜΑΤΟΣ'!U37/'2.ΤΙΜΕΣ ΚΛΕΙΣΙΜΑΤΟΣ'!U36)</f>
        <v>-1.4101291240605992E-2</v>
      </c>
      <c r="V36" s="43">
        <f>LN('2.ΤΙΜΕΣ ΚΛΕΙΣΙΜΑΤΟΣ'!V37/'2.ΤΙΜΕΣ ΚΛΕΙΣΙΜΑΤΟΣ'!V36)</f>
        <v>-3.5932009226063329E-2</v>
      </c>
      <c r="W36" s="43">
        <f>LN('2.ΤΙΜΕΣ ΚΛΕΙΣΙΜΑΤΟΣ'!W37/'2.ΤΙΜΕΣ ΚΛΕΙΣΙΜΑΤΟΣ'!W36)</f>
        <v>-2.503130218118477E-3</v>
      </c>
      <c r="X36" s="43">
        <f>LN('2.ΤΙΜΕΣ ΚΛΕΙΣΙΜΑΤΟΣ'!X37/'2.ΤΙΜΕΣ ΚΛΕΙΣΙΜΑΤΟΣ'!X36)</f>
        <v>0</v>
      </c>
      <c r="Y36" s="43">
        <f>LN('2.ΤΙΜΕΣ ΚΛΕΙΣΙΜΑΤΟΣ'!Y37/'2.ΤΙΜΕΣ ΚΛΕΙΣΙΜΑΤΟΣ'!Y36)</f>
        <v>1.242251999855711E-2</v>
      </c>
      <c r="Z36" s="43">
        <f>LN('2.ΤΙΜΕΣ ΚΛΕΙΣΙΜΑΤΟΣ'!Z37/'2.ΤΙΜΕΣ ΚΛΕΙΣΙΜΑΤΟΣ'!Z36)</f>
        <v>-1.4652276786870375E-2</v>
      </c>
      <c r="AA36" s="43">
        <f>LN('2.ΤΙΜΕΣ ΚΛΕΙΣΙΜΑΤΟΣ'!AA37/'2.ΤΙΜΕΣ ΚΛΕΙΣΙΜΑΤΟΣ'!AA36)</f>
        <v>-2.1414094503816473E-2</v>
      </c>
      <c r="AB36" s="43">
        <f>LN('2.ΤΙΜΕΣ ΚΛΕΙΣΙΜΑΤΟΣ'!AB37/'2.ΤΙΜΕΣ ΚΛΕΙΣΙΜΑΤΟΣ'!AB36)</f>
        <v>4.2016868536999766E-3</v>
      </c>
      <c r="AC36" s="43">
        <f>LN('2.ΤΙΜΕΣ ΚΛΕΙΣΙΜΑΤΟΣ'!AC37/'2.ΤΙΜΕΣ ΚΛΕΙΣΙΜΑΤΟΣ'!AC36)</f>
        <v>-1.3726838119721356E-3</v>
      </c>
      <c r="AD36" s="43">
        <f>LN('2.ΤΙΜΕΣ ΚΛΕΙΣΙΜΑΤΟΣ'!AD37/'2.ΤΙΜΕΣ ΚΛΕΙΣΙΜΑΤΟΣ'!AD36)</f>
        <v>-3.1645596029630254E-3</v>
      </c>
      <c r="AE36" s="43">
        <f>LN('2.ΤΙΜΕΣ ΚΛΕΙΣΙΜΑΤΟΣ'!AE37/'2.ΤΙΜΕΣ ΚΛΕΙΣΙΜΑΤΟΣ'!AE36)</f>
        <v>0</v>
      </c>
      <c r="AF36" s="43">
        <f>LN('2.ΤΙΜΕΣ ΚΛΕΙΣΙΜΑΤΟΣ'!AF37/'2.ΤΙΜΕΣ ΚΛΕΙΣΙΜΑΤΟΣ'!AF36)</f>
        <v>2.5975486403260736E-2</v>
      </c>
      <c r="AG36" s="43">
        <f>LN('2.ΤΙΜΕΣ ΚΛΕΙΣΙΜΑΤΟΣ'!AG37/'2.ΤΙΜΕΣ ΚΛΕΙΣΙΜΑΤΟΣ'!AG36)</f>
        <v>0</v>
      </c>
      <c r="AH36" s="43">
        <f>LN('2.ΤΙΜΕΣ ΚΛΕΙΣΙΜΑΤΟΣ'!AH37/'2.ΤΙΜΕΣ ΚΛΕΙΣΙΜΑΤΟΣ'!AH36)</f>
        <v>0</v>
      </c>
      <c r="AI36" s="43">
        <f>LN('2.ΤΙΜΕΣ ΚΛΕΙΣΙΜΑΤΟΣ'!AI37/'2.ΤΙΜΕΣ ΚΛΕΙΣΙΜΑΤΟΣ'!AI36)</f>
        <v>0</v>
      </c>
      <c r="AJ36" s="43">
        <f>LN('2.ΤΙΜΕΣ ΚΛΕΙΣΙΜΑΤΟΣ'!AJ37/'2.ΤΙΜΕΣ ΚΛΕΙΣΙΜΑΤΟΣ'!AJ36)</f>
        <v>-4.8426244757879032E-3</v>
      </c>
      <c r="AK36" s="43">
        <f>LN('2.ΤΙΜΕΣ ΚΛΕΙΣΙΜΑΤΟΣ'!AK37/'2.ΤΙΜΕΣ ΚΛΕΙΣΙΜΑΤΟΣ'!AK36)</f>
        <v>-2.6420094628386965E-3</v>
      </c>
      <c r="AL36" s="43">
        <f>LN('2.ΤΙΜΕΣ ΚΛΕΙΣΙΜΑΤΟΣ'!AL37/'2.ΤΙΜΕΣ ΚΛΕΙΣΙΜΑΤΟΣ'!AL36)</f>
        <v>1.1834457647002798E-2</v>
      </c>
      <c r="AM36" s="43">
        <f>LN('2.ΤΙΜΕΣ ΚΛΕΙΣΙΜΑΤΟΣ'!AM37/'2.ΤΙΜΕΣ ΚΛΕΙΣΙΜΑΤΟΣ'!AM36)</f>
        <v>-2.2250608934819692E-2</v>
      </c>
      <c r="AN36" s="43">
        <f>LN('2.ΤΙΜΕΣ ΚΛΕΙΣΙΜΑΤΟΣ'!AN37/'2.ΤΙΜΕΣ ΚΛΕΙΣΙΜΑΤΟΣ'!AN36)</f>
        <v>3.0627895305457308E-3</v>
      </c>
      <c r="AO36" s="43">
        <f>LN('2.ΤΙΜΕΣ ΚΛΕΙΣΙΜΑΤΟΣ'!AO37/'2.ΤΙΜΕΣ ΚΛΕΙΣΙΜΑΤΟΣ'!AO36)</f>
        <v>-6.688988150796652E-3</v>
      </c>
      <c r="AP36" s="43">
        <f>LN('2.ΤΙΜΕΣ ΚΛΕΙΣΙΜΑΤΟΣ'!AP37/'2.ΤΙΜΕΣ ΚΛΕΙΣΙΜΑΤΟΣ'!AP36)</f>
        <v>1.0347995995958183E-2</v>
      </c>
      <c r="AQ36" s="43">
        <f>LN('2.ΤΙΜΕΣ ΚΛΕΙΣΙΜΑΤΟΣ'!AQ37/'2.ΤΙΜΕΣ ΚΛΕΙΣΙΜΑΤΟΣ'!AQ36)</f>
        <v>1.355932411135997E-3</v>
      </c>
      <c r="AR36" s="43">
        <f>LN('2.ΤΙΜΕΣ ΚΛΕΙΣΙΜΑΤΟΣ'!AR37/'2.ΤΙΜΕΣ ΚΛΕΙΣΙΜΑΤΟΣ'!AR36)</f>
        <v>-1.2195273093818243E-2</v>
      </c>
      <c r="AS36" s="43">
        <f>LN('2.ΤΙΜΕΣ ΚΛΕΙΣΙΜΑΤΟΣ'!AS37/'2.ΤΙΜΕΣ ΚΛΕΙΣΙΜΑΤΟΣ'!AS36)</f>
        <v>0</v>
      </c>
      <c r="AT36" s="43">
        <f>LN('2.ΤΙΜΕΣ ΚΛΕΙΣΙΜΑΤΟΣ'!AT37/'2.ΤΙΜΕΣ ΚΛΕΙΣΙΜΑΤΟΣ'!AT36)</f>
        <v>-1.4025475354504434E-2</v>
      </c>
      <c r="AU36" s="43">
        <f>LN('2.ΤΙΜΕΣ ΚΛΕΙΣΙΜΑΤΟΣ'!AU37/'2.ΤΙΜΕΣ ΚΛΕΙΣΙΜΑΤΟΣ'!AU36)</f>
        <v>-2.3076880799048106E-3</v>
      </c>
    </row>
    <row r="37" spans="1:47">
      <c r="A37" s="41">
        <v>43608</v>
      </c>
      <c r="B37" s="43">
        <f>LN('2.ΤΙΜΕΣ ΚΛΕΙΣΙΜΑΤΟΣ'!B38/'2.ΤΙΜΕΣ ΚΛΕΙΣΙΜΑΤΟΣ'!B37)</f>
        <v>-1.2461220437811889E-2</v>
      </c>
      <c r="C37" s="43">
        <f>LN('2.ΤΙΜΕΣ ΚΛΕΙΣΙΜΑΤΟΣ'!C38/'2.ΤΙΜΕΣ ΚΛΕΙΣΙΜΑΤΟΣ'!C37)</f>
        <v>1.0685765080461316E-2</v>
      </c>
      <c r="D37" s="43">
        <f>LN('2.ΤΙΜΕΣ ΚΛΕΙΣΙΜΑΤΟΣ'!D38/'2.ΤΙΜΕΣ ΚΛΕΙΣΙΜΑΤΟΣ'!D37)</f>
        <v>1.6542974453757221E-2</v>
      </c>
      <c r="E37" s="43">
        <f>LN('2.ΤΙΜΕΣ ΚΛΕΙΣΙΜΑΤΟΣ'!E38/'2.ΤΙΜΕΣ ΚΛΕΙΣΙΜΑΤΟΣ'!E37)</f>
        <v>-1.1498266687373134E-2</v>
      </c>
      <c r="F37" s="43">
        <f>LN('2.ΤΙΜΕΣ ΚΛΕΙΣΙΜΑΤΟΣ'!F38/'2.ΤΙΜΕΣ ΚΛΕΙΣΙΜΑΤΟΣ'!F37)</f>
        <v>1.1590599814909836E-2</v>
      </c>
      <c r="G37" s="43">
        <f>LN('2.ΤΙΜΕΣ ΚΛΕΙΣΙΜΑΤΟΣ'!G38/'2.ΤΙΜΕΣ ΚΛΕΙΣΙΜΑΤΟΣ'!G37)</f>
        <v>-6.2303883336154865E-2</v>
      </c>
      <c r="H37" s="43">
        <f>LN('2.ΤΙΜΕΣ ΚΛΕΙΣΙΜΑΤΟΣ'!H38/'2.ΤΙΜΕΣ ΚΛΕΙΣΙΜΑΤΟΣ'!H37)</f>
        <v>8.7561723494617629E-3</v>
      </c>
      <c r="I37" s="43">
        <f>LN('2.ΤΙΜΕΣ ΚΛΕΙΣΙΜΑΤΟΣ'!I38/'2.ΤΙΜΕΣ ΚΛΕΙΣΙΜΑΤΟΣ'!I37)</f>
        <v>1.3804522911910217E-2</v>
      </c>
      <c r="J37" s="43">
        <f>LN('2.ΤΙΜΕΣ ΚΛΕΙΣΙΜΑΤΟΣ'!J38/'2.ΤΙΜΕΣ ΚΛΕΙΣΙΜΑΤΟΣ'!J37)</f>
        <v>-3.9104215085075791E-2</v>
      </c>
      <c r="K37" s="43">
        <f>LN('2.ΤΙΜΕΣ ΚΛΕΙΣΙΜΑΤΟΣ'!K38/'2.ΤΙΜΕΣ ΚΛΕΙΣΙΜΑΤΟΣ'!K37)</f>
        <v>-1.3775438643266602E-2</v>
      </c>
      <c r="L37" s="43">
        <f>LN('2.ΤΙΜΕΣ ΚΛΕΙΣΙΜΑΤΟΣ'!L38/'2.ΤΙΜΕΣ ΚΛΕΙΣΙΜΑΤΟΣ'!L37)</f>
        <v>-1.7937700686667318E-2</v>
      </c>
      <c r="M37" s="43">
        <f>LN('2.ΤΙΜΕΣ ΚΛΕΙΣΙΜΑΤΟΣ'!M38/'2.ΤΙΜΕΣ ΚΛΕΙΣΙΜΑΤΟΣ'!M37)</f>
        <v>3.2828270313335649E-2</v>
      </c>
      <c r="N37" s="43">
        <f>LN('2.ΤΙΜΕΣ ΚΛΕΙΣΙΜΑΤΟΣ'!N38/'2.ΤΙΜΕΣ ΚΛΕΙΣΙΜΑΤΟΣ'!N37)</f>
        <v>-1.3618826346438176E-3</v>
      </c>
      <c r="O37" s="43">
        <f>LN('2.ΤΙΜΕΣ ΚΛΕΙΣΙΜΑΤΟΣ'!O38/'2.ΤΙΜΕΣ ΚΛΕΙΣΙΜΑΤΟΣ'!O37)</f>
        <v>1.7079423451563376E-3</v>
      </c>
      <c r="P37" s="43">
        <f>LN('2.ΤΙΜΕΣ ΚΛΕΙΣΙΜΑΤΟΣ'!P38/'2.ΤΙΜΕΣ ΚΛΕΙΣΙΜΑΤΟΣ'!P37)</f>
        <v>1.1440582401892919E-2</v>
      </c>
      <c r="Q37" s="43">
        <f>LN('2.ΤΙΜΕΣ ΚΛΕΙΣΙΜΑΤΟΣ'!Q38/'2.ΤΙΜΕΣ ΚΛΕΙΣΙΜΑΤΟΣ'!Q37)</f>
        <v>2.8916194931294333E-2</v>
      </c>
      <c r="R37" s="43">
        <f>LN('2.ΤΙΜΕΣ ΚΛΕΙΣΙΜΑΤΟΣ'!R38/'2.ΤΙΜΕΣ ΚΛΕΙΣΙΜΑΤΟΣ'!R37)</f>
        <v>3.0349036951541112E-3</v>
      </c>
      <c r="S37" s="43">
        <f>LN('2.ΤΙΜΕΣ ΚΛΕΙΣΙΜΑΤΟΣ'!S38/'2.ΤΙΜΕΣ ΚΛΕΙΣΙΜΑΤΟΣ'!S37)</f>
        <v>-2.3400930164612473E-2</v>
      </c>
      <c r="T37" s="43">
        <f>LN('2.ΤΙΜΕΣ ΚΛΕΙΣΙΜΑΤΟΣ'!T38/'2.ΤΙΜΕΣ ΚΛΕΙΣΙΜΑΤΟΣ'!T37)</f>
        <v>-1.3536585717533375E-2</v>
      </c>
      <c r="U37" s="43">
        <f>LN('2.ΤΙΜΕΣ ΚΛΕΙΣΙΜΑΤΟΣ'!U38/'2.ΤΙΜΕΣ ΚΛΕΙΣΙΜΑΤΟΣ'!U37)</f>
        <v>1.759576189037966E-2</v>
      </c>
      <c r="V37" s="43">
        <f>LN('2.ΤΙΜΕΣ ΚΛΕΙΣΙΜΑΤΟΣ'!V38/'2.ΤΙΜΕΣ ΚΛΕΙΣΙΜΑΤΟΣ'!V37)</f>
        <v>-4.8899852941919038E-3</v>
      </c>
      <c r="W37" s="43">
        <f>LN('2.ΤΙΜΕΣ ΚΛΕΙΣΙΜΑΤΟΣ'!W38/'2.ΤΙΜΕΣ ΚΛΕΙΣΙΜΑΤΟΣ'!W37)</f>
        <v>-1.0075651988741587E-2</v>
      </c>
      <c r="X37" s="43">
        <f>LN('2.ΤΙΜΕΣ ΚΛΕΙΣΙΜΑΤΟΣ'!X38/'2.ΤΙΜΕΣ ΚΛΕΙΣΙΜΑΤΟΣ'!X37)</f>
        <v>-1.1774431835886003E-2</v>
      </c>
      <c r="Y37" s="43">
        <f>LN('2.ΤΙΜΕΣ ΚΛΕΙΣΙΜΑΤΟΣ'!Y38/'2.ΤΙΜΕΣ ΚΛΕΙΣΙΜΑΤΟΣ'!Y37)</f>
        <v>2.4660924951934683E-3</v>
      </c>
      <c r="Z37" s="43">
        <f>LN('2.ΤΙΜΕΣ ΚΛΕΙΣΙΜΑΤΟΣ'!Z38/'2.ΤΙΜΕΣ ΚΛΕΙΣΙΜΑΤΟΣ'!Z37)</f>
        <v>1.4652276786870415E-2</v>
      </c>
      <c r="AA37" s="43">
        <f>LN('2.ΤΙΜΕΣ ΚΛΕΙΣΙΜΑΤΟΣ'!AA38/'2.ΤΙΜΕΣ ΚΛΕΙΣΙΜΑΤΟΣ'!AA37)</f>
        <v>1.716780362236528E-2</v>
      </c>
      <c r="AB37" s="43">
        <f>LN('2.ΤΙΜΕΣ ΚΛΕΙΣΙΜΑΤΟΣ'!AB38/'2.ΤΙΜΕΣ ΚΛΕΙΣΙΜΑΤΟΣ'!AB37)</f>
        <v>6.269613013595395E-3</v>
      </c>
      <c r="AC37" s="43">
        <f>LN('2.ΤΙΜΕΣ ΚΛΕΙΣΙΜΑΤΟΣ'!AC38/'2.ΤΙΜΕΣ ΚΛΕΙΣΙΜΑΤΟΣ'!AC37)</f>
        <v>-1.3745706631665985E-3</v>
      </c>
      <c r="AD37" s="43">
        <f>LN('2.ΤΙΜΕΣ ΚΛΕΙΣΙΜΑΤΟΣ'!AD38/'2.ΤΙΜΕΣ ΚΛΕΙΣΙΜΑΤΟΣ'!AD37)</f>
        <v>-1.2759343753759986E-2</v>
      </c>
      <c r="AE37" s="43">
        <f>LN('2.ΤΙΜΕΣ ΚΛΕΙΣΙΜΑΤΟΣ'!AE38/'2.ΤΙΜΕΣ ΚΛΕΙΣΙΜΑΤΟΣ'!AE37)</f>
        <v>3.8835000263976122E-3</v>
      </c>
      <c r="AF37" s="43">
        <f>LN('2.ΤΙΜΕΣ ΚΛΕΙΣΙΜΑΤΟΣ'!AF38/'2.ΤΙΜΕΣ ΚΛΕΙΣΙΜΑΤΟΣ'!AF37)</f>
        <v>-1.160554612030789E-2</v>
      </c>
      <c r="AG37" s="43">
        <f>LN('2.ΤΙΜΕΣ ΚΛΕΙΣΙΜΑΤΟΣ'!AG38/'2.ΤΙΜΕΣ ΚΛΕΙΣΙΜΑΤΟΣ'!AG37)</f>
        <v>5.1151006667704089E-3</v>
      </c>
      <c r="AH37" s="43">
        <f>LN('2.ΤΙΜΕΣ ΚΛΕΙΣΙΜΑΤΟΣ'!AH38/'2.ΤΙΜΕΣ ΚΛΕΙΣΙΜΑΤΟΣ'!AH37)</f>
        <v>-8.0938895555847292E-4</v>
      </c>
      <c r="AI37" s="43">
        <f>LN('2.ΤΙΜΕΣ ΚΛΕΙΣΙΜΑΤΟΣ'!AI38/'2.ΤΙΜΕΣ ΚΛΕΙΣΙΜΑΤΟΣ'!AI37)</f>
        <v>0</v>
      </c>
      <c r="AJ37" s="43">
        <f>LN('2.ΤΙΜΕΣ ΚΛΕΙΣΙΜΑΤΟΣ'!AJ38/'2.ΤΙΜΕΣ ΚΛΕΙΣΙΜΑΤΟΣ'!AJ37)</f>
        <v>-1.4670189747793855E-2</v>
      </c>
      <c r="AK37" s="43">
        <f>LN('2.ΤΙΜΕΣ ΚΛΕΙΣΙΜΑΤΟΣ'!AK38/'2.ΤΙΜΕΣ ΚΛΕΙΣΙΜΑΤΟΣ'!AK37)</f>
        <v>-2.1391189981317445E-2</v>
      </c>
      <c r="AL37" s="43">
        <f>LN('2.ΤΙΜΕΣ ΚΛΕΙΣΙΜΑΤΟΣ'!AL38/'2.ΤΙΜΕΣ ΚΛΕΙΣΙΜΑΤΟΣ'!AL37)</f>
        <v>-3.5932009226063329E-2</v>
      </c>
      <c r="AM37" s="43">
        <f>LN('2.ΤΙΜΕΣ ΚΛΕΙΣΙΜΑΤΟΣ'!AM38/'2.ΤΙΜΕΣ ΚΛΕΙΣΙΜΑΤΟΣ'!AM37)</f>
        <v>7.4720148387010564E-3</v>
      </c>
      <c r="AN37" s="43">
        <f>LN('2.ΤΙΜΕΣ ΚΛΕΙΣΙΜΑΤΟΣ'!AN38/'2.ΤΙΜΕΣ ΚΛΕΙΣΙΜΑΤΟΣ'!AN37)</f>
        <v>-4.0567184989000048E-2</v>
      </c>
      <c r="AO37" s="43">
        <f>LN('2.ΤΙΜΕΣ ΚΛΕΙΣΙΜΑΤΟΣ'!AO38/'2.ΤΙΜΕΣ ΚΛΕΙΣΙΜΑΤΟΣ'!AO37)</f>
        <v>-2.0339684237122672E-2</v>
      </c>
      <c r="AP37" s="43">
        <f>LN('2.ΤΙΜΕΣ ΚΛΕΙΣΙΜΑΤΟΣ'!AP38/'2.ΤΙΜΕΣ ΚΛΕΙΣΙΜΑΤΟΣ'!AP37)</f>
        <v>-3.5561915144902414E-3</v>
      </c>
      <c r="AQ37" s="43">
        <f>LN('2.ΤΙΜΕΣ ΚΛΕΙΣΙΜΑΤΟΣ'!AQ38/'2.ΤΙΜΕΣ ΚΛΕΙΣΙΜΑΤΟΣ'!AQ37)</f>
        <v>-1.7772169745797761E-2</v>
      </c>
      <c r="AR37" s="43">
        <f>LN('2.ΤΙΜΕΣ ΚΛΕΙΣΙΜΑΤΟΣ'!AR38/'2.ΤΙΜΕΣ ΚΛΕΙΣΙΜΑΤΟΣ'!AR37)</f>
        <v>-6.1538655743781116E-3</v>
      </c>
      <c r="AS37" s="43">
        <f>LN('2.ΤΙΜΕΣ ΚΛΕΙΣΙΜΑΤΟΣ'!AS38/'2.ΤΙΜΕΣ ΚΛΕΙΣΙΜΑΤΟΣ'!AS37)</f>
        <v>8.7336799687546315E-3</v>
      </c>
      <c r="AT37" s="43">
        <f>LN('2.ΤΙΜΕΣ ΚΛΕΙΣΙΜΑΤΟΣ'!AT38/'2.ΤΙΜΕΣ ΚΛΕΙΣΙΜΑΤΟΣ'!AT37)</f>
        <v>-9.1644589911117819E-2</v>
      </c>
      <c r="AU37" s="43">
        <f>LN('2.ΤΙΜΕΣ ΚΛΕΙΣΙΜΑΤΟΣ'!AU38/'2.ΤΙΜΕΣ ΚΛΕΙΣΙΜΑΤΟΣ'!AU37)</f>
        <v>-8.1397793369814096E-3</v>
      </c>
    </row>
    <row r="38" spans="1:47">
      <c r="A38" s="41">
        <v>43609</v>
      </c>
      <c r="B38" s="43">
        <f>LN('2.ΤΙΜΕΣ ΚΛΕΙΣΙΜΑΤΟΣ'!B39/'2.ΤΙΜΕΣ ΚΛΕΙΣΙΜΑΤΟΣ'!B38)</f>
        <v>1.5552413007484785E-2</v>
      </c>
      <c r="C38" s="43">
        <f>LN('2.ΤΙΜΕΣ ΚΛΕΙΣΙΜΑΤΟΣ'!C39/'2.ΤΙΜΕΣ ΚΛΕΙΣΙΜΑΤΟΣ'!C38)</f>
        <v>1.4072351838678037E-2</v>
      </c>
      <c r="D38" s="43">
        <f>LN('2.ΤΙΜΕΣ ΚΛΕΙΣΙΜΑΤΟΣ'!D39/'2.ΤΙΜΕΣ ΚΛΕΙΣΙΜΑΤΟΣ'!D38)</f>
        <v>7.0069187766383422E-3</v>
      </c>
      <c r="E38" s="43">
        <f>LN('2.ΤΙΜΕΣ ΚΛΕΙΣΙΜΑΤΟΣ'!E39/'2.ΤΙΜΕΣ ΚΛΕΙΣΙΜΑΤΟΣ'!E38)</f>
        <v>2.0202707317519469E-2</v>
      </c>
      <c r="F38" s="43">
        <f>LN('2.ΤΙΜΕΣ ΚΛΕΙΣΙΜΑΤΟΣ'!F39/'2.ΤΙΜΕΣ ΚΛΕΙΣΙΜΑΤΟΣ'!F38)</f>
        <v>-1.2812301560484619E-3</v>
      </c>
      <c r="G38" s="43">
        <f>LN('2.ΤΙΜΕΣ ΚΛΕΙΣΙΜΑΤΟΣ'!G39/'2.ΤΙΜΕΣ ΚΛΕΙΣΙΜΑΤΟΣ'!G38)</f>
        <v>-7.168489478612516E-3</v>
      </c>
      <c r="H38" s="43">
        <f>LN('2.ΤΙΜΕΣ ΚΛΕΙΣΙΜΑΤΟΣ'!H39/'2.ΤΙΜΕΣ ΚΛΕΙΣΙΜΑΤΟΣ'!H38)</f>
        <v>4.0941715326631468E-3</v>
      </c>
      <c r="I38" s="43">
        <f>LN('2.ΤΙΜΕΣ ΚΛΕΙΣΙΜΑΤΟΣ'!I39/'2.ΤΙΜΕΣ ΚΛΕΙΣΙΜΑΤΟΣ'!I38)</f>
        <v>-1.6142053545411135E-3</v>
      </c>
      <c r="J38" s="43">
        <f>LN('2.ΤΙΜΕΣ ΚΛΕΙΣΙΜΑΤΟΣ'!J39/'2.ΤΙΜΕΣ ΚΛΕΙΣΙΜΑΤΟΣ'!J38)</f>
        <v>-5.049230099700607E-4</v>
      </c>
      <c r="K38" s="43">
        <f>LN('2.ΤΙΜΕΣ ΚΛΕΙΣΙΜΑΤΟΣ'!K39/'2.ΤΙΜΕΣ ΚΛΕΙΣΙΜΑΤΟΣ'!K38)</f>
        <v>9.2585734061609061E-3</v>
      </c>
      <c r="L38" s="43">
        <f>LN('2.ΤΙΜΕΣ ΚΛΕΙΣΙΜΑΤΟΣ'!L39/'2.ΤΙΜΕΣ ΚΛΕΙΣΙΜΑΤΟΣ'!L38)</f>
        <v>1.7381990752944297E-2</v>
      </c>
      <c r="M38" s="43">
        <f>LN('2.ΤΙΜΕΣ ΚΛΕΙΣΙΜΑΤΟΣ'!M39/'2.ΤΙΜΕΣ ΚΛΕΙΣΙΜΑΤΟΣ'!M38)</f>
        <v>-4.6242856971137917E-3</v>
      </c>
      <c r="N38" s="43">
        <f>LN('2.ΤΙΜΕΣ ΚΛΕΙΣΙΜΑΤΟΣ'!N39/'2.ΤΙΜΕΣ ΚΛΕΙΣΙΜΑΤΟΣ'!N38)</f>
        <v>4.381664485537385E-3</v>
      </c>
      <c r="O38" s="43">
        <f>LN('2.ΤΙΜΕΣ ΚΛΕΙΣΙΜΑΤΟΣ'!O39/'2.ΤΙΜΕΣ ΚΛΕΙΣΙΜΑΤΟΣ'!O38)</f>
        <v>5.1063940745740555E-3</v>
      </c>
      <c r="P38" s="43">
        <f>LN('2.ΤΙΜΕΣ ΚΛΕΙΣΙΜΑΤΟΣ'!P39/'2.ΤΙΜΕΣ ΚΛΕΙΣΙΜΑΤΟΣ'!P38)</f>
        <v>1.033591823282692E-3</v>
      </c>
      <c r="Q38" s="43">
        <f>LN('2.ΤΙΜΕΣ ΚΛΕΙΣΙΜΑΤΟΣ'!Q39/'2.ΤΙΜΕΣ ΚΛΕΙΣΙΜΑΤΟΣ'!Q38)</f>
        <v>4.9684967156007218E-2</v>
      </c>
      <c r="R38" s="43">
        <f>LN('2.ΤΙΜΕΣ ΚΛΕΙΣΙΜΑΤΟΣ'!R39/'2.ΤΙΜΕΣ ΚΛΕΙΣΙΜΑΤΟΣ'!R38)</f>
        <v>0.10011953294236904</v>
      </c>
      <c r="S38" s="43">
        <f>LN('2.ΤΙΜΕΣ ΚΛΕΙΣΙΜΑΤΟΣ'!S39/'2.ΤΙΜΕΣ ΚΛΕΙΣΙΜΑΤΟΣ'!S38)</f>
        <v>1.1080445776571959E-2</v>
      </c>
      <c r="T38" s="43">
        <f>LN('2.ΤΙΜΕΣ ΚΛΕΙΣΙΜΑΤΟΣ'!T39/'2.ΤΙΜΕΣ ΚΛΕΙΣΙΜΑΤΟΣ'!T38)</f>
        <v>1.3536585717533321E-2</v>
      </c>
      <c r="U38" s="43">
        <f>LN('2.ΤΙΜΕΣ ΚΛΕΙΣΙΜΑΤΟΣ'!U39/'2.ΤΙΜΕΣ ΚΛΕΙΣΙΜΑΤΟΣ'!U38)</f>
        <v>1.1560822401076006E-2</v>
      </c>
      <c r="V38" s="43">
        <f>LN('2.ΤΙΜΕΣ ΚΛΕΙΣΙΜΑΤΟΣ'!V39/'2.ΤΙΜΕΣ ΚΛΕΙΣΙΜΑΤΟΣ'!V38)</f>
        <v>-2.4539889615665914E-3</v>
      </c>
      <c r="W38" s="43">
        <f>LN('2.ΤΙΜΕΣ ΚΛΕΙΣΙΜΑΤΟΣ'!W39/'2.ΤΙΜΕΣ ΚΛΕΙΣΙΜΑΤΟΣ'!W38)</f>
        <v>1.007565198874164E-2</v>
      </c>
      <c r="X38" s="43">
        <f>LN('2.ΤΙΜΕΣ ΚΛΕΙΣΙΜΑΤΟΣ'!X39/'2.ΤΙΜΕΣ ΚΛΕΙΣΙΜΑΤΟΣ'!X38)</f>
        <v>4.3675063502661426E-2</v>
      </c>
      <c r="Y38" s="43">
        <f>LN('2.ΤΙΜΕΣ ΚΛΕΙΣΙΜΑΤΟΣ'!Y39/'2.ΤΙΜΕΣ ΚΛΕΙΣΙΜΑΤΟΣ'!Y38)</f>
        <v>-7.416597655049483E-3</v>
      </c>
      <c r="Z38" s="43">
        <f>LN('2.ΤΙΜΕΣ ΚΛΕΙΣΙΜΑΤΟΣ'!Z39/'2.ΤΙΜΕΣ ΚΛΕΙΣΙΜΑΤΟΣ'!Z38)</f>
        <v>-7.299302481611496E-3</v>
      </c>
      <c r="AA38" s="43">
        <f>LN('2.ΤΙΜΕΣ ΚΛΕΙΣΙΜΑΤΟΣ'!AA39/'2.ΤΙΜΕΣ ΚΛΕΙΣΙΜΑΤΟΣ'!AA38)</f>
        <v>-4.2643987864575397E-3</v>
      </c>
      <c r="AB38" s="43">
        <f>LN('2.ΤΙΜΕΣ ΚΛΕΙΣΙΜΑΤΟΣ'!AB39/'2.ΤΙΜΕΣ ΚΛΕΙΣΙΜΑΤΟΣ'!AB38)</f>
        <v>2.7736754971599619E-2</v>
      </c>
      <c r="AC38" s="43">
        <f>LN('2.ΤΙΜΕΣ ΚΛΕΙΣΙΜΑΤΟΣ'!AC39/'2.ΤΙΜΕΣ ΚΛΕΙΣΙΜΑΤΟΣ'!AC38)</f>
        <v>2.747254475138702E-3</v>
      </c>
      <c r="AD38" s="43">
        <f>LN('2.ΤΙΜΕΣ ΚΛΕΙΣΙΜΑΤΟΣ'!AD39/'2.ΤΙΜΕΣ ΚΛΕΙΣΙΜΑΤΟΣ'!AD38)</f>
        <v>1.1173300598125255E-2</v>
      </c>
      <c r="AE38" s="43">
        <f>LN('2.ΤΙΜΕΣ ΚΛΕΙΣΙΜΑΤΟΣ'!AE39/'2.ΤΙΜΕΣ ΚΛΕΙΣΙΜΑΤΟΣ'!AE38)</f>
        <v>4.5462374076757413E-2</v>
      </c>
      <c r="AF38" s="43">
        <f>LN('2.ΤΙΜΕΣ ΚΛΕΙΣΙΜΑΤΟΣ'!AF39/'2.ΤΙΜΕΣ ΚΛΕΙΣΙΜΑΤΟΣ'!AF38)</f>
        <v>1.160554612030789E-2</v>
      </c>
      <c r="AG38" s="43">
        <f>LN('2.ΤΙΜΕΣ ΚΛΕΙΣΙΜΑΤΟΣ'!AG39/'2.ΤΙΜΕΣ ΚΛΕΙΣΙΜΑΤΟΣ'!AG38)</f>
        <v>-1.025650016718911E-2</v>
      </c>
      <c r="AH38" s="43">
        <f>LN('2.ΤΙΜΕΣ ΚΛΕΙΣΙΜΑΤΟΣ'!AH39/'2.ΤΙΜΕΣ ΚΛΕΙΣΙΜΑΤΟΣ'!AH38)</f>
        <v>8.093889555584958E-4</v>
      </c>
      <c r="AI38" s="43">
        <f>LN('2.ΤΙΜΕΣ ΚΛΕΙΣΙΜΑΤΟΣ'!AI39/'2.ΤΙΜΕΣ ΚΛΕΙΣΙΜΑΤΟΣ'!AI38)</f>
        <v>3.278982282299097E-2</v>
      </c>
      <c r="AJ38" s="43">
        <f>LN('2.ΤΙΜΕΣ ΚΛΕΙΣΙΜΑΤΟΣ'!AJ39/'2.ΤΙΜΕΣ ΚΛΕΙΣΙΜΑΤΟΣ'!AJ38)</f>
        <v>-2.4938948347252066E-2</v>
      </c>
      <c r="AK38" s="43">
        <f>LN('2.ΤΙΜΕΣ ΚΛΕΙΣΙΜΑΤΟΣ'!AK39/'2.ΤΙΜΕΣ ΚΛΕΙΣΙΜΑΤΟΣ'!AK38)</f>
        <v>-2.7063615977430252E-3</v>
      </c>
      <c r="AL38" s="43">
        <f>LN('2.ΤΙΜΕΣ ΚΛΕΙΣΙΜΑΤΟΣ'!AL39/'2.ΤΙΜΕΣ ΚΛΕΙΣΙΜΑΤΟΣ'!AL38)</f>
        <v>3.593200922606337E-2</v>
      </c>
      <c r="AM38" s="43">
        <f>LN('2.ΤΙΜΕΣ ΚΛΕΙΣΙΜΑΤΟΣ'!AM39/'2.ΤΙΜΕΣ ΚΛΕΙΣΙΜΑΤΟΣ'!AM38)</f>
        <v>-1.2484556662245396E-2</v>
      </c>
      <c r="AN38" s="43">
        <f>LN('2.ΤΙΜΕΣ ΚΛΕΙΣΙΜΑΤΟΣ'!AN39/'2.ΤΙΜΕΣ ΚΛΕΙΣΙΜΑΤΟΣ'!AN38)</f>
        <v>3.1796529173798056E-3</v>
      </c>
      <c r="AO38" s="43">
        <f>LN('2.ΤΙΜΕΣ ΚΛΕΙΣΙΜΑΤΟΣ'!AO39/'2.ΤΙΜΕΣ ΚΛΕΙΣΙΜΑΤΟΣ'!AO38)</f>
        <v>6.8259650703998906E-3</v>
      </c>
      <c r="AP38" s="43">
        <f>LN('2.ΤΙΜΕΣ ΚΛΕΙΣΙΜΑΤΟΣ'!AP39/'2.ΤΙΜΕΣ ΚΛΕΙΣΙΜΑΤΟΣ'!AP38)</f>
        <v>0</v>
      </c>
      <c r="AQ38" s="43">
        <f>LN('2.ΤΙΜΕΣ ΚΛΕΙΣΙΜΑΤΟΣ'!AQ39/'2.ΤΙΜΕΣ ΚΛΕΙΣΙΜΑΤΟΣ'!AQ38)</f>
        <v>2.7548226788446837E-3</v>
      </c>
      <c r="AR38" s="43">
        <f>LN('2.ΤΙΜΕΣ ΚΛΕΙΣΙΜΑΤΟΣ'!AR39/'2.ΤΙΜΕΣ ΚΛΕΙΣΙΜΑΤΟΣ'!AR38)</f>
        <v>-1.2353306079927434E-3</v>
      </c>
      <c r="AS38" s="43">
        <f>LN('2.ΤΙΜΕΣ ΚΛΕΙΣΙΜΑΤΟΣ'!AS39/'2.ΤΙΜΕΣ ΚΛΕΙΣΙΜΑΤΟΣ'!AS38)</f>
        <v>0</v>
      </c>
      <c r="AT38" s="43">
        <f>LN('2.ΤΙΜΕΣ ΚΛΕΙΣΙΜΑΤΟΣ'!AT39/'2.ΤΙΜΕΣ ΚΛΕΙΣΙΜΑΤΟΣ'!AT38)</f>
        <v>9.2450581440512089E-3</v>
      </c>
      <c r="AU38" s="43">
        <f>LN('2.ΤΙΜΕΣ ΚΛΕΙΣΙΜΑΤΟΣ'!AU39/'2.ΤΙΜΕΣ ΚΛΕΙΣΙΜΑΤΟΣ'!AU38)</f>
        <v>8.8640655026645029E-3</v>
      </c>
    </row>
    <row r="39" spans="1:47">
      <c r="A39" s="41">
        <v>43612</v>
      </c>
      <c r="B39" s="43">
        <f>LN('2.ΤΙΜΕΣ ΚΛΕΙΣΙΜΑΤΟΣ'!B40/'2.ΤΙΜΕΣ ΚΛΕΙΣΙΜΑΤΟΣ'!B39)</f>
        <v>7.3801072976226803E-3</v>
      </c>
      <c r="C39" s="43">
        <f>LN('2.ΤΙΜΕΣ ΚΛΕΙΣΙΜΑΤΟΣ'!C40/'2.ΤΙΜΕΣ ΚΛΕΙΣΙΜΑΤΟΣ'!C39)</f>
        <v>3.8548670117235243E-2</v>
      </c>
      <c r="D39" s="43">
        <f>LN('2.ΤΙΜΕΣ ΚΛΕΙΣΙΜΑΤΟΣ'!D40/'2.ΤΙΜΕΣ ΚΛΕΙΣΙΜΑΤΟΣ'!D39)</f>
        <v>5.6446987659210822E-2</v>
      </c>
      <c r="E39" s="43">
        <f>LN('2.ΤΙΜΕΣ ΚΛΕΙΣΙΜΑΤΟΣ'!E40/'2.ΤΙΜΕΣ ΚΛΕΙΣΙΜΑΤΟΣ'!E39)</f>
        <v>4.8790164169432049E-2</v>
      </c>
      <c r="F39" s="43">
        <f>LN('2.ΤΙΜΕΣ ΚΛΕΙΣΙΜΑΤΟΣ'!F40/'2.ΤΙΜΕΣ ΚΛΕΙΣΙΜΑΤΟΣ'!F39)</f>
        <v>6.5739722483205254E-2</v>
      </c>
      <c r="G39" s="43">
        <f>LN('2.ΤΙΜΕΣ ΚΛΕΙΣΙΜΑΤΟΣ'!G40/'2.ΤΙΜΕΣ ΚΛΕΙΣΙΜΑΤΟΣ'!G39)</f>
        <v>7.2153339568025193E-2</v>
      </c>
      <c r="H39" s="43">
        <f>LN('2.ΤΙΜΕΣ ΚΛΕΙΣΙΜΑΤΟΣ'!H40/'2.ΤΙΜΕΣ ΚΛΕΙΣΙΜΑΤΟΣ'!H39)</f>
        <v>6.1099986415784737E-3</v>
      </c>
      <c r="I39" s="43">
        <f>LN('2.ΤΙΜΕΣ ΚΛΕΙΣΙΜΑΤΟΣ'!I40/'2.ΤΙΜΕΣ ΚΛΕΙΣΙΜΑΤΟΣ'!I39)</f>
        <v>0.15114593932550491</v>
      </c>
      <c r="J39" s="43">
        <f>LN('2.ΤΙΜΕΣ ΚΛΕΙΣΙΜΑΤΟΣ'!J40/'2.ΤΙΜΕΣ ΚΛΕΙΣΙΜΑΤΟΣ'!J39)</f>
        <v>5.8840500022933395E-2</v>
      </c>
      <c r="K39" s="43">
        <f>LN('2.ΤΙΜΕΣ ΚΛΕΙΣΙΜΑΤΟΣ'!K40/'2.ΤΙΜΕΣ ΚΛΕΙΣΙΜΑΤΟΣ'!K39)</f>
        <v>0.10808920653061971</v>
      </c>
      <c r="L39" s="43">
        <f>LN('2.ΤΙΜΕΣ ΚΛΕΙΣΙΜΑΤΟΣ'!L40/'2.ΤΙΜΕΣ ΚΛΕΙΣΙΜΑΤΟΣ'!L39)</f>
        <v>6.7695012771351676E-2</v>
      </c>
      <c r="M39" s="43">
        <f>LN('2.ΤΙΜΕΣ ΚΛΕΙΣΙΜΑΤΟΣ'!M40/'2.ΤΙΜΕΣ ΚΛΕΙΣΙΜΑΤΟΣ'!M39)</f>
        <v>2.8557051908742061E-2</v>
      </c>
      <c r="N39" s="43">
        <f>LN('2.ΤΙΜΕΣ ΚΛΕΙΣΙΜΑΤΟΣ'!N40/'2.ΤΙΜΕΣ ΚΛΕΙΣΙΜΑΤΟΣ'!N39)</f>
        <v>3.4815752491810112E-2</v>
      </c>
      <c r="O39" s="43">
        <f>LN('2.ΤΙΜΕΣ ΚΛΕΙΣΙΜΑΤΟΣ'!O40/'2.ΤΙΜΕΣ ΚΛΕΙΣΙΜΑΤΟΣ'!O39)</f>
        <v>4.4820779881933163E-2</v>
      </c>
      <c r="P39" s="43">
        <f>LN('2.ΤΙΜΕΣ ΚΛΕΙΣΙΜΑΤΟΣ'!P40/'2.ΤΙΜΕΣ ΚΛΕΙΣΙΜΑΤΟΣ'!P39)</f>
        <v>2.0450610471290841E-2</v>
      </c>
      <c r="Q39" s="43">
        <f>LN('2.ΤΙΜΕΣ ΚΛΕΙΣΙΜΑΤΟΣ'!Q40/'2.ΤΙΜΕΣ ΚΛΕΙΣΙΜΑΤΟΣ'!Q39)</f>
        <v>0.24223311768137989</v>
      </c>
      <c r="R39" s="43">
        <f>LN('2.ΤΙΜΕΣ ΚΛΕΙΣΙΜΑΤΟΣ'!R40/'2.ΤΙΜΕΣ ΚΛΕΙΣΙΜΑΤΟΣ'!R39)</f>
        <v>0.10529197321289042</v>
      </c>
      <c r="S39" s="43">
        <f>LN('2.ΤΙΜΕΣ ΚΛΕΙΣΙΜΑΤΟΣ'!S40/'2.ΤΙΜΕΣ ΚΛΕΙΣΙΜΑΤΟΣ'!S39)</f>
        <v>8.2304991365154435E-3</v>
      </c>
      <c r="T39" s="43">
        <f>LN('2.ΤΙΜΕΣ ΚΛΕΙΣΙΜΑΤΟΣ'!T40/'2.ΤΙΜΕΣ ΚΛΕΙΣΙΜΑΤΟΣ'!T39)</f>
        <v>0.1291098673666452</v>
      </c>
      <c r="U39" s="43">
        <f>LN('2.ΤΙΜΕΣ ΚΛΕΙΣΙΜΑΤΟΣ'!U40/'2.ΤΙΜΕΣ ΚΛΕΙΣΙΜΑΤΟΣ'!U39)</f>
        <v>1.709443335930004E-2</v>
      </c>
      <c r="V39" s="43">
        <f>LN('2.ΤΙΜΕΣ ΚΛΕΙΣΙΜΑΤΟΣ'!V40/'2.ΤΙΜΕΣ ΚΛΕΙΣΙΜΑΤΟΣ'!V39)</f>
        <v>0.1114842335083553</v>
      </c>
      <c r="W39" s="43">
        <f>LN('2.ΤΙΜΕΣ ΚΛΕΙΣΙΜΑΤΟΣ'!W40/'2.ΤΙΜΕΣ ΚΛΕΙΣΙΜΑΤΟΣ'!W39)</f>
        <v>4.0521197405639399E-2</v>
      </c>
      <c r="X39" s="43">
        <f>LN('2.ΤΙΜΕΣ ΚΛΕΙΣΙΜΑΤΟΣ'!X40/'2.ΤΙΜΕΣ ΚΛΕΙΣΙΜΑΤΟΣ'!X39)</f>
        <v>1.1446534968058008E-2</v>
      </c>
      <c r="Y39" s="43">
        <f>LN('2.ΤΙΜΕΣ ΚΛΕΙΣΙΜΑΤΟΣ'!Y40/'2.ΤΙΜΕΣ ΚΛΕΙΣΙΜΑΤΟΣ'!Y39)</f>
        <v>0.11031102081768235</v>
      </c>
      <c r="Z39" s="43">
        <f>LN('2.ΤΙΜΕΣ ΚΛΕΙΣΙΜΑΤΟΣ'!Z40/'2.ΤΙΜΕΣ ΚΛΕΙΣΙΜΑΤΟΣ'!Z39)</f>
        <v>3.9502442976246173E-2</v>
      </c>
      <c r="AA39" s="43">
        <f>LN('2.ΤΙΜΕΣ ΚΛΕΙΣΙΜΑΤΟΣ'!AA40/'2.ΤΙΜΕΣ ΚΛΕΙΣΙΜΑΤΟΣ'!AA39)</f>
        <v>-1.7241806434505992E-2</v>
      </c>
      <c r="AB39" s="43">
        <f>LN('2.ΤΙΜΕΣ ΚΛΕΙΣΙΜΑΤΟΣ'!AB40/'2.ΤΙΜΕΣ ΚΛΕΙΣΙΜΑΤΟΣ'!AB39)</f>
        <v>3.288786684483521E-2</v>
      </c>
      <c r="AC39" s="43">
        <f>LN('2.ΤΙΜΕΣ ΚΛΕΙΣΙΜΑΤΟΣ'!AC40/'2.ΤΙΜΕΣ ΚΛΕΙΣΙΜΑΤΟΣ'!AC39)</f>
        <v>0</v>
      </c>
      <c r="AD39" s="43">
        <f>LN('2.ΤΙΜΕΣ ΚΛΕΙΣΙΜΑΤΟΣ'!AD40/'2.ΤΙΜΕΣ ΚΛΕΙΣΙΜΑΤΟΣ'!AD39)</f>
        <v>6.1557892999433365E-2</v>
      </c>
      <c r="AE39" s="43">
        <f>LN('2.ΤΙΜΕΣ ΚΛΕΙΣΙΜΑΤΟΣ'!AE40/'2.ΤΙΜΕΣ ΚΛΕΙΣΙΜΑΤΟΣ'!AE39)</f>
        <v>1.4706147389695487E-2</v>
      </c>
      <c r="AF39" s="43">
        <f>LN('2.ΤΙΜΕΣ ΚΛΕΙΣΙΜΑΤΟΣ'!AF40/'2.ΤΙΜΕΣ ΚΛΕΙΣΙΜΑΤΟΣ'!AF39)</f>
        <v>0.1408761486185621</v>
      </c>
      <c r="AG39" s="43">
        <f>LN('2.ΤΙΜΕΣ ΚΛΕΙΣΙΜΑΤΟΣ'!AG40/'2.ΤΙΜΕΣ ΚΛΕΙΣΙΜΑΤΟΣ'!AG39)</f>
        <v>9.343400664609687E-2</v>
      </c>
      <c r="AH39" s="43">
        <f>LN('2.ΤΙΜΕΣ ΚΛΕΙΣΙΜΑΤΟΣ'!AH40/'2.ΤΙΜΕΣ ΚΛΕΙΣΙΜΑΤΟΣ'!AH39)</f>
        <v>1.5255213548248136E-2</v>
      </c>
      <c r="AI39" s="43">
        <f>LN('2.ΤΙΜΕΣ ΚΛΕΙΣΙΜΑΤΟΣ'!AI40/'2.ΤΙΜΕΣ ΚΛΕΙΣΙΜΑΤΟΣ'!AI39)</f>
        <v>-3.2789822822990956E-2</v>
      </c>
      <c r="AJ39" s="43">
        <f>LN('2.ΤΙΜΕΣ ΚΛΕΙΣΙΜΑΤΟΣ'!AJ40/'2.ΤΙΜΕΣ ΚΛΕΙΣΙΜΑΤΟΣ'!AJ39)</f>
        <v>1.0050335853501506E-2</v>
      </c>
      <c r="AK39" s="43">
        <f>LN('2.ΤΙΜΕΣ ΚΛΕΙΣΙΜΑΤΟΣ'!AK40/'2.ΤΙΜΕΣ ΚΛΕΙΣΙΜΑΤΟΣ'!AK39)</f>
        <v>2.4097551579060524E-2</v>
      </c>
      <c r="AL39" s="43">
        <f>LN('2.ΤΙΜΕΣ ΚΛΕΙΣΙΜΑΤΟΣ'!AL40/'2.ΤΙΜΕΣ ΚΛΕΙΣΙΜΑΤΟΣ'!AL39)</f>
        <v>6.8208250026533565E-2</v>
      </c>
      <c r="AM39" s="43">
        <f>LN('2.ΤΙΜΕΣ ΚΛΕΙΣΙΜΑΤΟΣ'!AM40/'2.ΤΙΜΕΣ ΚΛΕΙΣΙΜΑΤΟΣ'!AM39)</f>
        <v>5.1418914637700187E-2</v>
      </c>
      <c r="AN39" s="43">
        <f>LN('2.ΤΙΜΕΣ ΚΛΕΙΣΙΜΑΤΟΣ'!AN40/'2.ΤΙΜΕΣ ΚΛΕΙΣΙΜΑΤΟΣ'!AN39)</f>
        <v>7.0473256657385686E-2</v>
      </c>
      <c r="AO39" s="43">
        <f>LN('2.ΤΙΜΕΣ ΚΛΕΙΣΙΜΑΤΟΣ'!AO40/'2.ΤΙΜΕΣ ΚΛΕΙΣΙΜΑΤΟΣ'!AO39)</f>
        <v>2.3530497410194036E-2</v>
      </c>
      <c r="AP39" s="43">
        <f>LN('2.ΤΙΜΕΣ ΚΛΕΙΣΙΜΑΤΟΣ'!AP40/'2.ΤΙΜΕΣ ΚΛΕΙΣΙΜΑΤΟΣ'!AP39)</f>
        <v>5.1382353478316156E-2</v>
      </c>
      <c r="AQ39" s="43">
        <f>LN('2.ΤΙΜΕΣ ΚΛΕΙΣΙΜΑΤΟΣ'!AQ40/'2.ΤΙΜΕΣ ΚΛΕΙΣΙΜΑΤΟΣ'!AQ39)</f>
        <v>3.1146728996836719E-2</v>
      </c>
      <c r="AR39" s="43">
        <f>LN('2.ΤΙΜΕΣ ΚΛΕΙΣΙΜΑΤΟΣ'!AR40/'2.ΤΙΜΕΣ ΚΛΕΙΣΙΜΑΤΟΣ'!AR39)</f>
        <v>-9.9379699901325207E-3</v>
      </c>
      <c r="AS39" s="43">
        <f>LN('2.ΤΙΜΕΣ ΚΛΕΙΣΙΜΑΤΟΣ'!AS40/'2.ΤΙΜΕΣ ΚΛΕΙΣΙΜΑΤΟΣ'!AS39)</f>
        <v>5.085841723349116E-2</v>
      </c>
      <c r="AT39" s="43">
        <f>LN('2.ΤΙΜΕΣ ΚΛΕΙΣΙΜΑΤΟΣ'!AT40/'2.ΤΙΜΕΣ ΚΛΕΙΣΙΜΑΤΟΣ'!AT39)</f>
        <v>4.2048236243499404E-2</v>
      </c>
      <c r="AU39" s="43">
        <f>LN('2.ΤΙΜΕΣ ΚΛΕΙΣΙΜΑΤΟΣ'!AU40/'2.ΤΙΜΕΣ ΚΛΕΙΣΙΜΑΤΟΣ'!AU39)</f>
        <v>5.9117581305133927E-2</v>
      </c>
    </row>
    <row r="40" spans="1:47">
      <c r="A40" s="41">
        <v>43613</v>
      </c>
      <c r="B40" s="43">
        <f>LN('2.ΤΙΜΕΣ ΚΛΕΙΣΙΜΑΤΟΣ'!B41/'2.ΤΙΜΕΣ ΚΛΕΙΣΙΜΑΤΟΣ'!B40)</f>
        <v>-1.668249995993602E-2</v>
      </c>
      <c r="C40" s="43">
        <f>LN('2.ΤΙΜΕΣ ΚΛΕΙΣΙΜΑΤΟΣ'!C41/'2.ΤΙΜΕΣ ΚΛΕΙΣΙΜΑΤΟΣ'!C40)</f>
        <v>-2.1232220105774167E-2</v>
      </c>
      <c r="D40" s="43">
        <f>LN('2.ΤΙΜΕΣ ΚΛΕΙΣΙΜΑΤΟΣ'!D41/'2.ΤΙΜΕΣ ΚΛΕΙΣΙΜΑΤΟΣ'!D40)</f>
        <v>8.7604590053613381E-3</v>
      </c>
      <c r="E40" s="43">
        <f>LN('2.ΤΙΜΕΣ ΚΛΕΙΣΙΜΑΤΟΣ'!E41/'2.ΤΙΜΕΣ ΚΛΕΙΣΙΜΑΤΟΣ'!E40)</f>
        <v>1.7621601349819629E-2</v>
      </c>
      <c r="F40" s="43">
        <f>LN('2.ΤΙΜΕΣ ΚΛΕΙΣΙΜΑΤΟΣ'!F41/'2.ΤΙΜΕΣ ΚΛΕΙΣΙΜΑΤΟΣ'!F40)</f>
        <v>8.3682496705165792E-3</v>
      </c>
      <c r="G40" s="43">
        <f>LN('2.ΤΙΜΕΣ ΚΛΕΙΣΙΜΑΤΟΣ'!G41/'2.ΤΙΜΕΣ ΚΛΕΙΣΙΜΑΤΟΣ'!G40)</f>
        <v>9.3239155125481379E-2</v>
      </c>
      <c r="H40" s="43">
        <f>LN('2.ΤΙΜΕΣ ΚΛΕΙΣΙΜΑΤΟΣ'!H41/'2.ΤΙΜΕΣ ΚΛΕΙΣΙΜΑΤΟΣ'!H40)</f>
        <v>2.2089251546473392E-2</v>
      </c>
      <c r="I40" s="43">
        <f>LN('2.ΤΙΜΕΣ ΚΛΕΙΣΙΜΑΤΟΣ'!I41/'2.ΤΙΜΕΣ ΚΛΕΙΣΙΜΑΤΟΣ'!I40)</f>
        <v>3.7483093254740689E-2</v>
      </c>
      <c r="J40" s="43">
        <f>LN('2.ΤΙΜΕΣ ΚΛΕΙΣΙΜΑΤΟΣ'!J41/'2.ΤΙΜΕΣ ΚΛΕΙΣΙΜΑΤΟΣ'!J40)</f>
        <v>9.4787439545437387E-3</v>
      </c>
      <c r="K40" s="43">
        <f>LN('2.ΤΙΜΕΣ ΚΛΕΙΣΙΜΑΤΟΣ'!K41/'2.ΤΙΜΕΣ ΚΛΕΙΣΙΜΑΤΟΣ'!K40)</f>
        <v>1.0824959568738612E-2</v>
      </c>
      <c r="L40" s="43">
        <f>LN('2.ΤΙΜΕΣ ΚΛΕΙΣΙΜΑΤΟΣ'!L41/'2.ΤΙΜΕΣ ΚΛΕΙΣΙΜΑΤΟΣ'!L40)</f>
        <v>1.495258588084339E-2</v>
      </c>
      <c r="M40" s="43">
        <f>LN('2.ΤΙΜΕΣ ΚΛΕΙΣΙΜΑΤΟΣ'!M41/'2.ΤΙΜΕΣ ΚΛΕΙΣΙΜΑΤΟΣ'!M40)</f>
        <v>-1.7036187152567852E-2</v>
      </c>
      <c r="N40" s="43">
        <f>LN('2.ΤΙΜΕΣ ΚΛΕΙΣΙΜΑΤΟΣ'!N41/'2.ΤΙΜΕΣ ΚΛΕΙΣΙΜΑΤΟΣ'!N40)</f>
        <v>-1.4570889945005928E-3</v>
      </c>
      <c r="O40" s="43">
        <f>LN('2.ΤΙΜΕΣ ΚΛΕΙΣΙΜΑΤΟΣ'!O41/'2.ΤΙΜΕΣ ΚΛΕΙΣΙΜΑΤΟΣ'!O40)</f>
        <v>5.0643732818754936E-2</v>
      </c>
      <c r="P40" s="43">
        <f>LN('2.ΤΙΜΕΣ ΚΛΕΙΣΙΜΑΤΟΣ'!P41/'2.ΤΙΜΕΣ ΚΛΕΙΣΙΜΑΤΟΣ'!P40)</f>
        <v>5.7045946877000341E-2</v>
      </c>
      <c r="Q40" s="43">
        <f>LN('2.ΤΙΜΕΣ ΚΛΕΙΣΙΜΑΤΟΣ'!Q41/'2.ΤΙΜΕΣ ΚΛΕΙΣΙΜΑΤΟΣ'!Q40)</f>
        <v>0.14007695261559625</v>
      </c>
      <c r="R40" s="43">
        <f>LN('2.ΤΙΜΕΣ ΚΛΕΙΣΙΜΑΤΟΣ'!R41/'2.ΤΙΜΕΣ ΚΛΕΙΣΙΜΑΤΟΣ'!R40)</f>
        <v>7.9877536842720819E-3</v>
      </c>
      <c r="S40" s="43">
        <f>LN('2.ΤΙΜΕΣ ΚΛΕΙΣΙΜΑΤΟΣ'!S41/'2.ΤΙΜΕΣ ΚΛΕΙΣΙΜΑΤΟΣ'!S40)</f>
        <v>6.7352182029491559E-2</v>
      </c>
      <c r="T40" s="43">
        <f>LN('2.ΤΙΜΕΣ ΚΛΕΙΣΙΜΑΤΟΣ'!T41/'2.ΤΙΜΕΣ ΚΛΕΙΣΙΜΑΤΟΣ'!T40)</f>
        <v>-5.9259432675470456E-3</v>
      </c>
      <c r="U40" s="43">
        <f>LN('2.ΤΙΜΕΣ ΚΛΕΙΣΙΜΑΤΟΣ'!U41/'2.ΤΙΜΕΣ ΚΛΕΙΣΙΜΑΤΟΣ'!U40)</f>
        <v>1.123607326692597E-2</v>
      </c>
      <c r="V40" s="43">
        <f>LN('2.ΤΙΜΕΣ ΚΛΕΙΣΙΜΑΤΟΣ'!V41/'2.ΤΙΜΕΣ ΚΛΕΙΣΙΜΑΤΟΣ'!V40)</f>
        <v>1.5267472130788599E-2</v>
      </c>
      <c r="W40" s="43">
        <f>LN('2.ΤΙΜΕΣ ΚΛΕΙΣΙΜΑΤΟΣ'!W41/'2.ΤΙΜΕΣ ΚΛΕΙΣΙΜΑΤΟΣ'!W40)</f>
        <v>2.1429391455898991E-2</v>
      </c>
      <c r="X40" s="43">
        <f>LN('2.ΤΙΜΕΣ ΚΛΕΙΣΙΜΑΤΟΣ'!X41/'2.ΤΙΜΕΣ ΚΛΕΙΣΙΜΑΤΟΣ'!X40)</f>
        <v>1.9467827944389355E-2</v>
      </c>
      <c r="Y40" s="43">
        <f>LN('2.ΤΙΜΕΣ ΚΛΕΙΣΙΜΑΤΟΣ'!Y41/'2.ΤΙΜΕΣ ΚΛΕΙΣΙΜΑΤΟΣ'!Y40)</f>
        <v>-2.2472855852058514E-2</v>
      </c>
      <c r="Z40" s="43">
        <f>LN('2.ΤΙΜΕΣ ΚΛΕΙΣΙΜΑΤΟΣ'!Z41/'2.ΤΙΜΕΣ ΚΛΕΙΣΙΜΑΤΟΣ'!Z40)</f>
        <v>3.5149421074445919E-3</v>
      </c>
      <c r="AA40" s="43">
        <f>LN('2.ΤΙΜΕΣ ΚΛΕΙΣΙΜΑΤΟΣ'!AA41/'2.ΤΙΜΕΣ ΚΛΕΙΣΙΜΑΤΟΣ'!AA40)</f>
        <v>0</v>
      </c>
      <c r="AB40" s="43">
        <f>LN('2.ΤΙΜΕΣ ΚΛΕΙΣΙΜΑΤΟΣ'!AB41/'2.ΤΙΜΕΣ ΚΛΕΙΣΙΜΑΤΟΣ'!AB40)</f>
        <v>0</v>
      </c>
      <c r="AC40" s="43">
        <f>LN('2.ΤΙΜΕΣ ΚΛΕΙΣΙΜΑΤΟΣ'!AC41/'2.ΤΙΜΕΣ ΚΛΕΙΣΙΜΑΤΟΣ'!AC40)</f>
        <v>0</v>
      </c>
      <c r="AD40" s="43">
        <f>LN('2.ΤΙΜΕΣ ΚΛΕΙΣΙΜΑΤΟΣ'!AD41/'2.ΤΙΜΕΣ ΚΛΕΙΣΙΜΑΤΟΣ'!AD40)</f>
        <v>-1.5037877364540559E-2</v>
      </c>
      <c r="AE40" s="43">
        <f>LN('2.ΤΙΜΕΣ ΚΛΕΙΣΙΜΑΤΟΣ'!AE41/'2.ΤΙΜΕΣ ΚΛΕΙΣΙΜΑΤΟΣ'!AE40)</f>
        <v>1.8083675433295327E-2</v>
      </c>
      <c r="AF40" s="43">
        <f>LN('2.ΤΙΜΕΣ ΚΛΕΙΣΙΜΑΤΟΣ'!AF41/'2.ΤΙΜΕΣ ΚΛΕΙΣΙΜΑΤΟΣ'!AF40)</f>
        <v>-3.3463500273442836E-3</v>
      </c>
      <c r="AG40" s="43">
        <f>LN('2.ΤΙΜΕΣ ΚΛΕΙΣΙΜΑΤΟΣ'!AG41/'2.ΤΙΜΕΣ ΚΛΕΙΣΙΜΑΤΟΣ'!AG40)</f>
        <v>9.345862418237599E-3</v>
      </c>
      <c r="AH40" s="43">
        <f>LN('2.ΤΙΜΕΣ ΚΛΕΙΣΙΜΑΤΟΣ'!AH41/'2.ΤΙΜΕΣ ΚΛΕΙΣΙΜΑΤΟΣ'!AH40)</f>
        <v>6.3542707846067983E-3</v>
      </c>
      <c r="AI40" s="43">
        <f>LN('2.ΤΙΜΕΣ ΚΛΕΙΣΙΜΑΤΟΣ'!AI41/'2.ΤΙΜΕΣ ΚΛΕΙΣΙΜΑΤΟΣ'!AI40)</f>
        <v>0</v>
      </c>
      <c r="AJ40" s="43">
        <f>LN('2.ΤΙΜΕΣ ΚΛΕΙΣΙΜΑΤΟΣ'!AJ41/'2.ΤΙΜΕΣ ΚΛΕΙΣΙΜΑΤΟΣ'!AJ40)</f>
        <v>6.7658648473814864E-2</v>
      </c>
      <c r="AK40" s="43">
        <f>LN('2.ΤΙΜΕΣ ΚΛΕΙΣΙΜΑΤΟΣ'!AK41/'2.ΤΙΜΕΣ ΚΛΕΙΣΙΜΑΤΟΣ'!AK40)</f>
        <v>1.5748356968139112E-2</v>
      </c>
      <c r="AL40" s="43">
        <f>LN('2.ΤΙΜΕΣ ΚΛΕΙΣΙΜΑΤΟΣ'!AL41/'2.ΤΙΜΕΣ ΚΛΕΙΣΙΜΑΤΟΣ'!AL40)</f>
        <v>2.173998663640582E-2</v>
      </c>
      <c r="AM40" s="43">
        <f>LN('2.ΤΙΜΕΣ ΚΛΕΙΣΙΜΑΤΟΣ'!AM41/'2.ΤΙΜΕΣ ΚΛΕΙΣΙΜΑΤΟΣ'!AM40)</f>
        <v>-7.1856596608744858E-3</v>
      </c>
      <c r="AN40" s="43">
        <f>LN('2.ΤΙΜΕΣ ΚΛΕΙΣΙΜΑΤΟΣ'!AN41/'2.ΤΙΜΕΣ ΚΛΕΙΣΙΜΑΤΟΣ'!AN40)</f>
        <v>-8.915363657952393E-3</v>
      </c>
      <c r="AO40" s="43">
        <f>LN('2.ΤΙΜΕΣ ΚΛΕΙΣΙΜΑΤΟΣ'!AO41/'2.ΤΙΜΕΣ ΚΛΕΙΣΙΜΑΤΟΣ'!AO40)</f>
        <v>2.9462032730316282E-2</v>
      </c>
      <c r="AP40" s="43">
        <f>LN('2.ΤΙΜΕΣ ΚΛΕΙΣΙΜΑΤΟΣ'!AP41/'2.ΤΙΜΕΣ ΚΛΕΙΣΙΜΑΤΟΣ'!AP40)</f>
        <v>2.3081807459225091E-2</v>
      </c>
      <c r="AQ40" s="43">
        <f>LN('2.ΤΙΜΕΣ ΚΛΕΙΣΙΜΑΤΟΣ'!AQ41/'2.ΤΙΜΕΣ ΚΛΕΙΣΙΜΑΤΟΣ'!AQ40)</f>
        <v>9.1667188525823673E-2</v>
      </c>
      <c r="AR40" s="43">
        <f>LN('2.ΤΙΜΕΣ ΚΛΕΙΣΙΜΑΤΟΣ'!AR41/'2.ΤΙΜΕΣ ΚΛΕΙΣΙΜΑΤΟΣ'!AR40)</f>
        <v>4.3963123421115989E-2</v>
      </c>
      <c r="AS40" s="43">
        <f>LN('2.ΤΙΜΕΣ ΚΛΕΙΣΙΜΑΤΟΣ'!AS41/'2.ΤΙΜΕΣ ΚΛΕΙΣΙΜΑΤΟΣ'!AS40)</f>
        <v>8.2304991365154435E-3</v>
      </c>
      <c r="AT40" s="43">
        <f>LN('2.ΤΙΜΕΣ ΚΛΕΙΣΙΜΑΤΟΣ'!AT41/'2.ΤΙΜΕΣ ΚΛΕΙΣΙΜΑΤΟΣ'!AT40)</f>
        <v>7.0951735972284394E-2</v>
      </c>
      <c r="AU40" s="43">
        <f>LN('2.ΤΙΜΕΣ ΚΛΕΙΣΙΜΑΤΟΣ'!AU41/'2.ΤΙΜΕΣ ΚΛΕΙΣΙΜΑΤΟΣ'!AU40)</f>
        <v>2.2951180215440434E-2</v>
      </c>
    </row>
    <row r="41" spans="1:47">
      <c r="A41" s="41">
        <v>43614</v>
      </c>
      <c r="B41" s="43">
        <f>LN('2.ΤΙΜΕΣ ΚΛΕΙΣΙΜΑΤΟΣ'!B42/'2.ΤΙΜΕΣ ΚΛΕΙΣΙΜΑΤΟΣ'!B41)</f>
        <v>1.2453301733962143E-3</v>
      </c>
      <c r="C41" s="43">
        <f>LN('2.ΤΙΜΕΣ ΚΛΕΙΣΙΜΑΤΟΣ'!C42/'2.ΤΙΜΕΣ ΚΛΕΙΣΙΜΑΤΟΣ'!C41)</f>
        <v>3.789927259098573E-2</v>
      </c>
      <c r="D41" s="43">
        <f>LN('2.ΤΙΜΕΣ ΚΛΕΙΣΙΜΑΤΟΣ'!D42/'2.ΤΙΜΕΣ ΚΛΕΙΣΙΜΑΤΟΣ'!D41)</f>
        <v>-3.2761850861054852E-3</v>
      </c>
      <c r="E41" s="43">
        <f>LN('2.ΤΙΜΕΣ ΚΛΕΙΣΙΜΑΤΟΣ'!E42/'2.ΤΙΜΕΣ ΚΛΕΙΣΙΜΑΤΟΣ'!E41)</f>
        <v>-1.4452026588540452E-2</v>
      </c>
      <c r="F41" s="43">
        <f>LN('2.ΤΙΜΕΣ ΚΛΕΙΣΙΜΑΤΟΣ'!F42/'2.ΤΙΜΕΣ ΚΛΕΙΣΙΜΑΤΟΣ'!F41)</f>
        <v>-8.3682496705166903E-3</v>
      </c>
      <c r="G41" s="43">
        <f>LN('2.ΤΙΜΕΣ ΚΛΕΙΣΙΜΑΤΟΣ'!G42/'2.ΤΙΜΕΣ ΚΛΕΙΣΙΜΑΤΟΣ'!G41)</f>
        <v>0</v>
      </c>
      <c r="H41" s="43">
        <f>LN('2.ΤΙΜΕΣ ΚΛΕΙΣΙΜΑΤΟΣ'!H42/'2.ΤΙΜΕΣ ΚΛΕΙΣΙΜΑΤΟΣ'!H41)</f>
        <v>6.3482849912136263E-2</v>
      </c>
      <c r="I41" s="43">
        <f>LN('2.ΤΙΜΕΣ ΚΛΕΙΣΙΜΑΤΟΣ'!I42/'2.ΤΙΜΕΣ ΚΛΕΙΣΙΜΑΤΟΣ'!I41)</f>
        <v>1.6584128015535261E-2</v>
      </c>
      <c r="J41" s="43">
        <f>LN('2.ΤΙΜΕΣ ΚΛΕΙΣΙΜΑΤΟΣ'!J42/'2.ΤΙΜΕΣ ΚΛΕΙΣΙΜΑΤΟΣ'!J41)</f>
        <v>0</v>
      </c>
      <c r="K41" s="43">
        <f>LN('2.ΤΙΜΕΣ ΚΛΕΙΣΙΜΑΤΟΣ'!K42/'2.ΤΙΜΕΣ ΚΛΕΙΣΙΜΑΤΟΣ'!K41)</f>
        <v>-1.2928250023051934E-3</v>
      </c>
      <c r="L41" s="43">
        <f>LN('2.ΤΙΜΕΣ ΚΛΕΙΣΙΜΑΤΟΣ'!L42/'2.ΤΙΜΕΣ ΚΛΕΙΣΙΜΑΤΟΣ'!L41)</f>
        <v>-3.3301724549039964E-2</v>
      </c>
      <c r="M41" s="43">
        <f>LN('2.ΤΙΜΕΣ ΚΛΕΙΣΙΜΑΤΟΣ'!M42/'2.ΤΙΜΕΣ ΚΛΕΙΣΙΜΑΤΟΣ'!M41)</f>
        <v>7.9863516326499229E-3</v>
      </c>
      <c r="N41" s="43">
        <f>LN('2.ΤΙΜΕΣ ΚΛΕΙΣΙΜΑΤΟΣ'!N42/'2.ΤΙΜΕΣ ΚΛΕΙΣΙΜΑΤΟΣ'!N41)</f>
        <v>-2.1667882864626255E-2</v>
      </c>
      <c r="O41" s="43">
        <f>LN('2.ΤΙΜΕΣ ΚΛΕΙΣΙΜΑΤΟΣ'!O42/'2.ΤΙΜΕΣ ΚΛΕΙΣΙΜΑΤΟΣ'!O41)</f>
        <v>-2.500130220541727E-2</v>
      </c>
      <c r="P41" s="43">
        <f>LN('2.ΤΙΜΕΣ ΚΛΕΙΣΙΜΑΤΟΣ'!P42/'2.ΤΙΜΕΣ ΚΛΕΙΣΙΜΑΤΟΣ'!P41)</f>
        <v>-2.1256839025415152E-2</v>
      </c>
      <c r="Q41" s="43">
        <f>LN('2.ΤΙΜΕΣ ΚΛΕΙΣΙΜΑΤΟΣ'!Q42/'2.ΤΙΜΕΣ ΚΛΕΙΣΙΜΑΤΟΣ'!Q41)</f>
        <v>-4.0166041725334757E-2</v>
      </c>
      <c r="R41" s="43">
        <f>LN('2.ΤΙΜΕΣ ΚΛΕΙΣΙΜΑΤΟΣ'!R42/'2.ΤΙΜΕΣ ΚΛΕΙΣΙΜΑΤΟΣ'!R41)</f>
        <v>-2.2904127204935655E-2</v>
      </c>
      <c r="S41" s="43">
        <f>LN('2.ΤΙΜΕΣ ΚΛΕΙΣΙΜΑΤΟΣ'!S42/'2.ΤΙΜΕΣ ΚΛΕΙΣΙΜΑΤΟΣ'!S41)</f>
        <v>-1.9342962843130987E-2</v>
      </c>
      <c r="T41" s="43">
        <f>LN('2.ΤΙΜΕΣ ΚΛΕΙΣΙΜΑΤΟΣ'!T42/'2.ΤΙΜΕΣ ΚΛΕΙΣΙΜΑΤΟΣ'!T41)</f>
        <v>-2.8637978187529115E-2</v>
      </c>
      <c r="U41" s="43">
        <f>LN('2.ΤΙΜΕΣ ΚΛΕΙΣΙΜΑΤΟΣ'!U42/'2.ΤΙΜΕΣ ΚΛΕΙΣΙΜΑΤΟΣ'!U41)</f>
        <v>-1.1236073266925842E-2</v>
      </c>
      <c r="V41" s="43">
        <f>LN('2.ΤΙΜΕΣ ΚΛΕΙΣΙΜΑΤΟΣ'!V42/'2.ΤΙΜΕΣ ΚΛΕΙΣΙΜΑΤΟΣ'!V41)</f>
        <v>-5.5631695986148699E-2</v>
      </c>
      <c r="W41" s="43">
        <f>LN('2.ΤΙΜΕΣ ΚΛΕΙΣΙΜΑΤΟΣ'!W42/'2.ΤΙΜΕΣ ΚΛΕΙΣΙΜΑΤΟΣ'!W41)</f>
        <v>1.1771631730148311E-3</v>
      </c>
      <c r="X41" s="43">
        <f>LN('2.ΤΙΜΕΣ ΚΛΕΙΣΙΜΑΤΟΣ'!X42/'2.ΤΙΜΕΣ ΚΛΕΙΣΙΜΑΤΟΣ'!X41)</f>
        <v>1.0932747023053108E-2</v>
      </c>
      <c r="Y41" s="43">
        <f>LN('2.ΤΙΜΕΣ ΚΛΕΙΣΙΜΑΤΟΣ'!Y42/'2.ΤΙΜΕΣ ΚΛΕΙΣΙΜΑΤΟΣ'!Y41)</f>
        <v>0</v>
      </c>
      <c r="Z41" s="43">
        <f>LN('2.ΤΙΜΕΣ ΚΛΕΙΣΙΜΑΤΟΣ'!Z42/'2.ΤΙΜΕΣ ΚΛΕΙΣΙΜΑΤΟΣ'!Z41)</f>
        <v>-1.7699577099400975E-2</v>
      </c>
      <c r="AA41" s="43">
        <f>LN('2.ΤΙΜΕΣ ΚΛΕΙΣΙΜΑΤΟΣ'!AA42/'2.ΤΙΜΕΣ ΚΛΕΙΣΙΜΑΤΟΣ'!AA41)</f>
        <v>-5.818195538273583E-2</v>
      </c>
      <c r="AB41" s="43">
        <f>LN('2.ΤΙΜΕΣ ΚΛΕΙΣΙΜΑΤΟΣ'!AB42/'2.ΤΙΜΕΣ ΚΛΕΙΣΙΜΑΤΟΣ'!AB41)</f>
        <v>-1.1834457647002796E-2</v>
      </c>
      <c r="AC41" s="43">
        <f>LN('2.ΤΙΜΕΣ ΚΛΕΙΣΙΜΑΤΟΣ'!AC42/'2.ΤΙΜΕΣ ΚΛΕΙΣΙΜΑΤΟΣ'!AC41)</f>
        <v>-5.5020771539834217E-3</v>
      </c>
      <c r="AD41" s="43">
        <f>LN('2.ΤΙΜΕΣ ΚΛΕΙΣΙΜΑΤΟΣ'!AD42/'2.ΤΙΜΕΣ ΚΛΕΙΣΙΜΑΤΟΣ'!AD41)</f>
        <v>3.0257209165368902E-3</v>
      </c>
      <c r="AE41" s="43">
        <f>LN('2.ΤΙΜΕΣ ΚΛΕΙΣΙΜΑΤΟΣ'!AE42/'2.ΤΙΜΕΣ ΚΛΕΙΣΙΜΑΤΟΣ'!AE41)</f>
        <v>-1.081091610421573E-2</v>
      </c>
      <c r="AF41" s="43">
        <f>LN('2.ΤΙΜΕΣ ΚΛΕΙΣΙΜΑΤΟΣ'!AF42/'2.ΤΙΜΕΣ ΚΛΕΙΣΙΜΑΤΟΣ'!AF41)</f>
        <v>-3.4094211342976126E-2</v>
      </c>
      <c r="AG41" s="43">
        <f>LN('2.ΤΙΜΕΣ ΚΛΕΙΣΙΜΑΤΟΣ'!AG42/'2.ΤΙΜΕΣ ΚΛΕΙΣΙΜΑΤΟΣ'!AG41)</f>
        <v>9.2593254127967262E-3</v>
      </c>
      <c r="AH41" s="43">
        <f>LN('2.ΤΙΜΕΣ ΚΛΕΙΣΙΜΑΤΟΣ'!AH42/'2.ΤΙΜΕΣ ΚΛΕΙΣΙΜΑΤΟΣ'!AH41)</f>
        <v>-1.9185240721348501E-2</v>
      </c>
      <c r="AI41" s="43">
        <f>LN('2.ΤΙΜΕΣ ΚΛΕΙΣΙΜΑΤΟΣ'!AI42/'2.ΤΙΜΕΣ ΚΛΕΙΣΙΜΑΤΟΣ'!AI41)</f>
        <v>0</v>
      </c>
      <c r="AJ41" s="43">
        <f>LN('2.ΤΙΜΕΣ ΚΛΕΙΣΙΜΑΤΟΣ'!AJ42/'2.ΤΙΜΕΣ ΚΛΕΙΣΙΜΑΤΟΣ'!AJ41)</f>
        <v>-1.4117881545785157E-2</v>
      </c>
      <c r="AK41" s="43">
        <f>LN('2.ΤΙΜΕΣ ΚΛΕΙΣΙΜΑΤΟΣ'!AK42/'2.ΤΙΜΕΣ ΚΛΕΙΣΙΜΑΤΟΣ'!AK41)</f>
        <v>-1.5748356968139168E-2</v>
      </c>
      <c r="AL41" s="43">
        <f>LN('2.ΤΙΜΕΣ ΚΛΕΙΣΙΜΑΤΟΣ'!AL42/'2.ΤΙΜΕΣ ΚΛΕΙΣΙΜΑΤΟΣ'!AL41)</f>
        <v>1.069528911674795E-2</v>
      </c>
      <c r="AM41" s="43">
        <f>LN('2.ΤΙΜΕΣ ΚΛΕΙΣΙΜΑΤΟΣ'!AM42/'2.ΤΙΜΕΣ ΚΛΕΙΣΙΜΑΤΟΣ'!AM41)</f>
        <v>-2.4067400305649764E-3</v>
      </c>
      <c r="AN41" s="43">
        <f>LN('2.ΤΙΜΕΣ ΚΛΕΙΣΙΜΑΤΟΣ'!AN42/'2.ΤΙΜΕΣ ΚΛΕΙΣΙΜΑΤΟΣ'!AN41)</f>
        <v>-1.2012156448003545E-2</v>
      </c>
      <c r="AO41" s="43">
        <f>LN('2.ΤΙΜΕΣ ΚΛΕΙΣΙΜΑΤΟΣ'!AO42/'2.ΤΙΜΕΣ ΚΛΕΙΣΙΜΑΤΟΣ'!AO41)</f>
        <v>-2.2839491969822903E-2</v>
      </c>
      <c r="AP41" s="43">
        <f>LN('2.ΤΙΜΕΣ ΚΛΕΙΣΙΜΑΤΟΣ'!AP42/'2.ΤΙΜΕΣ ΚΛΕΙΣΙΜΑΤΟΣ'!AP41)</f>
        <v>-3.3123581129829108E-3</v>
      </c>
      <c r="AQ41" s="43">
        <f>LN('2.ΤΙΜΕΣ ΚΛΕΙΣΙΜΑΤΟΣ'!AQ42/'2.ΤΙΜΕΣ ΚΛΕΙΣΙΜΑΤΟΣ'!AQ41)</f>
        <v>2.1661496781179467E-2</v>
      </c>
      <c r="AR41" s="43">
        <f>LN('2.ΤΙΜΕΣ ΚΛΕΙΣΙΜΑΤΟΣ'!AR42/'2.ΤΙΜΕΣ ΚΛΕΙΣΙΜΑΤΟΣ'!AR41)</f>
        <v>-1.1954574047737456E-3</v>
      </c>
      <c r="AS41" s="43">
        <f>LN('2.ΤΙΜΕΣ ΚΛΕΙΣΙΜΑΤΟΣ'!AS42/'2.ΤΙΜΕΣ ΚΛΕΙΣΙΜΑΤΟΣ'!AS41)</f>
        <v>1.2220111334775397E-2</v>
      </c>
      <c r="AT41" s="43">
        <f>LN('2.ΤΙΜΕΣ ΚΛΕΙΣΙΜΑΤΟΣ'!AT42/'2.ΤΙΜΕΣ ΚΛΕΙΣΙΜΑΤΟΣ'!AT41)</f>
        <v>3.7638851499934907E-2</v>
      </c>
      <c r="AU41" s="43">
        <f>LN('2.ΤΙΜΕΣ ΚΛΕΙΣΙΜΑΤΟΣ'!AU42/'2.ΤΙΜΕΣ ΚΛΕΙΣΙΜΑΤΟΣ'!AU41)</f>
        <v>-1.9777166975124072E-3</v>
      </c>
    </row>
    <row r="42" spans="1:47">
      <c r="A42" s="41">
        <v>43615</v>
      </c>
      <c r="B42" s="43">
        <f>LN('2.ΤΙΜΕΣ ΚΛΕΙΣΙΜΑΤΟΣ'!B43/'2.ΤΙΜΕΣ ΚΛΕΙΣΙΜΑΤΟΣ'!B42)</f>
        <v>6.8217318809244793E-3</v>
      </c>
      <c r="C42" s="43">
        <f>LN('2.ΤΙΜΕΣ ΚΛΕΙΣΙΜΑΤΟΣ'!C43/'2.ΤΙΜΕΣ ΚΛΕΙΣΙΜΑΤΟΣ'!C42)</f>
        <v>1.3136477905369981E-2</v>
      </c>
      <c r="D42" s="43">
        <f>LN('2.ΤΙΜΕΣ ΚΛΕΙΣΙΜΑΤΟΣ'!D43/'2.ΤΙΜΕΣ ΚΛΕΙΣΙΜΑΤΟΣ'!D42)</f>
        <v>1.5197860909431522E-2</v>
      </c>
      <c r="E42" s="43">
        <f>LN('2.ΤΙΜΕΣ ΚΛΕΙΣΙΜΑΤΟΣ'!E43/'2.ΤΙΜΕΣ ΚΛΕΙΣΙΜΑΤΟΣ'!E42)</f>
        <v>1.2578782206859965E-2</v>
      </c>
      <c r="F42" s="43">
        <f>LN('2.ΤΙΜΕΣ ΚΛΕΙΣΙΜΑΤΟΣ'!F43/'2.ΤΙΜΕΣ ΚΛΕΙΣΙΜΑΤΟΣ'!F42)</f>
        <v>0</v>
      </c>
      <c r="G42" s="43">
        <f>LN('2.ΤΙΜΕΣ ΚΛΕΙΣΙΜΑΤΟΣ'!G43/'2.ΤΙΜΕΣ ΚΛΕΙΣΙΜΑΤΟΣ'!G42)</f>
        <v>6.0337636594204047E-2</v>
      </c>
      <c r="H42" s="43">
        <f>LN('2.ΤΙΜΕΣ ΚΛΕΙΣΙΜΑΤΟΣ'!H43/'2.ΤΙΜΕΣ ΚΛΕΙΣΙΜΑΤΟΣ'!H42)</f>
        <v>4.0188056438502248E-2</v>
      </c>
      <c r="I42" s="43">
        <f>LN('2.ΤΙΜΕΣ ΚΛΕΙΣΙΜΑΤΟΣ'!I43/'2.ΤΙΜΕΣ ΚΛΕΙΣΙΜΑΤΟΣ'!I42)</f>
        <v>5.1293294387550481E-2</v>
      </c>
      <c r="J42" s="43">
        <f>LN('2.ΤΙΜΕΣ ΚΛΕΙΣΙΜΑΤΟΣ'!J43/'2.ΤΙΜΕΣ ΚΛΕΙΣΙΜΑΤΟΣ'!J42)</f>
        <v>4.7891287704414851E-2</v>
      </c>
      <c r="K42" s="43">
        <f>LN('2.ΤΙΜΕΣ ΚΛΕΙΣΙΜΑΤΟΣ'!K43/'2.ΤΙΜΕΣ ΚΛΕΙΣΙΜΑΤΟΣ'!K42)</f>
        <v>2.5839807659250678E-3</v>
      </c>
      <c r="L42" s="43">
        <f>LN('2.ΤΙΜΕΣ ΚΛΕΙΣΙΜΑΤΟΣ'!L43/'2.ΤΙΜΕΣ ΚΛΕΙΣΙΜΑΤΟΣ'!L42)</f>
        <v>1.3662850477117889E-2</v>
      </c>
      <c r="M42" s="43">
        <f>LN('2.ΤΙΜΕΣ ΚΛΕΙΣΙΜΑΤΟΣ'!M43/'2.ΤΙΜΕΣ ΚΛΕΙΣΙΜΑΤΟΣ'!M42)</f>
        <v>2.2701485345390775E-3</v>
      </c>
      <c r="N42" s="43">
        <f>LN('2.ΤΙΜΕΣ ΚΛΕΙΣΙΜΑΤΟΣ'!N43/'2.ΤΙΜΕΣ ΚΛΕΙΣΙΜΑΤΟΣ'!N42)</f>
        <v>7.2749188787703681E-3</v>
      </c>
      <c r="O42" s="43">
        <f>LN('2.ΤΙΜΕΣ ΚΛΕΙΣΙΜΑΤΟΣ'!O43/'2.ΤΙΜΕΣ ΚΛΕΙΣΙΜΑΤΟΣ'!O42)</f>
        <v>1.4140062773812693E-2</v>
      </c>
      <c r="P42" s="43">
        <f>LN('2.ΤΙΜΕΣ ΚΛΕΙΣΙΜΑΤΟΣ'!P43/'2.ΤΙΜΕΣ ΚΛΕΙΣΙΜΑΤΟΣ'!P42)</f>
        <v>-1.5748356968139168E-2</v>
      </c>
      <c r="Q42" s="43">
        <f>LN('2.ΤΙΜΕΣ ΚΛΕΙΣΙΜΑΤΟΣ'!Q43/'2.ΤΙΜΕΣ ΚΛΕΙΣΙΜΑΤΟΣ'!Q42)</f>
        <v>0.1376213778760477</v>
      </c>
      <c r="R42" s="43">
        <f>LN('2.ΤΙΜΕΣ ΚΛΕΙΣΙΜΑΤΟΣ'!R43/'2.ΤΙΜΕΣ ΚΛΕΙΣΙΜΑΤΟΣ'!R42)</f>
        <v>0.13728139701906328</v>
      </c>
      <c r="S42" s="43">
        <f>LN('2.ΤΙΜΕΣ ΚΛΕΙΣΙΜΑΤΟΣ'!S43/'2.ΤΙΜΕΣ ΚΛΕΙΣΙΜΑΤΟΣ'!S42)</f>
        <v>-1.7071983898647503E-2</v>
      </c>
      <c r="T42" s="43">
        <f>LN('2.ΤΙΜΕΣ ΚΛΕΙΣΙΜΑΤΟΣ'!T43/'2.ΤΙΜΕΣ ΚΛΕΙΣΙΜΑΤΟΣ'!T42)</f>
        <v>3.8985446712953592E-2</v>
      </c>
      <c r="U42" s="43">
        <f>LN('2.ΤΙΜΕΣ ΚΛΕΙΣΙΜΑΤΟΣ'!U43/'2.ΤΙΜΕΣ ΚΛΕΙΣΙΜΑΤΟΣ'!U42)</f>
        <v>1.6807118316381191E-2</v>
      </c>
      <c r="V42" s="43">
        <f>LN('2.ΤΙΜΕΣ ΚΛΕΙΣΙΜΑΤΟΣ'!V43/'2.ΤΙΜΕΣ ΚΛΕΙΣΙΜΑΤΟΣ'!V42)</f>
        <v>2.9314387668775307E-2</v>
      </c>
      <c r="W42" s="43">
        <f>LN('2.ΤΙΜΕΣ ΚΛΕΙΣΙΜΑΤΟΣ'!W43/'2.ΤΙΜΕΣ ΚΛΕΙΣΙΜΑΤΟΣ'!W42)</f>
        <v>1.1696039763191236E-2</v>
      </c>
      <c r="X42" s="43">
        <f>LN('2.ΤΙΜΕΣ ΚΛΕΙΣΙΜΑΤΟΣ'!X43/'2.ΤΙΜΕΣ ΚΛΕΙΣΙΜΑΤΟΣ'!X42)</f>
        <v>0.11357360106616704</v>
      </c>
      <c r="Y42" s="43">
        <f>LN('2.ΤΙΜΕΣ ΚΛΕΙΣΙΜΑΤΟΣ'!Y43/'2.ΤΙΜΕΣ ΚΛΕΙΣΙΜΑΤΟΣ'!Y42)</f>
        <v>4.3364214883434782E-2</v>
      </c>
      <c r="Z42" s="43">
        <f>LN('2.ΤΙΜΕΣ ΚΛΕΙΣΙΜΑΤΟΣ'!Z43/'2.ΤΙΜΕΣ ΚΛΕΙΣΙΜΑΤΟΣ'!Z42)</f>
        <v>3.1637084943182445E-2</v>
      </c>
      <c r="AA42" s="43">
        <f>LN('2.ΤΙΜΕΣ ΚΛΕΙΣΙΜΑΤΟΣ'!AA43/'2.ΤΙΜΕΣ ΚΛΕΙΣΙΜΑΤΟΣ'!AA42)</f>
        <v>3.174869831458027E-2</v>
      </c>
      <c r="AB42" s="43">
        <f>LN('2.ΤΙΜΕΣ ΚΛΕΙΣΙΜΑΤΟΣ'!AB43/'2.ΤΙΜΕΣ ΚΛΕΙΣΙΜΑΤΟΣ'!AB42)</f>
        <v>3.9604012160969143E-3</v>
      </c>
      <c r="AC42" s="43">
        <f>LN('2.ΤΙΜΕΣ ΚΛΕΙΣΙΜΑΤΟΣ'!AC43/'2.ΤΙΜΕΣ ΚΛΕΙΣΙΜΑΤΟΣ'!AC42)</f>
        <v>2.7548226788446837E-3</v>
      </c>
      <c r="AD42" s="43">
        <f>LN('2.ΤΙΜΕΣ ΚΛΕΙΣΙΜΑΤΟΣ'!AD43/'2.ΤΙΜΕΣ ΚΛΕΙΣΙΜΑΤΟΣ'!AD42)</f>
        <v>0</v>
      </c>
      <c r="AE42" s="43">
        <f>LN('2.ΤΙΜΕΣ ΚΛΕΙΣΙΜΑΤΟΣ'!AE43/'2.ΤΙΜΕΣ ΚΛΕΙΣΙΜΑΤΟΣ'!AE42)</f>
        <v>-1.0929070532190206E-2</v>
      </c>
      <c r="AF42" s="43">
        <f>LN('2.ΤΙΜΕΣ ΚΛΕΙΣΙΜΑΤΟΣ'!AF43/'2.ΤΙΜΕΣ ΚΛΕΙΣΙΜΑΤΟΣ'!AF42)</f>
        <v>7.137923188195916E-2</v>
      </c>
      <c r="AG42" s="43">
        <f>LN('2.ΤΙΜΕΣ ΚΛΕΙΣΙΜΑΤΟΣ'!AG43/'2.ΤΙΜΕΣ ΚΛΕΙΣΙΜΑΤΟΣ'!AG42)</f>
        <v>0.11316408980008884</v>
      </c>
      <c r="AH42" s="43">
        <f>LN('2.ΤΙΜΕΣ ΚΛΕΙΣΙΜΑΤΟΣ'!AH43/'2.ΤΙΜΕΣ ΚΛΕΙΣΙΜΑΤΟΣ'!AH42)</f>
        <v>4.027391669982127E-3</v>
      </c>
      <c r="AI42" s="43">
        <f>LN('2.ΤΙΜΕΣ ΚΛΕΙΣΙΜΑΤΟΣ'!AI43/'2.ΤΙΜΕΣ ΚΛΕΙΣΙΜΑΤΟΣ'!AI42)</f>
        <v>-1.6807118316381174E-2</v>
      </c>
      <c r="AJ42" s="43">
        <f>LN('2.ΤΙΜΕΣ ΚΛΕΙΣΙΜΑΤΟΣ'!AJ43/'2.ΤΙΜΕΣ ΚΛΕΙΣΙΜΑΤΟΣ'!AJ42)</f>
        <v>4.1769412876295146E-2</v>
      </c>
      <c r="AK42" s="43">
        <f>LN('2.ΤΙΜΕΣ ΚΛΕΙΣΙΜΑΤΟΣ'!AK43/'2.ΤΙΜΕΣ ΚΛΕΙΣΙΜΑΤΟΣ'!AK42)</f>
        <v>1.5748356968139112E-2</v>
      </c>
      <c r="AL42" s="43">
        <f>LN('2.ΤΙΜΕΣ ΚΛΕΙΣΙΜΑΤΟΣ'!AL43/'2.ΤΙΜΕΣ ΚΛΕΙΣΙΜΑΤΟΣ'!AL42)</f>
        <v>9.1434205959631851E-2</v>
      </c>
      <c r="AM42" s="43">
        <f>LN('2.ΤΙΜΕΣ ΚΛΕΙΣΙΜΑΤΟΣ'!AM43/'2.ΤΙΜΕΣ ΚΛΕΙΣΙΜΑΤΟΣ'!AM42)</f>
        <v>2.1454935001259466E-2</v>
      </c>
      <c r="AN42" s="43">
        <f>LN('2.ΤΙΜΕΣ ΚΛΕΙΣΙΜΑΤΟΣ'!AN43/'2.ΤΙΜΕΣ ΚΛΕΙΣΙΜΑΤΟΣ'!AN42)</f>
        <v>0.15112495891072131</v>
      </c>
      <c r="AO42" s="43">
        <f>LN('2.ΤΙΜΕΣ ΚΛΕΙΣΙΜΑΤΟΣ'!AO43/'2.ΤΙΜΕΣ ΚΛΕΙΣΙΜΑΤΟΣ'!AO42)</f>
        <v>3.8839833316263957E-2</v>
      </c>
      <c r="AP42" s="43">
        <f>LN('2.ΤΙΜΕΣ ΚΛΕΙΣΙΜΑΤΟΣ'!AP43/'2.ΤΙΜΕΣ ΚΛΕΙΣΙΜΑΤΟΣ'!AP42)</f>
        <v>-1.6391067754614935E-2</v>
      </c>
      <c r="AQ42" s="43">
        <f>LN('2.ΤΙΜΕΣ ΚΛΕΙΣΙΜΑΤΟΣ'!AQ43/'2.ΤΙΜΕΣ ΚΛΕΙΣΙΜΑΤΟΣ'!AQ42)</f>
        <v>3.5091319811270193E-2</v>
      </c>
      <c r="AR42" s="43">
        <f>LN('2.ΤΙΜΕΣ ΚΛΕΙΣΙΜΑΤΟΣ'!AR43/'2.ΤΙΜΕΣ ΚΛΕΙΣΙΜΑΤΟΣ'!AR42)</f>
        <v>4.7732787526575905E-3</v>
      </c>
      <c r="AS42" s="43">
        <f>LN('2.ΤΙΜΕΣ ΚΛΕΙΣΙΜΑΤΟΣ'!AS43/'2.ΤΙΜΕΣ ΚΛΕΙΣΙΜΑΤΟΣ'!AS42)</f>
        <v>-4.0568006956144299E-3</v>
      </c>
      <c r="AT42" s="43">
        <f>LN('2.ΤΙΜΕΣ ΚΛΕΙΣΙΜΑΤΟΣ'!AT43/'2.ΤΙΜΕΣ ΚΛΕΙΣΙΜΑΤΟΣ'!AT42)</f>
        <v>4.1349559818695453E-2</v>
      </c>
      <c r="AU42" s="43">
        <f>LN('2.ΤΙΜΕΣ ΚΛΕΙΣΙΜΑΤΟΣ'!AU43/'2.ΤΙΜΕΣ ΚΛΕΙΣΙΜΑΤΟΣ'!AU42)</f>
        <v>3.1366797416964687E-2</v>
      </c>
    </row>
    <row r="43" spans="1:47">
      <c r="A43" s="41">
        <v>43616</v>
      </c>
      <c r="B43" s="43">
        <f>LN('2.ΤΙΜΕΣ ΚΛΕΙΣΙΜΑΤΟΣ'!B44/'2.ΤΙΜΕΣ ΚΛΕΙΣΙΜΑΤΟΣ'!B43)</f>
        <v>-1.149973822886436E-2</v>
      </c>
      <c r="C43" s="43">
        <f>LN('2.ΤΙΜΕΣ ΚΛΕΙΣΙΜΑΤΟΣ'!C44/'2.ΤΙΜΕΣ ΚΛΕΙΣΙΜΑΤΟΣ'!C43)</f>
        <v>-8.1599351732930254E-4</v>
      </c>
      <c r="D43" s="43">
        <f>LN('2.ΤΙΜΕΣ ΚΛΕΙΣΙΜΑΤΟΣ'!D44/'2.ΤΙΜΕΣ ΚΛΕΙΣΙΜΑΤΟΣ'!D43)</f>
        <v>9.1158334080096333E-3</v>
      </c>
      <c r="E43" s="43">
        <f>LN('2.ΤΙΜΕΣ ΚΛΕΙΣΙΜΑΤΟΣ'!E44/'2.ΤΙΜΕΣ ΚΛΕΙΣΙΜΑΤΟΣ'!E43)</f>
        <v>-6.2696130135953742E-3</v>
      </c>
      <c r="F43" s="43">
        <f>LN('2.ΤΙΜΕΣ ΚΛΕΙΣΙΜΑΤΟΣ'!F44/'2.ΤΙΜΕΣ ΚΛΕΙΣΙΜΑΤΟΣ'!F43)</f>
        <v>1.1933315835012817E-2</v>
      </c>
      <c r="G43" s="43">
        <f>LN('2.ΤΙΜΕΣ ΚΛΕΙΣΙΜΑΤΟΣ'!G44/'2.ΤΙΜΕΣ ΚΛΕΙΣΙΜΑΤΟΣ'!G43)</f>
        <v>4.5819095051115441E-3</v>
      </c>
      <c r="H43" s="43">
        <f>LN('2.ΤΙΜΕΣ ΚΛΕΙΣΙΜΑΤΟΣ'!H44/'2.ΤΙΜΕΣ ΚΛΕΙΣΙΜΑΤΟΣ'!H43)</f>
        <v>2.0381742319340507E-2</v>
      </c>
      <c r="I43" s="43">
        <f>LN('2.ΤΙΜΕΣ ΚΛΕΙΣΙΜΑΤΟΣ'!I44/'2.ΤΙΜΕΣ ΚΛΕΙΣΙΜΑΤΟΣ'!I43)</f>
        <v>5.4724899689246466E-2</v>
      </c>
      <c r="J43" s="43">
        <f>LN('2.ΤΙΜΕΣ ΚΛΕΙΣΙΜΑΤΟΣ'!J44/'2.ΤΙΜΕΣ ΚΛΕΙΣΙΜΑΤΟΣ'!J43)</f>
        <v>6.2738340633423137E-2</v>
      </c>
      <c r="K43" s="43">
        <f>LN('2.ΤΙΜΕΣ ΚΛΕΙΣΙΜΑΤΟΣ'!K44/'2.ΤΙΜΕΣ ΚΛΕΙΣΙΜΑΤΟΣ'!K43)</f>
        <v>1.2112723797721475E-2</v>
      </c>
      <c r="L43" s="43">
        <f>LN('2.ΤΙΜΕΣ ΚΛΕΙΣΙΜΑΤΟΣ'!L44/'2.ΤΙΜΕΣ ΚΛΕΙΣΙΜΑΤΟΣ'!L43)</f>
        <v>1.9126972345873145E-2</v>
      </c>
      <c r="M43" s="43">
        <f>LN('2.ΤΙΜΕΣ ΚΛΕΙΣΙΜΑΤΟΣ'!M44/'2.ΤΙΜΕΣ ΚΛΕΙΣΙΜΑΤΟΣ'!M43)</f>
        <v>3.1252543504104315E-2</v>
      </c>
      <c r="N43" s="43">
        <f>LN('2.ΤΙΜΕΣ ΚΛΕΙΣΙΜΑΤΟΣ'!N44/'2.ΤΙΜΕΣ ΚΛΕΙΣΙΜΑΤΟΣ'!N43)</f>
        <v>5.899722127188322E-3</v>
      </c>
      <c r="O43" s="43">
        <f>LN('2.ΤΙΜΕΣ ΚΛΕΙΣΙΜΑΤΟΣ'!O44/'2.ΤΙΜΕΣ ΚΛΕΙΣΙΜΑΤΟΣ'!O43)</f>
        <v>2.465456156394058E-2</v>
      </c>
      <c r="P43" s="43">
        <f>LN('2.ΤΙΜΕΣ ΚΛΕΙΣΙΜΑΤΟΣ'!P44/'2.ΤΙΜΕΣ ΚΛΕΙΣΙΜΑΤΟΣ'!P43)</f>
        <v>-1.9860979716294028E-3</v>
      </c>
      <c r="Q43" s="43">
        <f>LN('2.ΤΙΜΕΣ ΚΛΕΙΣΙΜΑΤΟΣ'!Q44/'2.ΤΙΜΕΣ ΚΛΕΙΣΙΜΑΤΟΣ'!Q43)</f>
        <v>3.163708494318266E-2</v>
      </c>
      <c r="R43" s="43">
        <f>LN('2.ΤΙΜΕΣ ΚΛΕΙΣΙΜΑΤΟΣ'!R44/'2.ΤΙΜΕΣ ΚΛΕΙΣΙΜΑΤΟΣ'!R43)</f>
        <v>8.3228758830120708E-2</v>
      </c>
      <c r="S43" s="43">
        <f>LN('2.ΤΙΜΕΣ ΚΛΕΙΣΙΜΑΤΟΣ'!S44/'2.ΤΙΜΕΣ ΚΛΕΙΣΙΜΑΤΟΣ'!S43)</f>
        <v>-6.6445427186685013E-3</v>
      </c>
      <c r="T43" s="43">
        <f>LN('2.ΤΙΜΕΣ ΚΛΕΙΣΙΜΑΤΟΣ'!T44/'2.ΤΙΜΕΣ ΚΛΕΙΣΙΜΑΤΟΣ'!T43)</f>
        <v>2.9368596733097057E-3</v>
      </c>
      <c r="U43" s="43">
        <f>LN('2.ΤΙΜΕΣ ΚΛΕΙΣΙΜΑΤΟΣ'!U44/'2.ΤΙΜΕΣ ΚΛΕΙΣΙΜΑΤΟΣ'!U43)</f>
        <v>3.8151765964376326E-2</v>
      </c>
      <c r="V43" s="43">
        <f>LN('2.ΤΙΜΕΣ ΚΛΕΙΣΙΜΑΤΟΣ'!V44/'2.ΤΙΜΕΣ ΚΛΕΙΣΙΜΑΤΟΣ'!V43)</f>
        <v>-2.474816968919414E-2</v>
      </c>
      <c r="W43" s="43">
        <f>LN('2.ΤΙΜΕΣ ΚΛΕΙΣΙΜΑΤΟΣ'!W44/'2.ΤΙΜΕΣ ΚΛΕΙΣΙΜΑΤΟΣ'!W43)</f>
        <v>1.1621151801772967E-3</v>
      </c>
      <c r="X43" s="43">
        <f>LN('2.ΤΙΜΕΣ ΚΛΕΙΣΙΜΑΤΟΣ'!X44/'2.ΤΙΜΕΣ ΚΛΕΙΣΙΜΑΤΟΣ'!X43)</f>
        <v>-2.4640351749034797E-2</v>
      </c>
      <c r="Y43" s="43">
        <f>LN('2.ΤΙΜΕΣ ΚΛΕΙΣΙΜΑΤΟΣ'!Y44/'2.ΤΙΜΕΣ ΚΛΕΙΣΙΜΑΤΟΣ'!Y43)</f>
        <v>3.3175862238899574E-2</v>
      </c>
      <c r="Z43" s="43">
        <f>LN('2.ΤΙΜΕΣ ΚΛΕΙΣΙΜΑΤΟΣ'!Z44/'2.ΤΙΜΕΣ ΚΛΕΙΣΙΜΑΤΟΣ'!Z43)</f>
        <v>0</v>
      </c>
      <c r="AA43" s="43">
        <f>LN('2.ΤΙΜΕΣ ΚΛΕΙΣΙΜΑΤΟΣ'!AA44/'2.ΤΙΜΕΣ ΚΛΕΙΣΙΜΑΤΟΣ'!AA43)</f>
        <v>2.2075951699199826E-2</v>
      </c>
      <c r="AB43" s="43">
        <f>LN('2.ΤΙΜΕΣ ΚΛΕΙΣΙΜΑΤΟΣ'!AB44/'2.ΤΙΜΕΣ ΚΛΕΙΣΙΜΑΤΟΣ'!AB43)</f>
        <v>-1.5936592262812414E-2</v>
      </c>
      <c r="AC43" s="43">
        <f>LN('2.ΤΙΜΕΣ ΚΛΕΙΣΙΜΑΤΟΣ'!AC44/'2.ΤΙΜΕΣ ΚΛΕΙΣΙΜΑΤΟΣ'!AC43)</f>
        <v>6.8540364277922131E-3</v>
      </c>
      <c r="AD43" s="43">
        <f>LN('2.ΤΙΜΕΣ ΚΛΕΙΣΙΜΑΤΟΣ'!AD44/'2.ΤΙΜΕΣ ΚΛΕΙΣΙΜΑΤΟΣ'!AD43)</f>
        <v>-3.0257209165369561E-3</v>
      </c>
      <c r="AE43" s="43">
        <f>LN('2.ΤΙΜΕΣ ΚΛΕΙΣΙΜΑΤΟΣ'!AE44/'2.ΤΙΜΕΣ ΚΛΕΙΣΙΜΑΤΟΣ'!AE43)</f>
        <v>0</v>
      </c>
      <c r="AF43" s="43">
        <f>LN('2.ΤΙΜΕΣ ΚΛΕΙΣΙΜΑΤΟΣ'!AF44/'2.ΤΙΜΕΣ ΚΛΕΙΣΙΜΑΤΟΣ'!AF43)</f>
        <v>-1.8468748739507119E-2</v>
      </c>
      <c r="AG43" s="43">
        <f>LN('2.ΤΙΜΕΣ ΚΛΕΙΣΙΜΑΤΟΣ'!AG44/'2.ΤΙΜΕΣ ΚΛΕΙΣΙΜΑΤΟΣ'!AG43)</f>
        <v>3.23914957912355E-2</v>
      </c>
      <c r="AH43" s="43">
        <f>LN('2.ΤΙΜΕΣ ΚΛΕΙΣΙΜΑΤΟΣ'!AH44/'2.ΤΙΜΕΣ ΚΛΕΙΣΙΜΑΤΟΣ'!AH43)</f>
        <v>-2.5235364355074539E-2</v>
      </c>
      <c r="AI43" s="43">
        <f>LN('2.ΤΙΜΕΣ ΚΛΕΙΣΙΜΑΤΟΣ'!AI44/'2.ΤΙΜΕΣ ΚΛΕΙΣΙΜΑΤΟΣ'!AI43)</f>
        <v>8.4388686458646035E-3</v>
      </c>
      <c r="AJ43" s="43">
        <f>LN('2.ΤΙΜΕΣ ΚΛΕΙΣΙΜΑΤΟΣ'!AJ44/'2.ΤΙΜΕΣ ΚΛΕΙΣΙΜΑΤΟΣ'!AJ43)</f>
        <v>4.5351551653911425E-3</v>
      </c>
      <c r="AK43" s="43">
        <f>LN('2.ΤΙΜΕΣ ΚΛΕΙΣΙΜΑΤΟΣ'!AK44/'2.ΤΙΜΕΣ ΚΛΕΙΣΙΜΑΤΟΣ'!AK43)</f>
        <v>3.5809452696710778E-2</v>
      </c>
      <c r="AL43" s="43">
        <f>LN('2.ΤΙΜΕΣ ΚΛΕΙΣΙΜΑΤΟΣ'!AL44/'2.ΤΙΜΕΣ ΚΛΕΙΣΙΜΑΤΟΣ'!AL43)</f>
        <v>2.871010588243136E-2</v>
      </c>
      <c r="AM43" s="43">
        <f>LN('2.ΤΙΜΕΣ ΚΛΕΙΣΙΜΑΤΟΣ'!AM44/'2.ΤΙΜΕΣ ΚΛΕΙΣΙΜΑΤΟΣ'!AM43)</f>
        <v>-9.47874395454377E-3</v>
      </c>
      <c r="AN43" s="43">
        <f>LN('2.ΤΙΜΕΣ ΚΛΕΙΣΙΜΑΤΟΣ'!AN44/'2.ΤΙΜΕΣ ΚΛΕΙΣΙΜΑΤΟΣ'!AN43)</f>
        <v>3.0692946399406198E-2</v>
      </c>
      <c r="AO43" s="43">
        <f>LN('2.ΤΙΜΕΣ ΚΛΕΙΣΙΜΑΤΟΣ'!AO44/'2.ΤΙΜΕΣ ΚΛΕΙΣΙΜΑΤΟΣ'!AO43)</f>
        <v>-3.1796529173795732E-3</v>
      </c>
      <c r="AP43" s="43">
        <f>LN('2.ΤΙΜΕΣ ΚΛΕΙΣΙΜΑΤΟΣ'!AP44/'2.ΤΙΜΕΣ ΚΛΕΙΣΙΜΑΤΟΣ'!AP43)</f>
        <v>-3.3783815916271949E-3</v>
      </c>
      <c r="AQ43" s="43">
        <f>LN('2.ΤΙΜΕΣ ΚΛΕΙΣΙΜΑΤΟΣ'!AQ44/'2.ΤΙΜΕΣ ΚΛΕΙΣΙΜΑΤΟΣ'!AQ43)</f>
        <v>0</v>
      </c>
      <c r="AR43" s="43">
        <f>LN('2.ΤΙΜΕΣ ΚΛΕΙΣΙΜΑΤΟΣ'!AR44/'2.ΤΙΜΕΣ ΚΛΕΙΣΙΜΑΤΟΣ'!AR43)</f>
        <v>-1.191185370153118E-3</v>
      </c>
      <c r="AS43" s="43">
        <f>LN('2.ΤΙΜΕΣ ΚΛΕΙΣΙΜΑΤΟΣ'!AS44/'2.ΤΙΜΕΣ ΚΛΕΙΣΙΜΑΤΟΣ'!AS43)</f>
        <v>0</v>
      </c>
      <c r="AT43" s="43">
        <f>LN('2.ΤΙΜΕΣ ΚΛΕΙΣΙΜΑΤΟΣ'!AT44/'2.ΤΙΜΕΣ ΚΛΕΙΣΙΜΑΤΟΣ'!AT43)</f>
        <v>1.2578782206860185E-2</v>
      </c>
      <c r="AU43" s="43">
        <f>LN('2.ΤΙΜΕΣ ΚΛΕΙΣΙΜΑΤΟΣ'!AU44/'2.ΤΙΜΕΣ ΚΛΕΙΣΙΜΑΤΟΣ'!AU43)</f>
        <v>1.4449137386969802E-2</v>
      </c>
    </row>
    <row r="44" spans="1:47">
      <c r="A44" s="41">
        <v>43619</v>
      </c>
      <c r="B44" s="43">
        <f>LN('2.ΤΙΜΕΣ ΚΛΕΙΣΙΜΑΤΟΣ'!B45/'2.ΤΙΜΕΣ ΚΛΕΙΣΙΜΑΤΟΣ'!B44)</f>
        <v>-1.0685205371241457E-2</v>
      </c>
      <c r="C44" s="43">
        <f>LN('2.ΤΙΜΕΣ ΚΛΕΙΣΙΜΑΤΟΣ'!C45/'2.ΤΙΜΕΣ ΚΛΕΙΣΙΜΑΤΟΣ'!C44)</f>
        <v>1.6997576368571077E-2</v>
      </c>
      <c r="D44" s="43">
        <f>LN('2.ΤΙΜΕΣ ΚΛΕΙΣΙΜΑΤΟΣ'!D45/'2.ΤΙΜΕΣ ΚΛΕΙΣΙΜΑΤΟΣ'!D44)</f>
        <v>1.6936998497648716E-2</v>
      </c>
      <c r="E44" s="43">
        <f>LN('2.ΤΙΜΕΣ ΚΛΕΙΣΙΜΑΤΟΣ'!E45/'2.ΤΙΜΕΣ ΚΛΕΙΣΙΜΑΤΟΣ'!E44)</f>
        <v>3.096222560396689E-2</v>
      </c>
      <c r="F44" s="43">
        <f>LN('2.ΤΙΜΕΣ ΚΛΕΙΣΙΜΑΤΟΣ'!F45/'2.ΤΙΜΕΣ ΚΛΕΙΣΙΜΑΤΟΣ'!F44)</f>
        <v>-2.3752980289073944E-3</v>
      </c>
      <c r="G44" s="43">
        <f>LN('2.ΤΙΜΕΣ ΚΛΕΙΣΙΜΑΤΟΣ'!G45/'2.ΤΙΜΕΣ ΚΛΕΙΣΙΜΑΤΟΣ'!G44)</f>
        <v>-2.4292692569044587E-2</v>
      </c>
      <c r="H44" s="43">
        <f>LN('2.ΤΙΜΕΣ ΚΛΕΙΣΙΜΑΤΟΣ'!H45/'2.ΤΙΜΕΣ ΚΛΕΙΣΙΜΑΤΟΣ'!H44)</f>
        <v>6.9930354909706043E-3</v>
      </c>
      <c r="I44" s="43">
        <f>LN('2.ΤΙΜΕΣ ΚΛΕΙΣΙΜΑΤΟΣ'!I45/'2.ΤΙΜΕΣ ΚΛΕΙΣΙΜΑΤΟΣ'!I44)</f>
        <v>1.759576189037966E-2</v>
      </c>
      <c r="J44" s="43">
        <f>LN('2.ΤΙΜΕΣ ΚΛΕΙΣΙΜΑΤΟΣ'!J45/'2.ΤΙΜΕΣ ΚΛΕΙΣΙΜΑΤΟΣ'!J44)</f>
        <v>1.3423020332140771E-2</v>
      </c>
      <c r="K44" s="43">
        <f>LN('2.ΤΙΜΕΣ ΚΛΕΙΣΙΜΑΤΟΣ'!K45/'2.ΤΙΜΕΣ ΚΛΕΙΣΙΜΑΤΟΣ'!K44)</f>
        <v>6.6351623396074593E-3</v>
      </c>
      <c r="L44" s="43">
        <f>LN('2.ΤΙΜΕΣ ΚΛΕΙΣΙΜΑΤΟΣ'!L45/'2.ΤΙΜΕΣ ΚΛΕΙΣΙΜΑΤΟΣ'!L44)</f>
        <v>2.3780528665403387E-2</v>
      </c>
      <c r="M44" s="43">
        <f>LN('2.ΤΙΜΕΣ ΚΛΕΙΣΙΜΑΤΟΣ'!M45/'2.ΤΙΜΕΣ ΚΛΕΙΣΙΜΑΤΟΣ'!M44)</f>
        <v>-1.1049836186584935E-2</v>
      </c>
      <c r="N44" s="43">
        <f>LN('2.ΤΙΜΕΣ ΚΛΕΙΣΙΜΑΤΟΣ'!N45/'2.ΤΙΜΕΣ ΚΛΕΙΣΙΜΑΤΟΣ'!N44)</f>
        <v>-1.4716706114562507E-3</v>
      </c>
      <c r="O44" s="43">
        <f>LN('2.ΤΙΜΕΣ ΚΛΕΙΣΙΜΑΤΟΣ'!O45/'2.ΤΙΜΕΣ ΚΛΕΙΣΙΜΑΤΟΣ'!O44)</f>
        <v>1.5106027431013096E-2</v>
      </c>
      <c r="P44" s="43">
        <f>LN('2.ΤΙΜΕΣ ΚΛΕΙΣΙΜΑΤΟΣ'!P45/'2.ΤΙΜΕΣ ΚΛΕΙΣΙΜΑΤΟΣ'!P44)</f>
        <v>1.3820555618632095E-2</v>
      </c>
      <c r="Q44" s="43">
        <f>LN('2.ΤΙΜΕΣ ΚΛΕΙΣΙΜΑΤΟΣ'!Q45/'2.ΤΙΜΕΣ ΚΛΕΙΣΙΜΑΤΟΣ'!Q44)</f>
        <v>3.2008180217173679E-2</v>
      </c>
      <c r="R44" s="43">
        <f>LN('2.ΤΙΜΕΣ ΚΛΕΙΣΙΜΑΤΟΣ'!R45/'2.ΤΙΜΕΣ ΚΛΕΙΣΙΜΑΤΟΣ'!R44)</f>
        <v>0.11156922777129379</v>
      </c>
      <c r="S44" s="43">
        <f>LN('2.ΤΙΜΕΣ ΚΛΕΙΣΙΜΑΤΟΣ'!S45/'2.ΤΙΜΕΣ ΚΛΕΙΣΙΜΑΤΟΣ'!S44)</f>
        <v>3.9920212695374567E-3</v>
      </c>
      <c r="T44" s="43">
        <f>LN('2.ΤΙΜΕΣ ΚΛΕΙΣΙΜΑΤΟΣ'!T45/'2.ΤΙΜΕΣ ΚΛΕΙΣΙΜΑΤΟΣ'!T44)</f>
        <v>-8.8365818004981118E-3</v>
      </c>
      <c r="U44" s="43">
        <f>LN('2.ΤΙΜΕΣ ΚΛΕΙΣΙΜΑΤΟΣ'!U45/'2.ΤΙΜΕΣ ΚΛΕΙΣΙΜΑΤΟΣ'!U44)</f>
        <v>3.0544765321858607E-2</v>
      </c>
      <c r="V44" s="43">
        <f>LN('2.ΤΙΜΕΣ ΚΛΕΙΣΙΜΑΤΟΣ'!V45/'2.ΤΙΜΕΣ ΚΛΕΙΣΙΜΑΤΟΣ'!V44)</f>
        <v>-6.8571697261369125E-3</v>
      </c>
      <c r="W44" s="43">
        <f>LN('2.ΤΙΜΕΣ ΚΛΕΙΣΙΜΑΤΟΣ'!W45/'2.ΤΙΜΕΣ ΚΛΕΙΣΙΜΑΤΟΣ'!W44)</f>
        <v>-5.6134138425190383E-2</v>
      </c>
      <c r="X44" s="43">
        <f>LN('2.ΤΙΜΕΣ ΚΛΕΙΣΙΜΑΤΟΣ'!X45/'2.ΤΙΜΕΣ ΚΛΕΙΣΙΜΑΤΟΣ'!X44)</f>
        <v>-5.063301956546651E-3</v>
      </c>
      <c r="Y44" s="43">
        <f>LN('2.ΤΙΜΕΣ ΚΛΕΙΣΙΜΑΤΟΣ'!Y45/'2.ΤΙΜΕΣ ΚΛΕΙΣΙΜΑΤΟΣ'!Y44)</f>
        <v>3.1090587070031182E-2</v>
      </c>
      <c r="Z44" s="43">
        <f>LN('2.ΤΙΜΕΣ ΚΛΕΙΣΙΜΑΤΟΣ'!Z45/'2.ΤΙΜΕΣ ΚΛΕΙΣΙΜΑΤΟΣ'!Z44)</f>
        <v>1.3745920904635136E-2</v>
      </c>
      <c r="AA44" s="43">
        <f>LN('2.ΤΙΜΕΣ ΚΛΕΙΣΙΜΑΤΟΣ'!AA45/'2.ΤΙΜΕΣ ΚΛΕΙΣΙΜΑΤΟΣ'!AA44)</f>
        <v>8.695706967553913E-3</v>
      </c>
      <c r="AB44" s="43">
        <f>LN('2.ΤΙΜΕΣ ΚΛΕΙΣΙΜΑΤΟΣ'!AB45/'2.ΤΙΜΕΣ ΚΛΕΙΣΙΜΑΤΟΣ'!AB44)</f>
        <v>1.9881370553828995E-2</v>
      </c>
      <c r="AC44" s="43">
        <f>LN('2.ΤΙΜΕΣ ΚΛΕΙΣΙΜΑΤΟΣ'!AC45/'2.ΤΙΜΕΣ ΚΛΕΙΣΙΜΑΤΟΣ'!AC44)</f>
        <v>5.4496047675646848E-3</v>
      </c>
      <c r="AD44" s="43">
        <f>LN('2.ΤΙΜΕΣ ΚΛΕΙΣΙΜΑΤΟΣ'!AD45/'2.ΤΙΜΕΣ ΚΛΕΙΣΙΜΑΤΟΣ'!AD44)</f>
        <v>5.4545575740052525E-2</v>
      </c>
      <c r="AE44" s="43">
        <f>LN('2.ΤΙΜΕΣ ΚΛΕΙΣΙΜΑΤΟΣ'!AE45/'2.ΤΙΜΕΣ ΚΛΕΙΣΙΜΑΤΟΣ'!AE44)</f>
        <v>1.092907053219023E-2</v>
      </c>
      <c r="AF44" s="43">
        <f>LN('2.ΤΙΜΕΣ ΚΛΕΙΣΙΜΑΤΟΣ'!AF45/'2.ΤΙΜΕΣ ΚΛΕΙΣΙΜΑΤΟΣ'!AF44)</f>
        <v>3.3426292559125964E-2</v>
      </c>
      <c r="AG44" s="43">
        <f>LN('2.ΤΙΜΕΣ ΚΛΕΙΣΙΜΑΤΟΣ'!AG45/'2.ΤΙΜΕΣ ΚΛΕΙΣΙΜΑΤΟΣ'!AG44)</f>
        <v>0.17832953552441722</v>
      </c>
      <c r="AH44" s="43">
        <f>LN('2.ΤΙΜΕΣ ΚΛΕΙΣΙΜΑΤΟΣ'!AH45/'2.ΤΙΜΕΣ ΚΛΕΙΣΙΜΑΤΟΣ'!AH44)</f>
        <v>9.8442140347771746E-3</v>
      </c>
      <c r="AI44" s="43">
        <f>LN('2.ΤΙΜΕΣ ΚΛΕΙΣΙΜΑΤΟΣ'!AI45/'2.ΤΙΜΕΣ ΚΛΕΙΣΙΜΑΤΟΣ'!AI44)</f>
        <v>8.3682496705165792E-3</v>
      </c>
      <c r="AJ44" s="43">
        <f>LN('2.ΤΙΜΕΣ ΚΛΕΙΣΙΜΑΤΟΣ'!AJ45/'2.ΤΙΜΕΣ ΚΛΕΙΣΙΜΑΤΟΣ'!AJ44)</f>
        <v>-6.5443908252383859E-2</v>
      </c>
      <c r="AK44" s="43">
        <f>LN('2.ΤΙΜΕΣ ΚΛΕΙΣΙΜΑΤΟΣ'!AK45/'2.ΤΙΜΕΣ ΚΛΕΙΣΙΜΑΤΟΣ'!AK44)</f>
        <v>2.9705154413915694E-2</v>
      </c>
      <c r="AL44" s="43">
        <f>LN('2.ΤΙΜΕΣ ΚΛΕΙΣΙΜΑΤΟΣ'!AL45/'2.ΤΙΜΕΣ ΚΛΕΙΣΙΜΑΤΟΣ'!AL44)</f>
        <v>5.5059777183027389E-2</v>
      </c>
      <c r="AM44" s="43">
        <f>LN('2.ΤΙΜΕΣ ΚΛΕΙΣΙΜΑΤΟΣ'!AM45/'2.ΤΙΜΕΣ ΚΛΕΙΣΙΜΑΤΟΣ'!AM44)</f>
        <v>1.1834457647002798E-2</v>
      </c>
      <c r="AN44" s="43">
        <f>LN('2.ΤΙΜΕΣ ΚΛΕΙΣΙΜΑΤΟΣ'!AN45/'2.ΤΙΜΕΣ ΚΛΕΙΣΙΜΑΤΟΣ'!AN44)</f>
        <v>1.9950786419348693E-2</v>
      </c>
      <c r="AO44" s="43">
        <f>LN('2.ΤΙΜΕΣ ΚΛΕΙΣΙΜΑΤΟΣ'!AO45/'2.ΤΙΜΕΣ ΚΛΕΙΣΙΜΑΤΟΣ'!AO44)</f>
        <v>-2.2545238321056323E-2</v>
      </c>
      <c r="AP44" s="43">
        <f>LN('2.ΤΙΜΕΣ ΚΛΕΙΣΙΜΑΤΟΣ'!AP45/'2.ΤΙΜΕΣ ΚΛΕΙΣΙΜΑΤΟΣ'!AP44)</f>
        <v>-2.3627190506382328E-2</v>
      </c>
      <c r="AQ44" s="43">
        <f>LN('2.ΤΙΜΕΣ ΚΛΕΙΣΙΜΑΤΟΣ'!AQ45/'2.ΤΙΜΕΣ ΚΛΕΙΣΙΜΑΤΟΣ'!AQ44)</f>
        <v>-0.12210269680089984</v>
      </c>
      <c r="AR44" s="43">
        <f>LN('2.ΤΙΜΕΣ ΚΛΕΙΣΙΜΑΤΟΣ'!AR45/'2.ΤΙΜΕΣ ΚΛΕΙΣΙΜΑΤΟΣ'!AR44)</f>
        <v>-2.2906366208907361E-2</v>
      </c>
      <c r="AS44" s="43">
        <f>LN('2.ΤΙΜΕΣ ΚΛΕΙΣΙΜΑΤΟΣ'!AS45/'2.ΤΙΜΕΣ ΚΛΕΙΣΙΜΑΤΟΣ'!AS44)</f>
        <v>-2.8867984000852127E-2</v>
      </c>
      <c r="AT44" s="43">
        <f>LN('2.ΤΙΜΕΣ ΚΛΕΙΣΙΜΑΤΟΣ'!AT45/'2.ΤΙΜΕΣ ΚΛΕΙΣΙΜΑΤΟΣ'!AT44)</f>
        <v>-0.15082288973458377</v>
      </c>
      <c r="AU44" s="43">
        <f>LN('2.ΤΙΜΕΣ ΚΛΕΙΣΙΜΑΤΟΣ'!AU45/'2.ΤΙΜΕΣ ΚΛΕΙΣΙΜΑΤΟΣ'!AU44)</f>
        <v>7.9180776960179906E-3</v>
      </c>
    </row>
    <row r="45" spans="1:47">
      <c r="A45" s="41">
        <v>43620</v>
      </c>
      <c r="B45" s="43">
        <f>LN('2.ΤΙΜΕΣ ΚΛΕΙΣΙΜΑΤΟΣ'!B46/'2.ΤΙΜΕΣ ΚΛΕΙΣΙΜΑΤΟΣ'!B45)</f>
        <v>2.032908163842569E-2</v>
      </c>
      <c r="C45" s="43">
        <f>LN('2.ΤΙΜΕΣ ΚΛΕΙΣΙΜΑΤΟΣ'!C46/'2.ΤΙΜΕΣ ΚΛΕΙΣΙΜΑΤΟΣ'!C45)</f>
        <v>-3.2154368539744657E-3</v>
      </c>
      <c r="D45" s="43">
        <f>LN('2.ΤΙΜΕΣ ΚΛΕΙΣΙΜΑΤΟΣ'!D46/'2.ΤΙΜΕΣ ΚΛΕΙΣΙΜΑΤΟΣ'!D45)</f>
        <v>-2.4976057816479592E-2</v>
      </c>
      <c r="E45" s="43">
        <f>LN('2.ΤΙΜΕΣ ΚΛΕΙΣΙΜΑΤΟΣ'!E46/'2.ΤΙΜΕΣ ΚΛΕΙΣΙΜΑΤΟΣ'!E45)</f>
        <v>-1.3505423199807007E-2</v>
      </c>
      <c r="F45" s="43">
        <f>LN('2.ΤΙΜΕΣ ΚΛΕΙΣΙΜΑΤΟΣ'!F46/'2.ΤΙΜΕΣ ΚΛΕΙΣΙΜΑΤΟΣ'!F45)</f>
        <v>-1.3165959182304338E-2</v>
      </c>
      <c r="G45" s="43">
        <f>LN('2.ΤΙΜΕΣ ΚΛΕΙΣΙΜΑΤΟΣ'!G46/'2.ΤΙΜΕΣ ΚΛΕΙΣΙΜΑΤΟΣ'!G45)</f>
        <v>-7.7898248327502653E-2</v>
      </c>
      <c r="H45" s="43">
        <f>LN('2.ΤΙΜΕΣ ΚΛΕΙΣΙΜΑΤΟΣ'!H46/'2.ΤΙΜΕΣ ΚΛΕΙΣΙΜΑΤΟΣ'!H45)</f>
        <v>-2.0238262240991223E-2</v>
      </c>
      <c r="I45" s="43">
        <f>LN('2.ΤΙΜΕΣ ΚΛΕΙΣΙΜΑΤΟΣ'!I46/'2.ΤΙΜΕΣ ΚΛΕΙΣΙΜΑΤΟΣ'!I45)</f>
        <v>-8.4266732598026667E-2</v>
      </c>
      <c r="J45" s="43">
        <f>LN('2.ΤΙΜΕΣ ΚΛΕΙΣΙΜΑΤΟΣ'!J46/'2.ΤΙΜΕΣ ΚΛΕΙΣΙΜΑΤΟΣ'!J45)</f>
        <v>-8.474122845509055E-2</v>
      </c>
      <c r="K45" s="43">
        <f>LN('2.ΤΙΜΕΣ ΚΛΕΙΣΙΜΑΤΟΣ'!K46/'2.ΤΙΜΕΣ ΚΛΕΙΣΙΜΑΤΟΣ'!K45)</f>
        <v>-6.6351623396075071E-3</v>
      </c>
      <c r="L45" s="43">
        <f>LN('2.ΤΙΜΕΣ ΚΛΕΙΣΙΜΑΤΟΣ'!L46/'2.ΤΙΜΕΣ ΚΛΕΙΣΙΜΑΤΟΣ'!L45)</f>
        <v>-7.0246149369644663E-3</v>
      </c>
      <c r="M45" s="43">
        <f>LN('2.ΤΙΜΕΣ ΚΛΕΙΣΙΜΑΤΟΣ'!M46/'2.ΤΙΜΕΣ ΚΛΕΙΣΙΜΑΤΟΣ'!M45)</f>
        <v>1.1104942840271153E-3</v>
      </c>
      <c r="N45" s="43">
        <f>LN('2.ΤΙΜΕΣ ΚΛΕΙΣΙΜΑΤΟΣ'!N46/'2.ΤΙΜΕΣ ΚΛΕΙΣΙΜΑΤΟΣ'!N45)</f>
        <v>-5.7602995108713096E-3</v>
      </c>
      <c r="O45" s="43">
        <f>LN('2.ΤΙΜΕΣ ΚΛΕΙΣΙΜΑΤΟΣ'!O46/'2.ΤΙΜΕΣ ΚΛΕΙΣΙΜΑΤΟΣ'!O45)</f>
        <v>-4.5078964391899283E-3</v>
      </c>
      <c r="P45" s="43">
        <f>LN('2.ΤΙΜΕΣ ΚΛΕΙΣΙΜΑΤΟΣ'!P46/'2.ΤΙΜΕΣ ΚΛΕΙΣΙΜΑΤΟΣ'!P45)</f>
        <v>-9.8522964430115944E-3</v>
      </c>
      <c r="Q45" s="43">
        <f>LN('2.ΤΙΜΕΣ ΚΛΕΙΣΙΜΑΤΟΣ'!Q46/'2.ΤΙΜΕΣ ΚΛΕΙΣΙΜΑΤΟΣ'!Q45)</f>
        <v>-0.1187050423433836</v>
      </c>
      <c r="R45" s="43">
        <f>LN('2.ΤΙΜΕΣ ΚΛΕΙΣΙΜΑΤΟΣ'!R46/'2.ΤΙΜΕΣ ΚΛΕΙΣΙΜΑΤΟΣ'!R45)</f>
        <v>-2.088137605235536E-2</v>
      </c>
      <c r="S45" s="43">
        <f>LN('2.ΤΙΜΕΣ ΚΛΕΙΣΙΜΑΤΟΣ'!S46/'2.ΤΙΜΕΣ ΚΛΕΙΣΙΜΑΤΟΣ'!S45)</f>
        <v>6.6181578424780738E-3</v>
      </c>
      <c r="T45" s="43">
        <f>LN('2.ΤΙΜΕΣ ΚΛΕΙΣΙΜΑΤΟΣ'!T46/'2.ΤΙΜΕΣ ΚΛΕΙΣΙΜΑΤΟΣ'!T45)</f>
        <v>-2.9629651306569606E-3</v>
      </c>
      <c r="U45" s="43">
        <f>LN('2.ΤΙΜΕΣ ΚΛΕΙΣΙΜΑΤΟΣ'!U46/'2.ΤΙΜΕΣ ΚΛΕΙΣΙΜΑΤΟΣ'!U45)</f>
        <v>-2.7341345604320957E-2</v>
      </c>
      <c r="V45" s="43">
        <f>LN('2.ΤΙΜΕΣ ΚΛΕΙΣΙΜΑΤΟΣ'!V46/'2.ΤΙΜΕΣ ΚΛΕΙΣΙΜΑΤΟΣ'!V45)</f>
        <v>0</v>
      </c>
      <c r="W45" s="43">
        <f>LN('2.ΤΙΜΕΣ ΚΛΕΙΣΙΜΑΤΟΣ'!W46/'2.ΤΙΜΕΣ ΚΛΕΙΣΙΜΑΤΟΣ'!W45)</f>
        <v>-4.9261183360560009E-3</v>
      </c>
      <c r="X45" s="43">
        <f>LN('2.ΤΙΜΕΣ ΚΛΕΙΣΙΜΑΤΟΣ'!X46/'2.ΤΙΜΕΣ ΚΛΕΙΣΙΜΑΤΟΣ'!X45)</f>
        <v>-5.4203961720023085E-2</v>
      </c>
      <c r="Y45" s="43">
        <f>LN('2.ΤΙΜΕΣ ΚΛΕΙΣΙΜΑΤΟΣ'!Y46/'2.ΤΙΜΕΣ ΚΛΕΙΣΙΜΑΤΟΣ'!Y45)</f>
        <v>-2.688890021633129E-2</v>
      </c>
      <c r="Z45" s="43">
        <f>LN('2.ΤΙΜΕΣ ΚΛΕΙΣΙΜΑΤΟΣ'!Z46/'2.ΤΙΜΕΣ ΚΛΕΙΣΙΜΑΤΟΣ'!Z45)</f>
        <v>-3.418806748785609E-3</v>
      </c>
      <c r="AA45" s="43">
        <f>LN('2.ΤΙΜΕΣ ΚΛΕΙΣΙΜΑΤΟΣ'!AA46/'2.ΤΙΜΕΣ ΚΛΕΙΣΙΜΑΤΟΣ'!AA45)</f>
        <v>-4.3384015985982417E-3</v>
      </c>
      <c r="AB45" s="43">
        <f>LN('2.ΤΙΜΕΣ ΚΛΕΙΣΙΜΑΤΟΣ'!AB46/'2.ΤΙΜΕΣ ΚΛΕΙΣΙΜΑΤΟΣ'!AB45)</f>
        <v>-5.9230183031221675E-3</v>
      </c>
      <c r="AC45" s="43">
        <f>LN('2.ΤΙΜΕΣ ΚΛΕΙΣΙΜΑΤΟΣ'!AC46/'2.ΤΙΜΕΣ ΚΛΕΙΣΙΜΑΤΟΣ'!AC45)</f>
        <v>2.7137058715963258E-3</v>
      </c>
      <c r="AD45" s="43">
        <f>LN('2.ΤΙΜΕΣ ΚΛΕΙΣΙΜΑΤΟΣ'!AD46/'2.ΤΙΜΕΣ ΚΛΕΙΣΙΜΑΤΟΣ'!AD45)</f>
        <v>3.5239728132302361E-2</v>
      </c>
      <c r="AE45" s="43">
        <f>LN('2.ΤΙΜΕΣ ΚΛΕΙΣΙΜΑΤΟΣ'!AE46/'2.ΤΙΜΕΣ ΚΛΕΙΣΙΜΑΤΟΣ'!AE45)</f>
        <v>0</v>
      </c>
      <c r="AF45" s="43">
        <f>LN('2.ΤΙΜΕΣ ΚΛΕΙΣΙΜΑΤΟΣ'!AF46/'2.ΤΙΜΕΣ ΚΛΕΙΣΙΜΑΤΟΣ'!AF45)</f>
        <v>-3.0142217357936048E-2</v>
      </c>
      <c r="AG45" s="43">
        <f>LN('2.ΤΙΜΕΣ ΚΛΕΙΣΙΜΑΤΟΣ'!AG46/'2.ΤΙΜΕΣ ΚΛΕΙΣΙΜΑΤΟΣ'!AG45)</f>
        <v>5.8268908123975824E-2</v>
      </c>
      <c r="AH45" s="43">
        <f>LN('2.ΤΙΜΕΣ ΚΛΕΙΣΙΜΑΤΟΣ'!AH46/'2.ΤΙΜΕΣ ΚΛΕΙΣΙΜΑΤΟΣ'!AH45)</f>
        <v>4.0733253876356476E-3</v>
      </c>
      <c r="AI45" s="43">
        <f>LN('2.ΤΙΜΕΣ ΚΛΕΙΣΙΜΑΤΟΣ'!AI46/'2.ΤΙΜΕΣ ΚΛΕΙΣΙΜΑΤΟΣ'!AI45)</f>
        <v>0</v>
      </c>
      <c r="AJ45" s="43">
        <f>LN('2.ΤΙΜΕΣ ΚΛΕΙΣΙΜΑΤΟΣ'!AJ46/'2.ΤΙΜΕΣ ΚΛΕΙΣΙΜΑΤΟΣ'!AJ45)</f>
        <v>1.4388737452099671E-2</v>
      </c>
      <c r="AK45" s="43">
        <f>LN('2.ΤΙΜΕΣ ΚΛΕΙΣΙΜΑΤΟΣ'!AK46/'2.ΤΙΜΕΣ ΚΛΕΙΣΙΜΑΤΟΣ'!AK45)</f>
        <v>1.4528100562909808E-2</v>
      </c>
      <c r="AL45" s="43">
        <f>LN('2.ΤΙΜΕΣ ΚΛΕΙΣΙΜΑΤΟΣ'!AL46/'2.ΤΙΜΕΣ ΚΛΕΙΣΙΜΑΤΟΣ'!AL45)</f>
        <v>-6.4538521137571178E-2</v>
      </c>
      <c r="AM45" s="43">
        <f>LN('2.ΤΙΜΕΣ ΚΛΕΙΣΙΜΑΤΟΣ'!AM46/'2.ΤΙΜΕΣ ΚΛΕΙΣΙΜΑΤΟΣ'!AM45)</f>
        <v>-2.3557136924590365E-3</v>
      </c>
      <c r="AN45" s="43">
        <f>LN('2.ΤΙΜΕΣ ΚΛΕΙΣΙΜΑΤΟΣ'!AN46/'2.ΤΙΜΕΣ ΚΛΕΙΣΙΜΑΤΟΣ'!AN45)</f>
        <v>-5.0643732818754915E-2</v>
      </c>
      <c r="AO45" s="43">
        <f>LN('2.ΤΙΜΕΣ ΚΛΕΙΣΙΜΑΤΟΣ'!AO46/'2.ΤΙΜΕΣ ΚΛΕΙΣΙΜΑΤΟΣ'!AO45)</f>
        <v>-2.306527293099599E-2</v>
      </c>
      <c r="AP45" s="43">
        <f>LN('2.ΤΙΜΕΣ ΚΛΕΙΣΙΜΑΤΟΣ'!AP46/'2.ΤΙΜΕΣ ΚΛΕΙΣΙΜΑΤΟΣ'!AP45)</f>
        <v>1.3764842246253364E-2</v>
      </c>
      <c r="AQ45" s="43">
        <f>LN('2.ΤΙΜΕΣ ΚΛΕΙΣΙΜΑΤΟΣ'!AQ46/'2.ΤΙΜΕΣ ΚΛΕΙΣΙΜΑΤΟΣ'!AQ45)</f>
        <v>-2.6317308317373417E-2</v>
      </c>
      <c r="AR45" s="43">
        <f>LN('2.ΤΙΜΕΣ ΚΛΕΙΣΙΜΑΤΟΣ'!AR46/'2.ΤΙΜΕΣ ΚΛΕΙΣΙΜΑΤΟΣ'!AR45)</f>
        <v>-3.7271394797231537E-2</v>
      </c>
      <c r="AS45" s="43">
        <f>LN('2.ΤΙΜΕΣ ΚΛΕΙΣΙΜΑΤΟΣ'!AS46/'2.ΤΙΜΕΣ ΚΛΕΙΣΙΜΑΤΟΣ'!AS45)</f>
        <v>-4.1928782600360393E-3</v>
      </c>
      <c r="AT45" s="43">
        <f>LN('2.ΤΙΜΕΣ ΚΛΕΙΣΙΜΑΤΟΣ'!AT46/'2.ΤΙΜΕΣ ΚΛΕΙΣΙΜΑΤΟΣ'!AT45)</f>
        <v>-2.6511125548331738E-2</v>
      </c>
      <c r="AU45" s="43">
        <f>LN('2.ΤΙΜΕΣ ΚΛΕΙΣΙΜΑΤΟΣ'!AU46/'2.ΤΙΜΕΣ ΚΛΕΙΣΙΜΑΤΟΣ'!AU45)</f>
        <v>-2.8495962065363742E-2</v>
      </c>
    </row>
    <row r="46" spans="1:47">
      <c r="A46" s="41">
        <v>43621</v>
      </c>
      <c r="B46" s="43">
        <f>LN('2.ΤΙΜΕΣ ΚΛΕΙΣΙΜΑΤΟΣ'!B47/'2.ΤΙΜΕΣ ΚΛΕΙΣΙΜΑΤΟΣ'!B46)</f>
        <v>9.2450581440512089E-3</v>
      </c>
      <c r="C46" s="43">
        <f>LN('2.ΤΙΜΕΣ ΚΛΕΙΣΙΜΑΤΟΣ'!C47/'2.ΤΙΜΕΣ ΚΛΕΙΣΙΜΑΤΟΣ'!C46)</f>
        <v>-3.2258092488825657E-3</v>
      </c>
      <c r="D46" s="43">
        <f>LN('2.ΤΙΜΕΣ ΚΛΕΙΣΙΜΑΤΟΣ'!D47/'2.ΤΙΜΕΣ ΚΛΕΙΣΙΜΑΤΟΣ'!D46)</f>
        <v>0</v>
      </c>
      <c r="E46" s="43">
        <f>LN('2.ΤΙΜΕΣ ΚΛΕΙΣΙΜΑΤΟΣ'!E47/'2.ΤΙΜΕΣ ΚΛΕΙΣΙΜΑΤΟΣ'!E46)</f>
        <v>1.8978224941161873E-2</v>
      </c>
      <c r="F46" s="43">
        <f>LN('2.ΤΙΜΕΣ ΚΛΕΙΣΙΜΑΤΟΣ'!F47/'2.ΤΙΜΕΣ ΚΛΕΙΣΙΜΑΤΟΣ'!F46)</f>
        <v>1.9093658815579603E-2</v>
      </c>
      <c r="G46" s="43">
        <f>LN('2.ΤΙΜΕΣ ΚΛΕΙΣΙΜΑΤΟΣ'!G47/'2.ΤΙΜΕΣ ΚΛΕΙΣΙΜΑΤΟΣ'!G46)</f>
        <v>1.3828001607292115E-2</v>
      </c>
      <c r="H46" s="43">
        <f>LN('2.ΤΙΜΕΣ ΚΛΕΙΣΙΜΑΤΟΣ'!H47/'2.ΤΙΜΕΣ ΚΛΕΙΣΙΜΑΤΟΣ'!H46)</f>
        <v>-8.9286307443013184E-3</v>
      </c>
      <c r="I46" s="43">
        <f>LN('2.ΤΙΜΕΣ ΚΛΕΙΣΙΜΑΤΟΣ'!I47/'2.ΤΙΜΕΣ ΚΛΕΙΣΙΜΑΤΟΣ'!I46)</f>
        <v>2.7450257554365844E-2</v>
      </c>
      <c r="J46" s="43">
        <f>LN('2.ΤΙΜΕΣ ΚΛΕΙΣΙΜΑΤΟΣ'!J47/'2.ΤΙΜΕΣ ΚΛΕΙΣΙΜΑΤΟΣ'!J46)</f>
        <v>4.0005334613698991E-2</v>
      </c>
      <c r="K46" s="43">
        <f>LN('2.ΤΙΜΕΣ ΚΛΕΙΣΙΜΑΤΟΣ'!K47/'2.ΤΙΜΕΣ ΚΛΕΙΣΙΜΑΤΟΣ'!K46)</f>
        <v>-1.2756007682470716E-3</v>
      </c>
      <c r="L46" s="43">
        <f>LN('2.ΤΙΜΕΣ ΚΛΕΙΣΙΜΑΤΟΣ'!L47/'2.ΤΙΜΕΣ ΚΛΕΙΣΙΜΑΤΟΣ'!L46)</f>
        <v>-4.5420214345010092E-3</v>
      </c>
      <c r="M46" s="43">
        <f>LN('2.ΤΙΜΕΣ ΚΛΕΙΣΙΜΑΤΟΣ'!M47/'2.ΤΙΜΕΣ ΚΛΕΙΣΙΜΑΤΟΣ'!M46)</f>
        <v>-1.1104942840271764E-3</v>
      </c>
      <c r="N46" s="43">
        <f>LN('2.ΤΙΜΕΣ ΚΛΕΙΣΙΜΑΤΟΣ'!N47/'2.ΤΙΜΕΣ ΚΛΕΙΣΙΜΑΤΟΣ'!N46)</f>
        <v>1.0022191478782336E-2</v>
      </c>
      <c r="O46" s="43">
        <f>LN('2.ΤΙΜΕΣ ΚΛΕΙΣΙΜΑΤΟΣ'!O47/'2.ΤΙΜΕΣ ΚΛΕΙΣΙΜΑΤΟΣ'!O46)</f>
        <v>-1.5071592905713629E-3</v>
      </c>
      <c r="P46" s="43">
        <f>LN('2.ΤΙΜΕΣ ΚΛΕΙΣΙΜΑΤΟΣ'!P47/'2.ΤΙΜΕΣ ΚΛΕΙΣΙΜΑΤΟΣ'!P46)</f>
        <v>3.9525743158233418E-3</v>
      </c>
      <c r="Q46" s="43">
        <f>LN('2.ΤΙΜΕΣ ΚΛΕΙΣΙΜΑΤΟΣ'!Q47/'2.ΤΙΜΕΣ ΚΛΕΙΣΙΜΑΤΟΣ'!Q46)</f>
        <v>3.3398280401848224E-2</v>
      </c>
      <c r="R46" s="43">
        <f>LN('2.ΤΙΜΕΣ ΚΛΕΙΣΙΜΑΤΟΣ'!R47/'2.ΤΙΜΕΣ ΚΛΕΙΣΙΜΑΤΟΣ'!R46)</f>
        <v>-5.5197932235979217E-3</v>
      </c>
      <c r="S46" s="43">
        <f>LN('2.ΤΙΜΕΣ ΚΛΕΙΣΙΜΑΤΟΣ'!S47/'2.ΤΙΜΕΣ ΚΛΕΙΣΙΜΑΤΟΣ'!S46)</f>
        <v>-7.947061692531945E-3</v>
      </c>
      <c r="T46" s="43">
        <f>LN('2.ΤΙΜΕΣ ΚΛΕΙΣΙΜΑΤΟΣ'!T47/'2.ΤΙΜΕΣ ΚΛΕΙΣΙΜΑΤΟΣ'!T46)</f>
        <v>-1.484781267579225E-3</v>
      </c>
      <c r="U46" s="43">
        <f>LN('2.ΤΙΜΕΣ ΚΛΕΙΣΙΜΑΤΟΣ'!U47/'2.ΤΙΜΕΣ ΚΛΕΙΣΙΜΑΤΟΣ'!U46)</f>
        <v>2.129926257824849E-3</v>
      </c>
      <c r="V46" s="43">
        <f>LN('2.ΤΙΜΕΣ ΚΛΕΙΣΙΜΑΤΟΣ'!V47/'2.ΤΙΜΕΣ ΚΛΕΙΣΙΜΑΤΟΣ'!V46)</f>
        <v>0</v>
      </c>
      <c r="W46" s="43">
        <f>LN('2.ΤΙΜΕΣ ΚΛΕΙΣΙΜΑΤΟΣ'!W47/'2.ΤΙΜΕΣ ΚΛΕΙΣΙΜΑΤΟΣ'!W46)</f>
        <v>-8.6795337197227707E-3</v>
      </c>
      <c r="X46" s="43">
        <f>LN('2.ΤΙΜΕΣ ΚΛΕΙΣΙΜΑΤΟΣ'!X47/'2.ΤΙΜΕΣ ΚΛΕΙΣΙΜΑΤΟΣ'!X46)</f>
        <v>2.3590919914574078E-2</v>
      </c>
      <c r="Y46" s="43">
        <f>LN('2.ΤΙΜΕΣ ΚΛΕΙΣΙΜΑΤΟΣ'!Y47/'2.ΤΙΜΕΣ ΚΛΕΙΣΙΜΑΤΟΣ'!Y46)</f>
        <v>5.22740343515173E-3</v>
      </c>
      <c r="Z46" s="43">
        <f>LN('2.ΤΙΜΕΣ ΚΛΕΙΣΙΜΑΤΟΣ'!Z47/'2.ΤΙΜΕΣ ΚΛΕΙΣΙΜΑΤΟΣ'!Z46)</f>
        <v>6.8259650703998906E-3</v>
      </c>
      <c r="AA46" s="43">
        <f>LN('2.ΤΙΜΕΣ ΚΛΕΙΣΙΜΑΤΟΣ'!AA47/'2.ΤΙΜΕΣ ΚΛΕΙΣΙΜΑΤΟΣ'!AA46)</f>
        <v>0</v>
      </c>
      <c r="AB46" s="43">
        <f>LN('2.ΤΙΜΕΣ ΚΛΕΙΣΙΜΑΤΟΣ'!AB47/'2.ΤΙΜΕΣ ΚΛΕΙΣΙΜΑΤΟΣ'!AB46)</f>
        <v>-9.950330853168092E-3</v>
      </c>
      <c r="AC46" s="43">
        <f>LN('2.ΤΙΜΕΣ ΚΛΕΙΣΙΜΑΤΟΣ'!AC47/'2.ΤΙΜΕΣ ΚΛΕΙΣΙΜΑΤΟΣ'!AC46)</f>
        <v>-5.4347959859569446E-3</v>
      </c>
      <c r="AD46" s="43">
        <f>LN('2.ΤΙΜΕΣ ΚΛΕΙΣΙΜΑΤΟΣ'!AD47/'2.ΤΙΜΕΣ ΚΛΕΙΣΙΜΑΤΟΣ'!AD46)</f>
        <v>-6.9492982932059166E-3</v>
      </c>
      <c r="AE46" s="43">
        <f>LN('2.ΤΙΜΕΣ ΚΛΕΙΣΙΜΑΤΟΣ'!AE47/'2.ΤΙΜΕΣ ΚΛΕΙΣΙΜΑΤΟΣ'!AE46)</f>
        <v>-1.0929070532190206E-2</v>
      </c>
      <c r="AF46" s="43">
        <f>LN('2.ΤΙΜΕΣ ΚΛΕΙΣΙΜΑΤΟΣ'!AF47/'2.ΤΙΜΕΣ ΚΛΕΙΣΙΜΑΤΟΣ'!AF46)</f>
        <v>0</v>
      </c>
      <c r="AG46" s="43">
        <f>LN('2.ΤΙΜΕΣ ΚΛΕΙΣΙΜΑΤΟΣ'!AG47/'2.ΤΙΜΕΣ ΚΛΕΙΣΙΜΑΤΟΣ'!AG46)</f>
        <v>-4.1739606172765203E-2</v>
      </c>
      <c r="AH46" s="43">
        <f>LN('2.ΤΙΜΕΣ ΚΛΕΙΣΙΜΑΤΟΣ'!AH47/'2.ΤΙΜΕΣ ΚΛΕΙΣΙΜΑΤΟΣ'!AH46)</f>
        <v>-4.0733253876357864E-3</v>
      </c>
      <c r="AI46" s="43">
        <f>LN('2.ΤΙΜΕΣ ΚΛΕΙΣΙΜΑΤΟΣ'!AI47/'2.ΤΙΜΕΣ ΚΛΕΙΣΙΜΑΤΟΣ'!AI46)</f>
        <v>2.4692612590371633E-2</v>
      </c>
      <c r="AJ46" s="43">
        <f>LN('2.ΤΙΜΕΣ ΚΛΕΙΣΙΜΑΤΟΣ'!AJ47/'2.ΤΙΜΕΣ ΚΛΕΙΣΙΜΑΤΟΣ'!AJ46)</f>
        <v>-4.7732787526577709E-3</v>
      </c>
      <c r="AK46" s="43">
        <f>LN('2.ΤΙΜΕΣ ΚΛΕΙΣΙΜΑΤΟΣ'!AK47/'2.ΤΙΜΕΣ ΚΛΕΙΣΙΜΑΤΟΣ'!AK46)</f>
        <v>9.5694510161506725E-3</v>
      </c>
      <c r="AL46" s="43">
        <f>LN('2.ΤΙΜΕΣ ΚΛΕΙΣΙΜΑΤΟΣ'!AL47/'2.ΤΙΜΕΣ ΚΛΕΙΣΙΜΑΤΟΣ'!AL46)</f>
        <v>1.8868484304382736E-2</v>
      </c>
      <c r="AM46" s="43">
        <f>LN('2.ΤΙΜΕΣ ΚΛΕΙΣΙΜΑΤΟΣ'!AM47/'2.ΤΙΜΕΣ ΚΛΕΙΣΙΜΑΤΟΣ'!AM46)</f>
        <v>-9.47874395454377E-3</v>
      </c>
      <c r="AN46" s="43">
        <f>LN('2.ΤΙΜΕΣ ΚΛΕΙΣΙΜΑΤΟΣ'!AN47/'2.ΤΙΜΕΣ ΚΛΕΙΣΙΜΑΤΟΣ'!AN46)</f>
        <v>0</v>
      </c>
      <c r="AO46" s="43">
        <f>LN('2.ΤΙΜΕΣ ΚΛΕΙΣΙΜΑΤΟΣ'!AO47/'2.ΤΙΜΕΣ ΚΛΕΙΣΙΜΑΤΟΣ'!AO46)</f>
        <v>3.278982282299097E-2</v>
      </c>
      <c r="AP46" s="43">
        <f>LN('2.ΤΙΜΕΣ ΚΛΕΙΣΙΜΑΤΟΣ'!AP47/'2.ΤΙΜΕΣ ΚΛΕΙΣΙΜΑΤΟΣ'!AP46)</f>
        <v>6.1950588861538466E-2</v>
      </c>
      <c r="AQ46" s="43">
        <f>LN('2.ΤΙΜΕΣ ΚΛΕΙΣΙΜΑΤΟΣ'!AQ47/'2.ΤΙΜΕΣ ΚΛΕΙΣΙΜΑΤΟΣ'!AQ46)</f>
        <v>0.13685918271719735</v>
      </c>
      <c r="AR46" s="43">
        <f>LN('2.ΤΙΜΕΣ ΚΛΕΙΣΙΜΑΤΟΣ'!AR47/'2.ΤΙΜΕΣ ΚΛΕΙΣΙΜΑΤΟΣ'!AR46)</f>
        <v>0.26041494611144123</v>
      </c>
      <c r="AS46" s="43">
        <f>LN('2.ΤΙΜΕΣ ΚΛΕΙΣΙΜΑΤΟΣ'!AS47/'2.ΤΙΜΕΣ ΚΛΕΙΣΙΜΑΤΟΣ'!AS46)</f>
        <v>5.7158413839948623E-2</v>
      </c>
      <c r="AT46" s="43">
        <f>LN('2.ΤΙΜΕΣ ΚΛΕΙΣΙΜΑΤΟΣ'!AT47/'2.ΤΙΜΕΣ ΚΛΕΙΣΙΜΑΤΟΣ'!AT46)</f>
        <v>8.0272302439784324E-2</v>
      </c>
      <c r="AU46" s="43">
        <f>LN('2.ΤΙΜΕΣ ΚΛΕΙΣΙΜΑΤΟΣ'!AU47/'2.ΤΙΜΕΣ ΚΛΕΙΣΙΜΑΤΟΣ'!AU46)</f>
        <v>9.8732702723744094E-3</v>
      </c>
    </row>
    <row r="47" spans="1:47">
      <c r="A47" s="41">
        <v>43622</v>
      </c>
      <c r="B47" s="43">
        <f>LN('2.ΤΙΜΕΣ ΚΛΕΙΣΙΜΑΤΟΣ'!B48/'2.ΤΙΜΕΣ ΚΛΕΙΣΙΜΑΤΟΣ'!B47)</f>
        <v>-1.2277472383224036E-3</v>
      </c>
      <c r="C47" s="43">
        <f>LN('2.ΤΙΜΕΣ ΚΛΕΙΣΙΜΑΤΟΣ'!C48/'2.ΤΙΜΕΣ ΚΛΕΙΣΙΜΑΤΟΣ'!C47)</f>
        <v>-2.0400544300491302E-2</v>
      </c>
      <c r="D47" s="43">
        <f>LN('2.ΤΙΜΕΣ ΚΛΕΙΣΙΜΑΤΟΣ'!D48/'2.ΤΙΜΕΣ ΚΛΕΙΣΙΜΑΤΟΣ'!D47)</f>
        <v>1.7072544416498681E-2</v>
      </c>
      <c r="E47" s="43">
        <f>LN('2.ΤΙΜΕΣ ΚΛΕΙΣΙΜΑΤΟΣ'!E48/'2.ΤΙΜΕΣ ΚΛΕΙΣΙΜΑΤΟΣ'!E47)</f>
        <v>-2.4286593601266274E-3</v>
      </c>
      <c r="F47" s="43">
        <f>LN('2.ΤΙΜΕΣ ΚΛΕΙΣΙΜΑΤΟΣ'!F48/'2.ΤΙΜΕΣ ΚΛΕΙΣΙΜΑΤΟΣ'!F47)</f>
        <v>0</v>
      </c>
      <c r="G47" s="43">
        <f>LN('2.ΤΙΜΕΣ ΚΛΕΙΣΙΜΑΤΟΣ'!G48/'2.ΤΙΜΕΣ ΚΛΕΙΣΙΜΑΤΟΣ'!G47)</f>
        <v>1.3639393093318764E-2</v>
      </c>
      <c r="H47" s="43">
        <f>LN('2.ΤΙΜΕΣ ΚΛΕΙΣΙΜΑΤΟΣ'!H48/'2.ΤΙΜΕΣ ΚΛΕΙΣΙΜΑΤΟΣ'!H47)</f>
        <v>1.0704830145557155E-2</v>
      </c>
      <c r="I47" s="43">
        <f>LN('2.ΤΙΜΕΣ ΚΛΕΙΣΙΜΑΤΟΣ'!I48/'2.ΤΙΜΕΣ ΚΛΕΙΣΙΜΑΤΟΣ'!I47)</f>
        <v>-3.3159121774685989E-2</v>
      </c>
      <c r="J47" s="43">
        <f>LN('2.ΤΙΜΕΣ ΚΛΕΙΣΙΜΑΤΟΣ'!J48/'2.ΤΙΜΕΣ ΚΛΕΙΣΙΜΑΤΟΣ'!J47)</f>
        <v>-2.1810259463601145E-3</v>
      </c>
      <c r="K47" s="43">
        <f>LN('2.ΤΙΜΕΣ ΚΛΕΙΣΙΜΑΤΟΣ'!K48/'2.ΤΙΜΕΣ ΚΛΕΙΣΙΜΑΤΟΣ'!K47)</f>
        <v>0</v>
      </c>
      <c r="L47" s="43">
        <f>LN('2.ΤΙΜΕΣ ΚΛΕΙΣΙΜΑΤΟΣ'!L48/'2.ΤΙΜΕΣ ΚΛΕΙΣΙΜΑΤΟΣ'!L47)</f>
        <v>6.5540945479210877E-3</v>
      </c>
      <c r="M47" s="43">
        <f>LN('2.ΤΙΜΕΣ ΚΛΕΙΣΙΜΑΤΟΣ'!M48/'2.ΤΙΜΕΣ ΚΛΕΙΣΙΜΑΤΟΣ'!M47)</f>
        <v>0</v>
      </c>
      <c r="N47" s="43">
        <f>LN('2.ΤΙΜΕΣ ΚΛΕΙΣΙΜΑΤΟΣ'!N48/'2.ΤΙΜΕΣ ΚΛΕΙΣΙΜΑΤΟΣ'!N47)</f>
        <v>-1.4675670376862679E-3</v>
      </c>
      <c r="O47" s="43">
        <f>LN('2.ΤΙΜΕΣ ΚΛΕΙΣΙΜΑΤΟΣ'!O48/'2.ΤΙΜΕΣ ΚΛΕΙΣΙΜΑΤΟΣ'!O47)</f>
        <v>-3.2186686495901333E-2</v>
      </c>
      <c r="P47" s="43">
        <f>LN('2.ΤΙΜΕΣ ΚΛΕΙΣΙΜΑΤΟΣ'!P48/'2.ΤΙΜΕΣ ΚΛΕΙΣΙΜΑΤΟΣ'!P47)</f>
        <v>-3.9525743158234693E-3</v>
      </c>
      <c r="Q47" s="43">
        <f>LN('2.ΤΙΜΕΣ ΚΛΕΙΣΙΜΑΤΟΣ'!Q48/'2.ΤΙΜΕΣ ΚΛΕΙΣΙΜΑΤΟΣ'!Q47)</f>
        <v>-1.9160497739075744E-2</v>
      </c>
      <c r="R47" s="43">
        <f>LN('2.ΤΙΜΕΣ ΚΛΕΙΣΙΜΑΤΟΣ'!R48/'2.ΤΙΜΕΣ ΚΛΕΙΣΙΜΑΤΟΣ'!R47)</f>
        <v>-8.516805849534051E-2</v>
      </c>
      <c r="S47" s="43">
        <f>LN('2.ΤΙΜΕΣ ΚΛΕΙΣΙΜΑΤΟΣ'!S48/'2.ΤΙΜΕΣ ΚΛΕΙΣΙΜΑΤΟΣ'!S47)</f>
        <v>2.6560440581162104E-3</v>
      </c>
      <c r="T47" s="43">
        <f>LN('2.ΤΙΜΕΣ ΚΛΕΙΣΙΜΑΤΟΣ'!T48/'2.ΤΙΜΕΣ ΚΛΕΙΣΙΜΑΤΟΣ'!T47)</f>
        <v>-1.9505494624256731E-2</v>
      </c>
      <c r="U47" s="43">
        <f>LN('2.ΤΙΜΕΣ ΚΛΕΙΣΙΜΑΤΟΣ'!U48/'2.ΤΙΜΕΣ ΚΛΕΙΣΙΜΑΤΟΣ'!U47)</f>
        <v>0</v>
      </c>
      <c r="V47" s="43">
        <f>LN('2.ΤΙΜΕΣ ΚΛΕΙΣΙΜΑΤΟΣ'!V48/'2.ΤΙΜΕΣ ΚΛΕΙΣΙΜΑΤΟΣ'!V47)</f>
        <v>9.1324835632724723E-3</v>
      </c>
      <c r="W47" s="43">
        <f>LN('2.ΤΙΜΕΣ ΚΛΕΙΣΙΜΑΤΟΣ'!W48/'2.ΤΙΜΕΣ ΚΛΕΙΣΙΜΑΤΟΣ'!W47)</f>
        <v>0</v>
      </c>
      <c r="X47" s="43">
        <f>LN('2.ΤΙΜΕΣ ΚΛΕΙΣΙΜΑΤΟΣ'!X48/'2.ΤΙΜΕΣ ΚΛΕΙΣΙΜΑΤΟΣ'!X47)</f>
        <v>-1.0523056288233544E-2</v>
      </c>
      <c r="Y47" s="43">
        <f>LN('2.ΤΙΜΕΣ ΚΛΕΙΣΙΜΑΤΟΣ'!Y48/'2.ΤΙΜΕΣ ΚΛΕΙΣΙΜΑΤΟΣ'!Y47)</f>
        <v>-1.3648505831559814E-2</v>
      </c>
      <c r="Z47" s="43">
        <f>LN('2.ΤΙΜΕΣ ΚΛΕΙΣΙΜΑΤΟΣ'!Z48/'2.ΤΙΜΕΣ ΚΛΕΙΣΙΜΑΤΟΣ'!Z47)</f>
        <v>-3.4071583216141975E-3</v>
      </c>
      <c r="AA47" s="43">
        <f>LN('2.ΤΙΜΕΣ ΚΛΕΙΣΙΜΑΤΟΣ'!AA48/'2.ΤΙΜΕΣ ΚΛΕΙΣΙΜΑΤΟΣ'!AA47)</f>
        <v>2.1506205220963682E-2</v>
      </c>
      <c r="AB47" s="43">
        <f>LN('2.ΤΙΜΕΣ ΚΛΕΙΣΙΜΑΤΟΣ'!AB48/'2.ΤΙΜΕΣ ΚΛΕΙΣΙΜΑΤΟΣ'!AB47)</f>
        <v>9.950330853168092E-3</v>
      </c>
      <c r="AC47" s="43">
        <f>LN('2.ΤΙΜΕΣ ΚΛΕΙΣΙΜΑΤΟΣ'!AC48/'2.ΤΙΜΕΣ ΚΛΕΙΣΙΜΑΤΟΣ'!AC47)</f>
        <v>1.3614705983211706E-3</v>
      </c>
      <c r="AD47" s="43">
        <f>LN('2.ΤΙΜΕΣ ΚΛΕΙΣΙΜΑΤΟΣ'!AD48/'2.ΤΙΜΕΣ ΚΛΕΙΣΙΜΑΤΟΣ'!AD47)</f>
        <v>-3.116399503482831E-2</v>
      </c>
      <c r="AE47" s="43">
        <f>LN('2.ΤΙΜΕΣ ΚΛΕΙΣΙΜΑΤΟΣ'!AE48/'2.ΤΙΜΕΣ ΚΛΕΙΣΙΜΑΤΟΣ'!AE47)</f>
        <v>-4.1127291423862844E-2</v>
      </c>
      <c r="AF47" s="43">
        <f>LN('2.ΤΙΜΕΣ ΚΛΕΙΣΙΜΑΤΟΣ'!AF48/'2.ΤΙΜΕΣ ΚΛΕΙΣΙΜΑΤΟΣ'!AF47)</f>
        <v>9.7880063661629439E-3</v>
      </c>
      <c r="AG47" s="43">
        <f>LN('2.ΤΙΜΕΣ ΚΛΕΙΣΙΜΑΤΟΣ'!AG48/'2.ΤΙΜΕΣ ΚΛΕΙΣΙΜΑΤΟΣ'!AG47)</f>
        <v>-1.6529301951210582E-2</v>
      </c>
      <c r="AH47" s="43">
        <f>LN('2.ΤΙΜΕΣ ΚΛΕΙΣΙΜΑΤΟΣ'!AH48/'2.ΤΙΜΕΣ ΚΛΕΙΣΙΜΑΤΟΣ'!AH47)</f>
        <v>0</v>
      </c>
      <c r="AI47" s="43">
        <f>LN('2.ΤΙΜΕΣ ΚΛΕΙΣΙΜΑΤΟΣ'!AI48/'2.ΤΙΜΕΣ ΚΛΕΙΣΙΜΑΤΟΣ'!AI47)</f>
        <v>8.0972102326193028E-3</v>
      </c>
      <c r="AJ47" s="43">
        <f>LN('2.ΤΙΜΕΣ ΚΛΕΙΣΙΜΑΤΟΣ'!AJ48/'2.ΤΙΜΕΣ ΚΛΕΙΣΙΜΑΤΟΣ'!AJ47)</f>
        <v>-9.6154586994419804E-3</v>
      </c>
      <c r="AK47" s="43">
        <f>LN('2.ΤΙΜΕΣ ΚΛΕΙΣΙΜΑΤΟΣ'!AK48/'2.ΤΙΜΕΣ ΚΛΕΙΣΙΜΑΤΟΣ'!AK47)</f>
        <v>4.1964199099031992E-2</v>
      </c>
      <c r="AL47" s="43">
        <f>LN('2.ΤΙΜΕΣ ΚΛΕΙΣΙΜΑΤΟΣ'!AL48/'2.ΤΙΜΕΣ ΚΛΕΙΣΙΜΑΤΟΣ'!AL47)</f>
        <v>-0.14022934130865025</v>
      </c>
      <c r="AM47" s="43">
        <f>LN('2.ΤΙΜΕΣ ΚΛΕΙΣΙΜΑΤΟΣ'!AM48/'2.ΤΙΜΕΣ ΚΛΕΙΣΙΜΑΤΟΣ'!AM47)</f>
        <v>0</v>
      </c>
      <c r="AN47" s="43">
        <f>LN('2.ΤΙΜΕΣ ΚΛΕΙΣΙΜΑΤΟΣ'!AN48/'2.ΤΙΜΕΣ ΚΛΕΙΣΙΜΑΤΟΣ'!AN47)</f>
        <v>-5.6089466651043585E-2</v>
      </c>
      <c r="AO47" s="43">
        <f>LN('2.ΤΙΜΕΣ ΚΛΕΙΣΙΜΑΤΟΣ'!AO48/'2.ΤΙΜΕΣ ΚΛΕΙΣΙΜΑΤΟΣ'!AO47)</f>
        <v>-6.4725145056174788E-3</v>
      </c>
      <c r="AP47" s="43">
        <f>LN('2.ΤΙΜΕΣ ΚΛΕΙΣΙΜΑΤΟΣ'!AP48/'2.ΤΙΜΕΣ ΚΛΕΙΣΙΜΑΤΟΣ'!AP47)</f>
        <v>7.605641917068455E-2</v>
      </c>
      <c r="AQ47" s="43">
        <f>LN('2.ΤΙΜΕΣ ΚΛΕΙΣΙΜΑΤΟΣ'!AQ48/'2.ΤΙΜΕΣ ΚΛΕΙΣΙΜΑΤΟΣ'!AQ47)</f>
        <v>-0.10794783922277715</v>
      </c>
      <c r="AR47" s="43">
        <f>LN('2.ΤΙΜΕΣ ΚΛΕΙΣΙΜΑΤΟΣ'!AR48/'2.ΤΙΜΕΣ ΚΛΕΙΣΙΜΑΤΟΣ'!AR47)</f>
        <v>-6.9689978521107213E-2</v>
      </c>
      <c r="AS47" s="43">
        <f>LN('2.ΤΙΜΕΣ ΚΛΕΙΣΙΜΑΤΟΣ'!AS48/'2.ΤΙΜΕΣ ΚΛΕΙΣΙΜΑΤΟΣ'!AS47)</f>
        <v>-7.8390633945722696E-2</v>
      </c>
      <c r="AT47" s="43">
        <f>LN('2.ΤΙΜΕΣ ΚΛΕΙΣΙΜΑΤΟΣ'!AT48/'2.ΤΙΜΕΣ ΚΛΕΙΣΙΜΑΤΟΣ'!AT47)</f>
        <v>-8.0272302439784227E-2</v>
      </c>
      <c r="AU47" s="43">
        <f>LN('2.ΤΙΜΕΣ ΚΛΕΙΣΙΜΑΤΟΣ'!AU48/'2.ΤΙΜΕΣ ΚΛΕΙΣΙΜΑΤΟΣ'!AU47)</f>
        <v>-5.4323080456255505E-3</v>
      </c>
    </row>
    <row r="48" spans="1:47">
      <c r="A48" s="41">
        <v>43623</v>
      </c>
      <c r="B48" s="43">
        <f>LN('2.ΤΙΜΕΣ ΚΛΕΙΣΙΜΑΤΟΣ'!B49/'2.ΤΙΜΕΣ ΚΛΕΙΣΙΜΑΤΟΣ'!B48)</f>
        <v>7.039049722217249E-3</v>
      </c>
      <c r="C48" s="43">
        <f>LN('2.ΤΙΜΕΣ ΚΛΕΙΣΙΜΑΤΟΣ'!C49/'2.ΤΙΜΕΣ ΚΛΕΙΣΙΜΑΤΟΣ'!C48)</f>
        <v>-8.2474231479049472E-4</v>
      </c>
      <c r="D48" s="43">
        <f>LN('2.ΤΙΜΕΣ ΚΛΕΙΣΙΜΑΤΟΣ'!D49/'2.ΤΙΜΕΣ ΚΛΕΙΣΙΜΑΤΟΣ'!D48)</f>
        <v>6.3278000638193809E-3</v>
      </c>
      <c r="E48" s="43">
        <f>LN('2.ΤΙΜΕΣ ΚΛΕΙΣΙΜΑΤΟΣ'!E49/'2.ΤΙΜΕΣ ΚΛΕΙΣΙΜΑΤΟΣ'!E48)</f>
        <v>-1.6549565581035274E-2</v>
      </c>
      <c r="F48" s="43">
        <f>LN('2.ΤΙΜΕΣ ΚΛΕΙΣΙΜΑΤΟΣ'!F49/'2.ΤΙΜΕΣ ΚΛΕΙΣΙΜΑΤΟΣ'!F48)</f>
        <v>1.1813350458311713E-3</v>
      </c>
      <c r="G48" s="43">
        <f>LN('2.ΤΙΜΕΣ ΚΛΕΙΣΙΜΑΤΟΣ'!G49/'2.ΤΙΜΕΣ ΚΛΕΙΣΙΜΑΤΟΣ'!G48)</f>
        <v>-9.9010709827115698E-3</v>
      </c>
      <c r="H48" s="43">
        <f>LN('2.ΤΙΜΕΣ ΚΛΕΙΣΙΜΑΤΟΣ'!H49/'2.ΤΙΜΕΣ ΚΛΕΙΣΙΜΑΤΟΣ'!H48)</f>
        <v>-1.0704830145557093E-2</v>
      </c>
      <c r="I48" s="43">
        <f>LN('2.ΤΙΜΕΣ ΚΛΕΙΣΙΜΑΤΟΣ'!I49/'2.ΤΙΜΕΣ ΚΛΕΙΣΙΜΑΤΟΣ'!I48)</f>
        <v>1.4525042229793015E-2</v>
      </c>
      <c r="J48" s="43">
        <f>LN('2.ΤΙΜΕΣ ΚΛΕΙΣΙΜΑΤΟΣ'!J49/'2.ΤΙΜΕΣ ΚΛΕΙΣΙΜΑΤΟΣ'!J48)</f>
        <v>4.3573053689556262E-3</v>
      </c>
      <c r="K48" s="43">
        <f>LN('2.ΤΙΜΕΣ ΚΛΕΙΣΙΜΑΤΟΣ'!K49/'2.ΤΙΜΕΣ ΚΛΕΙΣΙΜΑΤΟΣ'!K48)</f>
        <v>-6.6880363132982394E-3</v>
      </c>
      <c r="L48" s="43">
        <f>LN('2.ΤΙΜΕΣ ΚΛΕΙΣΙΜΑΤΟΣ'!L49/'2.ΤΙΜΕΣ ΚΛΕΙΣΙΜΑΤΟΣ'!L48)</f>
        <v>4.5124167818619927E-3</v>
      </c>
      <c r="M48" s="43">
        <f>LN('2.ΤΙΜΕΣ ΚΛΕΙΣΙΜΑΤΟΣ'!M49/'2.ΤΙΜΕΣ ΚΛΕΙΣΙΜΑΤΟΣ'!M48)</f>
        <v>-1.5677812719229904E-2</v>
      </c>
      <c r="N48" s="43">
        <f>LN('2.ΤΙΜΕΣ ΚΛΕΙΣΙΜΑΤΟΣ'!N49/'2.ΤΙΜΕΣ ΚΛΕΙΣΙΜΑΤΟΣ'!N48)</f>
        <v>5.8573897149385226E-3</v>
      </c>
      <c r="O48" s="43">
        <f>LN('2.ΤΙΜΕΣ ΚΛΕΙΣΙΜΑΤΟΣ'!O49/'2.ΤΙΜΕΣ ΚΛΕΙΣΙΜΑΤΟΣ'!O48)</f>
        <v>1.0844413014128876E-2</v>
      </c>
      <c r="P48" s="43">
        <f>LN('2.ΤΙΜΕΣ ΚΛΕΙΣΙΜΑΤΟΣ'!P49/'2.ΤΙΜΕΣ ΚΛΕΙΣΙΜΑΤΟΣ'!P48)</f>
        <v>-1.3958352250706801E-2</v>
      </c>
      <c r="Q48" s="43">
        <f>LN('2.ΤΙΜΕΣ ΚΛΕΙΣΙΜΑΤΟΣ'!Q49/'2.ΤΙΜΕΣ ΚΛΕΙΣΙΜΑΤΟΣ'!Q48)</f>
        <v>-2.1813576471230018E-2</v>
      </c>
      <c r="R48" s="43">
        <f>LN('2.ΤΙΜΕΣ ΚΛΕΙΣΙΜΑΤΟΣ'!R49/'2.ΤΙΜΕΣ ΚΛΕΙΣΙΜΑΤΟΣ'!R48)</f>
        <v>-1.9782537091158518E-2</v>
      </c>
      <c r="S48" s="43">
        <f>LN('2.ΤΙΜΕΣ ΚΛΕΙΣΙΜΑΤΟΣ'!S49/'2.ΤΙΜΕΣ ΚΛΕΙΣΙΜΑΤΟΣ'!S48)</f>
        <v>-7.98939003347875E-3</v>
      </c>
      <c r="T48" s="43">
        <f>LN('2.ΤΙΜΕΣ ΚΛΕΙΣΙΜΑΤΟΣ'!T49/'2.ΤΙΜΕΣ ΚΛΕΙΣΙΜΑΤΟΣ'!T48)</f>
        <v>1.6529301951210506E-2</v>
      </c>
      <c r="U48" s="43">
        <f>LN('2.ΤΙΜΕΣ ΚΛΕΙΣΙΜΑΤΟΣ'!U49/'2.ΤΙΜΕΣ ΚΛΕΙΣΙΜΑΤΟΣ'!U48)</f>
        <v>7.4192179220286467E-3</v>
      </c>
      <c r="V48" s="43">
        <f>LN('2.ΤΙΜΕΣ ΚΛΕΙΣΙΜΑΤΟΣ'!V49/'2.ΤΙΜΕΣ ΚΛΕΙΣΙΜΑΤΟΣ'!V48)</f>
        <v>0</v>
      </c>
      <c r="W48" s="43">
        <f>LN('2.ΤΙΜΕΣ ΚΛΕΙΣΙΜΑΤΟΣ'!W49/'2.ΤΙΜΕΣ ΚΛΕΙΣΙΜΑΤΟΣ'!W48)</f>
        <v>7.4442031117300462E-3</v>
      </c>
      <c r="X48" s="43">
        <f>LN('2.ΤΙΜΕΣ ΚΛΕΙΣΙΜΑΤΟΣ'!X49/'2.ΤΙΜΕΣ ΚΛΕΙΣΙΜΑΤΟΣ'!X48)</f>
        <v>2.7210901143608075E-3</v>
      </c>
      <c r="Y48" s="43">
        <f>LN('2.ΤΙΜΕΣ ΚΛΕΙΣΙΜΑΤΟΣ'!Y49/'2.ΤΙΜΕΣ ΚΛΕΙΣΙΜΑΤΟΣ'!Y48)</f>
        <v>-6.3626937878287692E-3</v>
      </c>
      <c r="Z48" s="43">
        <f>LN('2.ΤΙΜΕΣ ΚΛΕΙΣΙΜΑΤΟΣ'!Z49/'2.ΤΙΜΕΣ ΚΛΕΙΣΙΜΑΤΟΣ'!Z48)</f>
        <v>6.8027473227523999E-3</v>
      </c>
      <c r="AA48" s="43">
        <f>LN('2.ΤΙΜΕΣ ΚΛΕΙΣΙΜΑΤΟΣ'!AA49/'2.ΤΙΜΕΣ ΚΛΕΙΣΙΜΑΤΟΣ'!AA48)</f>
        <v>0</v>
      </c>
      <c r="AB48" s="43">
        <f>LN('2.ΤΙΜΕΣ ΚΛΕΙΣΙΜΑΤΟΣ'!AB49/'2.ΤΙΜΕΣ ΚΛΕΙΣΙΜΑΤΟΣ'!AB48)</f>
        <v>3.9525743158233418E-3</v>
      </c>
      <c r="AC48" s="43">
        <f>LN('2.ΤΙΜΕΣ ΚΛΕΙΣΙΜΑΤΟΣ'!AC49/'2.ΤΙΜΕΣ ΚΛΕΙΣΙΜΑΤΟΣ'!AC48)</f>
        <v>-1.3614705983210744E-3</v>
      </c>
      <c r="AD48" s="43">
        <f>LN('2.ΤΙΜΕΣ ΚΛΕΙΣΙΜΑΤΟΣ'!AD49/'2.ΤΙΜΕΣ ΚΛΕΙΣΙΜΑΤΟΣ'!AD48)</f>
        <v>3.3949512156254649E-2</v>
      </c>
      <c r="AE48" s="43">
        <f>LN('2.ΤΙΜΕΣ ΚΛΕΙΣΙΜΑΤΟΣ'!AE49/'2.ΤΙΜΕΣ ΚΛΕΙΣΙΜΑΤΟΣ'!AE48)</f>
        <v>1.5151805020602246E-2</v>
      </c>
      <c r="AF48" s="43">
        <f>LN('2.ΤΙΜΕΣ ΚΛΕΙΣΙΜΑΤΟΣ'!AF49/'2.ΤΙΜΕΣ ΚΛΕΙΣΙΜΑΤΟΣ'!AF48)</f>
        <v>-2.1882711249507709E-2</v>
      </c>
      <c r="AG48" s="43">
        <f>LN('2.ΤΙΜΕΣ ΚΛΕΙΣΙΜΑΤΟΣ'!AG49/'2.ΤΙΜΕΣ ΚΛΕΙΣΙΜΑΤΟΣ'!AG48)</f>
        <v>1.6529301951210506E-2</v>
      </c>
      <c r="AH48" s="43">
        <f>LN('2.ΤΙΜΕΣ ΚΛΕΙΣΙΜΑΤΟΣ'!AH49/'2.ΤΙΜΕΣ ΚΛΕΙΣΙΜΑΤΟΣ'!AH48)</f>
        <v>3.0548999371663679E-2</v>
      </c>
      <c r="AI48" s="43">
        <f>LN('2.ΤΙΜΕΣ ΚΛΕΙΣΙΜΑΤΟΣ'!AI49/'2.ΤΙΜΕΣ ΚΛΕΙΣΙΜΑΤΟΣ'!AI48)</f>
        <v>8.0321716972642527E-3</v>
      </c>
      <c r="AJ48" s="43">
        <f>LN('2.ΤΙΜΕΣ ΚΛΕΙΣΙΜΑΤΟΣ'!AJ49/'2.ΤΙΜΕΣ ΚΛΕΙΣΙΜΑΤΟΣ'!AJ48)</f>
        <v>2.3867481406643486E-2</v>
      </c>
      <c r="AK48" s="43">
        <f>LN('2.ΤΙΜΕΣ ΚΛΕΙΣΙΜΑΤΟΣ'!AK49/'2.ΤΙΜΕΣ ΚΛΕΙΣΙΜΑΤΟΣ'!AK48)</f>
        <v>0</v>
      </c>
      <c r="AL48" s="43">
        <f>LN('2.ΤΙΜΕΣ ΚΛΕΙΣΙΜΑΤΟΣ'!AL49/'2.ΤΙΜΕΣ ΚΛΕΙΣΙΜΑΤΟΣ'!AL48)</f>
        <v>2.1277398447284879E-2</v>
      </c>
      <c r="AM48" s="43">
        <f>LN('2.ΤΙΜΕΣ ΚΛΕΙΣΙΜΑΤΟΣ'!AM49/'2.ΤΙΜΕΣ ΚΛΕΙΣΙΜΑΤΟΣ'!AM48)</f>
        <v>0</v>
      </c>
      <c r="AN48" s="43">
        <f>LN('2.ΤΙΜΕΣ ΚΛΕΙΣΙΜΑΤΟΣ'!AN49/'2.ΤΙΜΕΣ ΚΛΕΙΣΙΜΑΤΟΣ'!AN48)</f>
        <v>5.3488684950986222E-2</v>
      </c>
      <c r="AO48" s="43">
        <f>LN('2.ΤΙΜΕΣ ΚΛΕΙΣΙΜΑΤΟΣ'!AO49/'2.ΤΙΜΕΣ ΚΛΕΙΣΙΜΑΤΟΣ'!AO48)</f>
        <v>-6.5146810211937538E-3</v>
      </c>
      <c r="AP48" s="43">
        <f>LN('2.ΤΙΜΕΣ ΚΛΕΙΣΙΜΑΤΟΣ'!AP49/'2.ΤΙΜΕΣ ΚΛΕΙΣΙΜΑΤΟΣ'!AP48)</f>
        <v>0</v>
      </c>
      <c r="AQ48" s="43">
        <f>LN('2.ΤΙΜΕΣ ΚΛΕΙΣΙΜΑΤΟΣ'!AQ49/'2.ΤΙΜΕΣ ΚΛΕΙΣΙΜΑΤΟΣ'!AQ48)</f>
        <v>3.562717764315125E-2</v>
      </c>
      <c r="AR48" s="43">
        <f>LN('2.ΤΙΜΕΣ ΚΛΕΙΣΙΜΑΤΟΣ'!AR49/'2.ΤΙΜΕΣ ΚΛΕΙΣΙΜΑΤΟΣ'!AR48)</f>
        <v>8.9014251347509996E-2</v>
      </c>
      <c r="AS48" s="43">
        <f>LN('2.ΤΙΜΕΣ ΚΛΕΙΣΙΜΑΤΟΣ'!AS49/'2.ΤΙΜΕΣ ΚΛΕΙΣΙΜΑΤΟΣ'!AS48)</f>
        <v>1.7021687569430743E-2</v>
      </c>
      <c r="AT48" s="43">
        <f>LN('2.ΤΙΜΕΣ ΚΛΕΙΣΙΜΑΤΟΣ'!AT49/'2.ΤΙΜΕΣ ΚΛΕΙΣΙΜΑΤΟΣ'!AT48)</f>
        <v>6.6402454575633804E-2</v>
      </c>
      <c r="AU48" s="43">
        <f>LN('2.ΤΙΜΕΣ ΚΛΕΙΣΙΜΑΤΟΣ'!AU49/'2.ΤΙΜΕΣ ΚΛΕΙΣΙΜΑΤΟΣ'!AU48)</f>
        <v>-1.2003038944462367E-3</v>
      </c>
    </row>
    <row r="49" spans="1:47">
      <c r="A49" s="41">
        <v>43626</v>
      </c>
      <c r="B49" s="43">
        <f>LN('2.ΤΙΜΕΣ ΚΛΕΙΣΙΜΑΤΟΣ'!B50/'2.ΤΙΜΕΣ ΚΛΕΙΣΙΜΑΤΟΣ'!B49)</f>
        <v>-2.7485129533490484E-3</v>
      </c>
      <c r="C49" s="43">
        <f>LN('2.ΤΙΜΕΣ ΚΛΕΙΣΙΜΑΤΟΣ'!C50/'2.ΤΙΜΕΣ ΚΛΕΙΣΙΜΑΤΟΣ'!C49)</f>
        <v>2.6060106669865087E-2</v>
      </c>
      <c r="D49" s="43">
        <f>LN('2.ΤΙΜΕΣ ΚΛΕΙΣΙΜΑΤΟΣ'!D50/'2.ΤΙΜΕΣ ΚΛΕΙΣΙΜΑΤΟΣ'!D49)</f>
        <v>3.805956182434498E-2</v>
      </c>
      <c r="E49" s="43">
        <f>LN('2.ΤΙΜΕΣ ΚΛΕΙΣΙΜΑΤΟΣ'!E50/'2.ΤΙΜΕΣ ΚΛΕΙΣΙΜΑΤΟΣ'!E49)</f>
        <v>1.9584469276189394E-2</v>
      </c>
      <c r="F49" s="43">
        <f>LN('2.ΤΙΜΕΣ ΚΛΕΙΣΙΜΑΤΟΣ'!F50/'2.ΤΙΜΕΣ ΚΛΕΙΣΙΜΑΤΟΣ'!F49)</f>
        <v>2.1028812279824796E-2</v>
      </c>
      <c r="G49" s="43">
        <f>LN('2.ΤΙΜΕΣ ΚΛΕΙΣΙΜΑΤΟΣ'!G50/'2.ΤΙΜΕΣ ΚΛΕΙΣΙΜΑΤΟΣ'!G49)</f>
        <v>4.380262265839284E-2</v>
      </c>
      <c r="H49" s="43">
        <f>LN('2.ΤΙΜΕΣ ΚΛΕΙΣΙΜΑΤΟΣ'!H50/'2.ΤΙΜΕΣ ΚΛΕΙΣΙΜΑΤΟΣ'!H49)</f>
        <v>1.2477880255442832E-2</v>
      </c>
      <c r="I49" s="43">
        <f>LN('2.ΤΙΜΕΣ ΚΛΕΙΣΙΜΑΤΟΣ'!I50/'2.ΤΙΜΕΣ ΚΛΕΙΣΙΜΑΤΟΣ'!I49)</f>
        <v>6.6691374498672351E-2</v>
      </c>
      <c r="J49" s="43">
        <f>LN('2.ΤΙΜΕΣ ΚΛΕΙΣΙΜΑΤΟΣ'!J50/'2.ΤΙΜΕΣ ΚΛΕΙΣΙΜΑΤΟΣ'!J49)</f>
        <v>4.4224893737857186E-2</v>
      </c>
      <c r="K49" s="43">
        <f>LN('2.ΤΙΜΕΣ ΚΛΕΙΣΙΜΑΤΟΣ'!K50/'2.ΤΙΜΕΣ ΚΛΕΙΣΙΜΑΤΟΣ'!K49)</f>
        <v>2.9126223511017124E-2</v>
      </c>
      <c r="L49" s="43">
        <f>LN('2.ΤΙΜΕΣ ΚΛΕΙΣΙΜΑΤΟΣ'!L50/'2.ΤΙΜΕΣ ΚΛΕΙΣΙΜΑΤΟΣ'!L49)</f>
        <v>2.5192737632053874E-2</v>
      </c>
      <c r="M49" s="43">
        <f>LN('2.ΤΙΜΕΣ ΚΛΕΙΣΙΜΑΤΟΣ'!M50/'2.ΤΙΜΕΣ ΚΛΕΙΣΙΜΑΤΟΣ'!M49)</f>
        <v>1.3453117697118676E-2</v>
      </c>
      <c r="N49" s="43">
        <f>LN('2.ΤΙΜΕΣ ΚΛΕΙΣΙΜΑΤΟΣ'!N50/'2.ΤΙΜΕΣ ΚΛΕΙΣΙΜΑΤΟΣ'!N49)</f>
        <v>1.3131978249603929E-3</v>
      </c>
      <c r="O49" s="43">
        <f>LN('2.ΤΙΜΕΣ ΚΛΕΙΣΙΜΑΤΟΣ'!O50/'2.ΤΙΜΕΣ ΚΛΕΙΣΙΜΑΤΟΣ'!O49)</f>
        <v>4.0760359338873974E-2</v>
      </c>
      <c r="P49" s="43">
        <f>LN('2.ΤΙΜΕΣ ΚΛΕΙΣΙΜΑΤΟΣ'!P50/'2.ΤΙΜΕΣ ΚΛΕΙΣΙΜΑΤΟΣ'!P49)</f>
        <v>4.1303806141235792E-2</v>
      </c>
      <c r="Q49" s="43">
        <f>LN('2.ΤΙΜΕΣ ΚΛΕΙΣΙΜΑΤΟΣ'!Q50/'2.ΤΙΜΕΣ ΚΛΕΙΣΙΜΑΤΟΣ'!Q49)</f>
        <v>9.7726890802755248E-2</v>
      </c>
      <c r="R49" s="43">
        <f>LN('2.ΤΙΜΕΣ ΚΛΕΙΣΙΜΑΤΟΣ'!R50/'2.ΤΙΜΕΣ ΚΛΕΙΣΙΜΑΤΟΣ'!R49)</f>
        <v>0.10032737884504209</v>
      </c>
      <c r="S49" s="43">
        <f>LN('2.ΤΙΜΕΣ ΚΛΕΙΣΙΜΑΤΟΣ'!S50/'2.ΤΙΜΕΣ ΚΛΕΙΣΙΜΑΤΟΣ'!S49)</f>
        <v>2.8987536873252187E-2</v>
      </c>
      <c r="T49" s="43">
        <f>LN('2.ΤΙΜΕΣ ΚΛΕΙΣΙΜΑΤΟΣ'!T50/'2.ΤΙΜΕΣ ΚΛΕΙΣΙΜΑΤΟΣ'!T49)</f>
        <v>5.0846100521560279E-2</v>
      </c>
      <c r="U49" s="43">
        <f>LN('2.ΤΙΜΕΣ ΚΛΕΙΣΙΜΑΤΟΣ'!U50/'2.ΤΙΜΕΣ ΚΛΕΙΣΙΜΑΤΟΣ'!U49)</f>
        <v>4.9443643972514488E-2</v>
      </c>
      <c r="V49" s="43">
        <f>LN('2.ΤΙΜΕΣ ΚΛΕΙΣΙΜΑΤΟΣ'!V50/'2.ΤΙΜΕΣ ΚΛΕΙΣΙΜΑΤΟΣ'!V49)</f>
        <v>1.8018505502678212E-2</v>
      </c>
      <c r="W49" s="43">
        <f>LN('2.ΤΙΜΕΣ ΚΛΕΙΣΙΜΑΤΟΣ'!W50/'2.ΤΙΜΕΣ ΚΛΕΙΣΙΜΑΤΟΣ'!W49)</f>
        <v>1.9584469276189394E-2</v>
      </c>
      <c r="X49" s="43">
        <f>LN('2.ΤΙΜΕΣ ΚΛΕΙΣΙΜΑΤΟΣ'!X50/'2.ΤΙΜΕΣ ΚΛΕΙΣΙΜΑΤΟΣ'!X49)</f>
        <v>-1.5788953740701304E-2</v>
      </c>
      <c r="Y49" s="43">
        <f>LN('2.ΤΙΜΕΣ ΚΛΕΙΣΙΜΑΤΟΣ'!Y50/'2.ΤΙΜΕΣ ΚΛΕΙΣΙΜΑΤΟΣ'!Y49)</f>
        <v>3.1416196233378914E-2</v>
      </c>
      <c r="Z49" s="43">
        <f>LN('2.ΤΙΜΕΣ ΚΛΕΙΣΙΜΑΤΟΣ'!Z50/'2.ΤΙΜΕΣ ΚΛΕΙΣΙΜΑΤΟΣ'!Z49)</f>
        <v>0</v>
      </c>
      <c r="AA49" s="43">
        <f>LN('2.ΤΙΜΕΣ ΚΛΕΙΣΙΜΑΤΟΣ'!AA50/'2.ΤΙΜΕΣ ΚΛΕΙΣΙΜΑΤΟΣ'!AA49)</f>
        <v>1.2685159527315861E-2</v>
      </c>
      <c r="AB49" s="43">
        <f>LN('2.ΤΙΜΕΣ ΚΛΕΙΣΙΜΑΤΟΣ'!AB50/'2.ΤΙΜΕΣ ΚΛΕΙΣΙΜΑΤΟΣ'!AB49)</f>
        <v>4.4366002954984364E-2</v>
      </c>
      <c r="AC49" s="43">
        <f>LN('2.ΤΙΜΕΣ ΚΛΕΙΣΙΜΑΤΟΣ'!AC50/'2.ΤΙΜΕΣ ΚΛΕΙΣΙΜΑΤΟΣ'!AC49)</f>
        <v>0</v>
      </c>
      <c r="AD49" s="43">
        <f>LN('2.ΤΙΜΕΣ ΚΛΕΙΣΙΜΑΤΟΣ'!AD50/'2.ΤΙΜΕΣ ΚΛΕΙΣΙΜΑΤΟΣ'!AD49)</f>
        <v>1.6552102028731929E-2</v>
      </c>
      <c r="AE49" s="43">
        <f>LN('2.ΤΙΜΕΣ ΚΛΕΙΣΙΜΑΤΟΣ'!AE50/'2.ΤΙΜΕΣ ΚΛΕΙΣΙΜΑΤΟΣ'!AE49)</f>
        <v>3.3274788884872133E-2</v>
      </c>
      <c r="AF49" s="43">
        <f>LN('2.ΤΙΜΕΣ ΚΛΕΙΣΙΜΑΤΟΣ'!AF50/'2.ΤΙΜΕΣ ΚΛΕΙΣΙΜΑΤΟΣ'!AF49)</f>
        <v>3.2647077836666122E-2</v>
      </c>
      <c r="AG49" s="43">
        <f>LN('2.ΤΙΜΕΣ ΚΛΕΙΣΙΜΑΤΟΣ'!AG50/'2.ΤΙΜΕΣ ΚΛΕΙΣΙΜΑΤΟΣ'!AG49)</f>
        <v>6.351340572232593E-2</v>
      </c>
      <c r="AH49" s="43">
        <f>LN('2.ΤΙΜΕΣ ΚΛΕΙΣΙΜΑΤΟΣ'!AH50/'2.ΤΙΜΕΣ ΚΛΕΙΣΙΜΑΤΟΣ'!AH49)</f>
        <v>2.5020851783146954E-2</v>
      </c>
      <c r="AI49" s="43">
        <f>LN('2.ΤΙΜΕΣ ΚΛΕΙΣΙΜΑΤΟΣ'!AI50/'2.ΤΙΜΕΣ ΚΛΕΙΣΙΜΑΤΟΣ'!AI49)</f>
        <v>-8.0321716972642666E-3</v>
      </c>
      <c r="AJ49" s="43">
        <f>LN('2.ΤΙΜΕΣ ΚΛΕΙΣΙΜΑΤΟΣ'!AJ50/'2.ΤΙΜΕΣ ΚΛΕΙΣΙΜΑΤΟΣ'!AJ49)</f>
        <v>4.7058910374124926E-3</v>
      </c>
      <c r="AK49" s="43">
        <f>LN('2.ΤΙΜΕΣ ΚΛΕΙΣΙΜΑΤΟΣ'!AK50/'2.ΤΙΜΕΣ ΚΛΕΙΣΙΜΑΤΟΣ'!AK49)</f>
        <v>0</v>
      </c>
      <c r="AL49" s="43">
        <f>LN('2.ΤΙΜΕΣ ΚΛΕΙΣΙΜΑΤΟΣ'!AL50/'2.ΤΙΜΕΣ ΚΛΕΙΣΙΜΑΤΟΣ'!AL49)</f>
        <v>7.1095921683730259E-2</v>
      </c>
      <c r="AM49" s="43">
        <f>LN('2.ΤΙΜΕΣ ΚΛΕΙΣΙΜΑΤΟΣ'!AM50/'2.ΤΙΜΕΣ ΚΛΕΙΣΙΜΑΤΟΣ'!AM49)</f>
        <v>0</v>
      </c>
      <c r="AN49" s="43">
        <f>LN('2.ΤΙΜΕΣ ΚΛΕΙΣΙΜΑΤΟΣ'!AN50/'2.ΤΙΜΕΣ ΚΛΕΙΣΙΜΑΤΟΣ'!AN49)</f>
        <v>-5.8998340761955877E-2</v>
      </c>
      <c r="AO49" s="43">
        <f>LN('2.ΤΙΜΕΣ ΚΛΕΙΣΙΜΑΤΟΣ'!AO50/'2.ΤΙΜΕΣ ΚΛΕΙΣΙΜΑΤΟΣ'!AO49)</f>
        <v>3.8466280827796143E-2</v>
      </c>
      <c r="AP49" s="43">
        <f>LN('2.ΤΙΜΕΣ ΚΛΕΙΣΙΜΑΤΟΣ'!AP50/'2.ΤΙΜΕΣ ΚΛΕΙΣΙΜΑΤΟΣ'!AP49)</f>
        <v>1.154371261958456E-2</v>
      </c>
      <c r="AQ49" s="43">
        <f>LN('2.ΤΙΜΕΣ ΚΛΕΙΣΙΜΑΤΟΣ'!AQ50/'2.ΤΙΜΕΣ ΚΛΕΙΣΙΜΑΤΟΣ'!AQ49)</f>
        <v>1.7348638334612854E-2</v>
      </c>
      <c r="AR49" s="43">
        <f>LN('2.ΤΙΜΕΣ ΚΛΕΙΣΙΜΑΤΟΣ'!AR50/'2.ΤΙΜΕΣ ΚΛΕΙΣΙΜΑΤΟΣ'!AR49)</f>
        <v>8.7011376989629699E-2</v>
      </c>
      <c r="AS49" s="43">
        <f>LN('2.ΤΙΜΕΣ ΚΛΕΙΣΙΜΑΤΟΣ'!AS50/'2.ΤΙΜΕΣ ΚΛΕΙΣΙΜΑΤΟΣ'!AS49)</f>
        <v>1.2578782206859965E-2</v>
      </c>
      <c r="AT49" s="43">
        <f>LN('2.ΤΙΜΕΣ ΚΛΕΙΣΙΜΑΤΟΣ'!AT50/'2.ΤΙΜΕΣ ΚΛΕΙΣΙΜΑΤΟΣ'!AT49)</f>
        <v>8.3449719321806882E-3</v>
      </c>
      <c r="AU49" s="43">
        <f>LN('2.ΤΙΜΕΣ ΚΛΕΙΣΙΜΑΤΟΣ'!AU50/'2.ΤΙΜΕΣ ΚΛΕΙΣΙΜΑΤΟΣ'!AU49)</f>
        <v>3.2304630376543082E-2</v>
      </c>
    </row>
    <row r="50" spans="1:47">
      <c r="A50" s="41">
        <v>43627</v>
      </c>
      <c r="B50" s="43">
        <f>LN('2.ΤΙΜΕΣ ΚΛΕΙΣΙΜΑΤΟΣ'!B51/'2.ΤΙΜΕΣ ΚΛΕΙΣΙΜΑΤΟΣ'!B50)</f>
        <v>6.4014850520406688E-3</v>
      </c>
      <c r="C50" s="43">
        <f>LN('2.ΤΙΜΕΣ ΚΛΕΙΣΙΜΑΤΟΣ'!C51/'2.ΤΙΜΕΣ ΚΛΕΙΣΙΜΑΤΟΣ'!C50)</f>
        <v>3.2102756302481894E-3</v>
      </c>
      <c r="D50" s="43">
        <f>LN('2.ΤΙΜΕΣ ΚΛΕΙΣΙΜΑΤΟΣ'!D51/'2.ΤΙΜΕΣ ΚΛΕΙΣΙΜΑΤΟΣ'!D50)</f>
        <v>6.0538980171823418E-3</v>
      </c>
      <c r="E50" s="43">
        <f>LN('2.ΤΙΜΕΣ ΚΛΕΙΣΙΜΑΤΟΣ'!E51/'2.ΤΙΜΕΣ ΚΛΕΙΣΙΜΑΤΟΣ'!E50)</f>
        <v>-9.7442914746781635E-3</v>
      </c>
      <c r="F50" s="43">
        <f>LN('2.ΤΙΜΕΣ ΚΛΕΙΣΙΜΑΤΟΣ'!F51/'2.ΤΙΜΕΣ ΚΛΕΙΣΙΜΑΤΟΣ'!F50)</f>
        <v>-4.63500250414863E-3</v>
      </c>
      <c r="G50" s="43">
        <f>LN('2.ΤΙΜΕΣ ΚΛΕΙΣΙΜΑΤΟΣ'!G51/'2.ΤΙΜΕΣ ΚΛΕΙΣΙΜΑΤΟΣ'!G50)</f>
        <v>2.3781224049674193E-3</v>
      </c>
      <c r="H50" s="43">
        <f>LN('2.ΤΙΜΕΣ ΚΛΕΙΣΙΜΑΤΟΣ'!H51/'2.ΤΙΜΕΣ ΚΛΕΙΣΙΜΑΤΟΣ'!H50)</f>
        <v>3.5366968783444716E-3</v>
      </c>
      <c r="I50" s="43">
        <f>LN('2.ΤΙΜΕΣ ΚΛΕΙΣΙΜΑΤΟΣ'!I51/'2.ΤΙΜΕΣ ΚΛΕΙΣΙΜΑΤΟΣ'!I50)</f>
        <v>2.9282597790883597E-3</v>
      </c>
      <c r="J50" s="43">
        <f>LN('2.ΤΙΜΕΣ ΚΛΕΙΣΙΜΑΤΟΣ'!J51/'2.ΤΙΜΕΣ ΚΛΕΙΣΙΜΑΤΟΣ'!J50)</f>
        <v>1.0757240679496153E-2</v>
      </c>
      <c r="K50" s="43">
        <f>LN('2.ΤΙΜΕΣ ΚΛΕΙΣΙΜΑΤΟΣ'!K51/'2.ΤΙΜΕΣ ΚΛΕΙΣΙΜΑΤΟΣ'!K50)</f>
        <v>4.8321193814954574E-2</v>
      </c>
      <c r="L50" s="43">
        <f>LN('2.ΤΙΜΕΣ ΚΛΕΙΣΙΜΑΤΟΣ'!L51/'2.ΤΙΜΕΣ ΚΛΕΙΣΙΜΑΤΟΣ'!L50)</f>
        <v>-3.9100734078428897E-3</v>
      </c>
      <c r="M50" s="43">
        <f>LN('2.ΤΙΜΕΣ ΚΛΕΙΣΙΜΑΤΟΣ'!M51/'2.ΤΙΜΕΣ ΚΛΕΙΣΙΜΑΤΟΣ'!M50)</f>
        <v>-6.7039357221903295E-3</v>
      </c>
      <c r="N50" s="43">
        <f>LN('2.ΤΙΜΕΣ ΚΛΕΙΣΙΜΑΤΟΣ'!N51/'2.ΤΙΜΕΣ ΚΛΕΙΣΙΜΑΤΟΣ'!N50)</f>
        <v>8.5662955777190304E-3</v>
      </c>
      <c r="O50" s="43">
        <f>LN('2.ΤΙΜΕΣ ΚΛΕΙΣΙΜΑΤΟΣ'!O51/'2.ΤΙΜΕΣ ΚΛΕΙΣΙΜΑΤΟΣ'!O50)</f>
        <v>0</v>
      </c>
      <c r="P50" s="43">
        <f>LN('2.ΤΙΜΕΣ ΚΛΕΙΣΙΜΑΤΟΣ'!P51/'2.ΤΙΜΕΣ ΚΛΕΙΣΙΜΑΤΟΣ'!P50)</f>
        <v>-1.162803799511921E-2</v>
      </c>
      <c r="Q50" s="43">
        <f>LN('2.ΤΙΜΕΣ ΚΛΕΙΣΙΜΑΤΟΣ'!Q51/'2.ΤΙΜΕΣ ΚΛΕΙΣΙΜΑΤΟΣ'!Q50)</f>
        <v>2.2503506723312118E-2</v>
      </c>
      <c r="R50" s="43">
        <f>LN('2.ΤΙΜΕΣ ΚΛΕΙΣΙΜΑΤΟΣ'!R51/'2.ΤΙΜΕΣ ΚΛΕΙΣΙΜΑΤΟΣ'!R50)</f>
        <v>-2.0599979387896997E-2</v>
      </c>
      <c r="S50" s="43">
        <f>LN('2.ΤΙΜΕΣ ΚΛΕΙΣΙΜΑΤΟΣ'!S51/'2.ΤΙΜΕΣ ΚΛΕΙΣΙΜΑΤΟΣ'!S50)</f>
        <v>-2.4984863083594853E-2</v>
      </c>
      <c r="T50" s="43">
        <f>LN('2.ΤΙΜΕΣ ΚΛΕΙΣΙΜΑΤΟΣ'!T51/'2.ΤΙΜΕΣ ΚΛΕΙΣΙΜΑΤΟΣ'!T50)</f>
        <v>1.8246120227804766E-2</v>
      </c>
      <c r="U50" s="43">
        <f>LN('2.ΤΙΜΕΣ ΚΛΕΙΣΙΜΑΤΟΣ'!U51/'2.ΤΙΜΕΣ ΚΛΕΙΣΙΜΑΤΟΣ'!U50)</f>
        <v>1.9901154317294806E-2</v>
      </c>
      <c r="V50" s="43">
        <f>LN('2.ΤΙΜΕΣ ΚΛΕΙΣΙΜΑΤΟΣ'!V51/'2.ΤΙΜΕΣ ΚΛΕΙΣΙΜΑΤΟΣ'!V50)</f>
        <v>0</v>
      </c>
      <c r="W50" s="43">
        <f>LN('2.ΤΙΜΕΣ ΚΛΕΙΣΙΜΑΤΟΣ'!W51/'2.ΤΙΜΕΣ ΚΛΕΙΣΙΜΑΤΟΣ'!W50)</f>
        <v>-7.2993024816116079E-3</v>
      </c>
      <c r="X50" s="43">
        <f>LN('2.ΤΙΜΕΣ ΚΛΕΙΣΙΜΑΤΟΣ'!X51/'2.ΤΙΜΕΣ ΚΛΕΙΣΙΜΑΤΟΣ'!X50)</f>
        <v>5.1830371941960079E-3</v>
      </c>
      <c r="Y50" s="43">
        <f>LN('2.ΤΙΜΕΣ ΚΛΕΙΣΙΜΑΤΟΣ'!Y51/'2.ΤΙΜΕΣ ΚΛΕΙΣΙΜΑΤΟΣ'!Y50)</f>
        <v>-2.0639842208514825E-3</v>
      </c>
      <c r="Z50" s="43">
        <f>LN('2.ΤΙΜΕΣ ΚΛΕΙΣΙΜΑΤΟΣ'!Z51/'2.ΤΙΜΕΣ ΚΛΕΙΣΙΜΑΤΟΣ'!Z50)</f>
        <v>0</v>
      </c>
      <c r="AA50" s="43">
        <f>LN('2.ΤΙΜΕΣ ΚΛΕΙΣΙΜΑΤΟΣ'!AA51/'2.ΤΙΜΕΣ ΚΛΕΙΣΙΜΑΤΟΣ'!AA50)</f>
        <v>4.1928782600359578E-3</v>
      </c>
      <c r="AB50" s="43">
        <f>LN('2.ΤΙΜΕΣ ΚΛΕΙΣΙΜΑΤΟΣ'!AB51/'2.ΤΙΜΕΣ ΚΛΕΙΣΙΜΑΤΟΣ'!AB50)</f>
        <v>1.6838564362829524E-2</v>
      </c>
      <c r="AC50" s="43">
        <f>LN('2.ΤΙΜΕΣ ΚΛΕΙΣΙΜΑΤΟΣ'!AC51/'2.ΤΙΜΕΣ ΚΛΕΙΣΙΜΑΤΟΣ'!AC50)</f>
        <v>0</v>
      </c>
      <c r="AD50" s="43">
        <f>LN('2.ΤΙΜΕΣ ΚΛΕΙΣΙΜΑΤΟΣ'!AD51/'2.ΤΙΜΕΣ ΚΛΕΙΣΙΜΑΤΟΣ'!AD50)</f>
        <v>-1.3689256073417322E-3</v>
      </c>
      <c r="AE50" s="43">
        <f>LN('2.ΤΙΜΕΣ ΚΛΕΙΣΙΜΑΤΟΣ'!AE51/'2.ΤΙΜΕΣ ΚΛΕΙΣΙΜΑΤΟΣ'!AE50)</f>
        <v>-1.4652276786870375E-2</v>
      </c>
      <c r="AF50" s="43">
        <f>LN('2.ΤΙΜΕΣ ΚΛΕΙΣΙΜΑΤΟΣ'!AF51/'2.ΤΙΜΕΣ ΚΛΕΙΣΙΜΑΤΟΣ'!AF50)</f>
        <v>3.1614856381702798E-2</v>
      </c>
      <c r="AG50" s="43">
        <f>LN('2.ΤΙΜΕΣ ΚΛΕΙΣΙΜΑΤΟΣ'!AG51/'2.ΤΙΜΕΣ ΚΛΕΙΣΙΜΑΤΟΣ'!AG50)</f>
        <v>2.1309786586751027E-2</v>
      </c>
      <c r="AH50" s="43">
        <f>LN('2.ΤΙΜΕΣ ΚΛΕΙΣΙΜΑΤΟΣ'!AH51/'2.ΤΙΜΕΣ ΚΛΕΙΣΙΜΑΤΟΣ'!AH50)</f>
        <v>0</v>
      </c>
      <c r="AI50" s="43">
        <f>LN('2.ΤΙΜΕΣ ΚΛΕΙΣΙΜΑΤΟΣ'!AI51/'2.ΤΙΜΕΣ ΚΛΕΙΣΙΜΑΤΟΣ'!AI50)</f>
        <v>8.0321716972642527E-3</v>
      </c>
      <c r="AJ50" s="43">
        <f>LN('2.ΤΙΜΕΣ ΚΛΕΙΣΙΜΑΤΟΣ'!AJ51/'2.ΤΙΜΕΣ ΚΛΕΙΣΙΜΑΤΟΣ'!AJ50)</f>
        <v>1.3986241974740091E-2</v>
      </c>
      <c r="AK50" s="43">
        <f>LN('2.ΤΙΜΕΣ ΚΛΕΙΣΙΜΑΤΟΣ'!AK51/'2.ΤΙΜΕΣ ΚΛΕΙΣΙΜΑΤΟΣ'!AK50)</f>
        <v>-2.309571479464928E-2</v>
      </c>
      <c r="AL50" s="43">
        <f>LN('2.ΤΙΜΕΣ ΚΛΕΙΣΙΜΑΤΟΣ'!AL51/'2.ΤΙΜΕΣ ΚΛΕΙΣΙΜΑΤΟΣ'!AL50)</f>
        <v>1.9418085857101516E-2</v>
      </c>
      <c r="AM50" s="43">
        <f>LN('2.ΤΙΜΕΣ ΚΛΕΙΣΙΜΑΤΟΣ'!AM51/'2.ΤΙΜΕΣ ΚΛΕΙΣΙΜΑΤΟΣ'!AM50)</f>
        <v>4.7506027585977988E-3</v>
      </c>
      <c r="AN50" s="43">
        <f>LN('2.ΤΙΜΕΣ ΚΛΕΙΣΙΜΑΤΟΣ'!AN51/'2.ΤΙΜΕΣ ΚΛΕΙΣΙΜΑΤΟΣ'!AN50)</f>
        <v>-5.9761734542254169E-2</v>
      </c>
      <c r="AO50" s="43">
        <f>LN('2.ΤΙΜΕΣ ΚΛΕΙΣΙΜΑΤΟΣ'!AO51/'2.ΤΙΜΕΣ ΚΛΕΙΣΙΜΑΤΟΣ'!AO50)</f>
        <v>1.8692133012152546E-2</v>
      </c>
      <c r="AP50" s="43">
        <f>LN('2.ΤΙΜΕΣ ΚΛΕΙΣΙΜΑΤΟΣ'!AP51/'2.ΤΙΜΕΣ ΚΛΕΙΣΙΜΑΤΟΣ'!AP50)</f>
        <v>5.8685614436587864E-3</v>
      </c>
      <c r="AQ50" s="43">
        <f>LN('2.ΤΙΜΕΣ ΚΛΕΙΣΙΜΑΤΟΣ'!AQ51/'2.ΤΙΜΕΣ ΚΛΕΙΣΙΜΑΤΟΣ'!AQ50)</f>
        <v>5.4972023245013088E-2</v>
      </c>
      <c r="AR50" s="43">
        <f>LN('2.ΤΙΜΕΣ ΚΛΕΙΣΙΜΑΤΟΣ'!AR51/'2.ΤΙΜΕΣ ΚΛΕΙΣΙΜΑΤΟΣ'!AR50)</f>
        <v>0.23013658680518054</v>
      </c>
      <c r="AS50" s="43">
        <f>LN('2.ΤΙΜΕΣ ΚΛΕΙΣΙΜΑΤΟΣ'!AS51/'2.ΤΙΜΕΣ ΚΛΕΙΣΙΜΑΤΟΣ'!AS50)</f>
        <v>2.8749413285986007E-2</v>
      </c>
      <c r="AT50" s="43">
        <f>LN('2.ΤΙΜΕΣ ΚΛΕΙΣΙΜΑΤΟΣ'!AT51/'2.ΤΙΜΕΣ ΚΛΕΙΣΙΜΑΤΟΣ'!AT50)</f>
        <v>1.3755375068485419E-2</v>
      </c>
      <c r="AU50" s="43">
        <f>LN('2.ΤΙΜΕΣ ΚΛΕΙΣΙΜΑΤΟΣ'!AU51/'2.ΤΙΜΕΣ ΚΛΕΙΣΙΜΑΤΟΣ'!AU50)</f>
        <v>3.7780362458758963E-3</v>
      </c>
    </row>
    <row r="51" spans="1:47">
      <c r="A51" s="41">
        <v>43628</v>
      </c>
      <c r="B51" s="43">
        <f>LN('2.ΤΙΜΕΣ ΚΛΕΙΣΙΜΑΤΟΣ'!B52/'2.ΤΙΜΕΣ ΚΛΕΙΣΙΜΑΤΟΣ'!B51)</f>
        <v>5.7567194277686915E-3</v>
      </c>
      <c r="C51" s="43">
        <f>LN('2.ΤΙΜΕΣ ΚΛΕΙΣΙΜΑΤΟΣ'!C52/'2.ΤΙΜΕΣ ΚΛΕΙΣΙΜΑΤΟΣ'!C51)</f>
        <v>-9.6619109117369716E-3</v>
      </c>
      <c r="D51" s="43">
        <f>LN('2.ΤΙΜΕΣ ΚΛΕΙΣΙΜΑΤΟΣ'!D52/'2.ΤΙΜΕΣ ΚΛΕΙΣΙΜΑΤΟΣ'!D51)</f>
        <v>-1.5101893460037928E-2</v>
      </c>
      <c r="E51" s="43">
        <f>LN('2.ΤΙΜΕΣ ΚΛΕΙΣΙΜΑΤΟΣ'!E52/'2.ΤΙΜΕΣ ΚΛΕΙΣΙΜΑΤΟΣ'!E51)</f>
        <v>-1.6661909682435534E-2</v>
      </c>
      <c r="F51" s="43">
        <f>LN('2.ΤΙΜΕΣ ΚΛΕΙΣΙΜΑΤΟΣ'!F52/'2.ΤΙΜΕΣ ΚΛΕΙΣΙΜΑΤΟΣ'!F51)</f>
        <v>0</v>
      </c>
      <c r="G51" s="43">
        <f>LN('2.ΤΙΜΕΣ ΚΛΕΙΣΙΜΑΤΟΣ'!G52/'2.ΤΙΜΕΣ ΚΛΕΙΣΙΜΑΤΟΣ'!G51)</f>
        <v>1.9988907741928602E-2</v>
      </c>
      <c r="H51" s="43">
        <f>LN('2.ΤΙΜΕΣ ΚΛΕΙΣΙΜΑΤΟΣ'!H52/'2.ΤΙΜΕΣ ΚΛΕΙΣΙΜΑΤΟΣ'!H51)</f>
        <v>-1.6911840540776893E-2</v>
      </c>
      <c r="I51" s="43">
        <f>LN('2.ΤΙΜΕΣ ΚΛΕΙΣΙΜΑΤΟΣ'!I52/'2.ΤΙΜΕΣ ΚΛΕΙΣΙΜΑΤΟΣ'!I51)</f>
        <v>-1.4727806710243398E-2</v>
      </c>
      <c r="J51" s="43">
        <f>LN('2.ΤΙΜΕΣ ΚΛΕΙΣΙΜΑΤΟΣ'!J52/'2.ΤΙΜΕΣ ΚΛΕΙΣΙΜΑΤΟΣ'!J51)</f>
        <v>-4.1237171838621519E-3</v>
      </c>
      <c r="K51" s="43">
        <f>LN('2.ΤΙΜΕΣ ΚΛΕΙΣΙΜΑΤΟΣ'!K52/'2.ΤΙΜΕΣ ΚΛΕΙΣΙΜΑΤΟΣ'!K51)</f>
        <v>-7.4270898436153412E-3</v>
      </c>
      <c r="L51" s="43">
        <f>LN('2.ΤΙΜΕΣ ΚΛΕΙΣΙΜΑΤΟΣ'!L52/'2.ΤΙΜΕΣ ΚΛΕΙΣΙΜΑΤΟΣ'!L51)</f>
        <v>-1.083220832936054E-2</v>
      </c>
      <c r="M51" s="43">
        <f>LN('2.ΤΙΜΕΣ ΚΛΕΙΣΙΜΑΤΟΣ'!M52/'2.ΤΙΜΕΣ ΚΛΕΙΣΙΜΑΤΟΣ'!M51)</f>
        <v>-1.3544225107757149E-2</v>
      </c>
      <c r="N51" s="43">
        <f>LN('2.ΤΙΜΕΣ ΚΛΕΙΣΙΜΑΤΟΣ'!N52/'2.ΤΙΜΕΣ ΚΛΕΙΣΙΜΑΤΟΣ'!N51)</f>
        <v>-1.4467595116118268E-3</v>
      </c>
      <c r="O51" s="43">
        <f>LN('2.ΤΙΜΕΣ ΚΛΕΙΣΙΜΑΤΟΣ'!O52/'2.ΤΙΜΕΣ ΚΛΕΙΣΙΜΑΤΟΣ'!O51)</f>
        <v>5.899722127188322E-3</v>
      </c>
      <c r="P51" s="43">
        <f>LN('2.ΤΙΜΕΣ ΚΛΕΙΣΙΜΑΤΟΣ'!P52/'2.ΤΙΜΕΣ ΚΛΕΙΣΙΜΑΤΟΣ'!P51)</f>
        <v>1.9474202843956288E-3</v>
      </c>
      <c r="Q51" s="43">
        <f>LN('2.ΤΙΜΕΣ ΚΛΕΙΣΙΜΑΤΟΣ'!Q52/'2.ΤΙΜΕΣ ΚΛΕΙΣΙΜΑΤΟΣ'!Q51)</f>
        <v>-2.0249753797713902E-3</v>
      </c>
      <c r="R51" s="43">
        <f>LN('2.ΤΙΜΕΣ ΚΛΕΙΣΙΜΑΤΟΣ'!R52/'2.ΤΙΜΕΣ ΚΛΕΙΣΙΜΑΤΟΣ'!R51)</f>
        <v>-6.6445427186685013E-3</v>
      </c>
      <c r="S51" s="43">
        <f>LN('2.ΤΙΜΕΣ ΚΛΕΙΣΙΜΑΤΟΣ'!S52/'2.ΤΙΜΕΣ ΚΛΕΙΣΙΜΑΤΟΣ'!S51)</f>
        <v>-2.6666682469152284E-3</v>
      </c>
      <c r="T51" s="43">
        <f>LN('2.ΤΙΜΕΣ ΚΛΕΙΣΙΜΑΤΟΣ'!T52/'2.ΤΙΜΕΣ ΚΛΕΙΣΙΜΑΤΟΣ'!T51)</f>
        <v>4.75310102869093E-2</v>
      </c>
      <c r="U51" s="43">
        <f>LN('2.ΤΙΜΕΣ ΚΛΕΙΣΙΜΑΤΟΣ'!U52/'2.ΤΙΜΕΣ ΚΛΕΙΣΙΜΑΤΟΣ'!U51)</f>
        <v>-1.4888612493750524E-2</v>
      </c>
      <c r="V51" s="43">
        <f>LN('2.ΤΙΜΕΣ ΚΛΕΙΣΙΜΑΤΟΣ'!V52/'2.ΤΙΜΕΣ ΚΛΕΙΣΙΜΑΤΟΣ'!V51)</f>
        <v>-8.9686699827603751E-3</v>
      </c>
      <c r="W51" s="43">
        <f>LN('2.ΤΙΜΕΣ ΚΛΕΙΣΙΜΑΤΟΣ'!W52/'2.ΤΙΜΕΣ ΚΛΕΙΣΙΜΑΤΟΣ'!W51)</f>
        <v>-8.5837436913915547E-3</v>
      </c>
      <c r="X51" s="43">
        <f>LN('2.ΤΙΜΕΣ ΚΛΕΙΣΙΜΑΤΟΣ'!X52/'2.ΤΙΜΕΣ ΚΛΕΙΣΙΜΑΤΟΣ'!X51)</f>
        <v>0</v>
      </c>
      <c r="Y51" s="43">
        <f>LN('2.ΤΙΜΕΣ ΚΛΕΙΣΙΜΑΤΟΣ'!Y52/'2.ΤΙΜΕΣ ΚΛΕΙΣΙΜΑΤΟΣ'!Y51)</f>
        <v>-1.6667052485211761E-2</v>
      </c>
      <c r="Z51" s="43">
        <f>LN('2.ΤΙΜΕΣ ΚΛΕΙΣΙΜΑΤΟΣ'!Z52/'2.ΤΙΜΕΣ ΚΛΕΙΣΙΜΑΤΟΣ'!Z51)</f>
        <v>-6.8027473227525231E-3</v>
      </c>
      <c r="AA51" s="43">
        <f>LN('2.ΤΙΜΕΣ ΚΛΕΙΣΙΜΑΤΟΣ'!AA52/'2.ΤΙΜΕΣ ΚΛΕΙΣΙΜΑΤΟΣ'!AA51)</f>
        <v>4.175371410480592E-3</v>
      </c>
      <c r="AB51" s="43">
        <f>LN('2.ΤΙΜΕΣ ΚΛΕΙΣΙΜΑΤΟΣ'!AB52/'2.ΤΙΜΕΣ ΚΛΕΙΣΙΜΑΤΟΣ'!AB51)</f>
        <v>0</v>
      </c>
      <c r="AC51" s="43">
        <f>LN('2.ΤΙΜΕΣ ΚΛΕΙΣΙΜΑΤΟΣ'!AC52/'2.ΤΙΜΕΣ ΚΛΕΙΣΙΜΑΤΟΣ'!AC51)</f>
        <v>0</v>
      </c>
      <c r="AD51" s="43">
        <f>LN('2.ΤΙΜΕΣ ΚΛΕΙΣΙΜΑΤΟΣ'!AD52/'2.ΤΙΜΕΣ ΚΛΕΙΣΙΜΑΤΟΣ'!AD51)</f>
        <v>6.8259650703998906E-3</v>
      </c>
      <c r="AE51" s="43">
        <f>LN('2.ΤΙΜΕΣ ΚΛΕΙΣΙΜΑΤΟΣ'!AE52/'2.ΤΙΜΕΣ ΚΛΕΙΣΙΜΑΤΟΣ'!AE51)</f>
        <v>1.1009285508369396E-2</v>
      </c>
      <c r="AF51" s="43">
        <f>LN('2.ΤΙΜΕΣ ΚΛΕΙΣΙΜΑΤΟΣ'!AF52/'2.ΤΙΜΕΣ ΚΛΕΙΣΙΜΑΤΟΣ'!AF51)</f>
        <v>-6.2435166396850473E-3</v>
      </c>
      <c r="AG51" s="43">
        <f>LN('2.ΤΙΜΕΣ ΚΛΕΙΣΙΜΑΤΟΣ'!AG52/'2.ΤΙΜΕΣ ΚΛΕΙΣΙΜΑΤΟΣ'!AG51)</f>
        <v>3.0075210639553224E-3</v>
      </c>
      <c r="AH51" s="43">
        <f>LN('2.ΤΙΜΕΣ ΚΛΕΙΣΙΜΑΤΟΣ'!AH52/'2.ΤΙΜΕΣ ΚΛΕΙΣΙΜΑΤΟΣ'!AH51)</f>
        <v>-1.3214339196157939E-2</v>
      </c>
      <c r="AI51" s="43">
        <f>LN('2.ΤΙΜΕΣ ΚΛΕΙΣΙΜΑΤΟΣ'!AI52/'2.ΤΙΜΕΣ ΚΛΕΙΣΙΜΑΤΟΣ'!AI51)</f>
        <v>0</v>
      </c>
      <c r="AJ51" s="43">
        <f>LN('2.ΤΙΜΕΣ ΚΛΕΙΣΙΜΑΤΟΣ'!AJ52/'2.ΤΙΜΕΣ ΚΛΕΙΣΙΜΑΤΟΣ'!AJ51)</f>
        <v>6.713930283762852E-2</v>
      </c>
      <c r="AK51" s="43">
        <f>LN('2.ΤΙΜΕΣ ΚΛΕΙΣΙΜΑΤΟΣ'!AK52/'2.ΤΙΜΕΣ ΚΛΕΙΣΙΜΑΤΟΣ'!AK51)</f>
        <v>9.3023926623136306E-3</v>
      </c>
      <c r="AL51" s="43">
        <f>LN('2.ΤΙΜΕΣ ΚΛΕΙΣΙΜΑΤΟΣ'!AL52/'2.ΤΙΜΕΣ ΚΛΕΙΣΙΜΑΤΟΣ'!AL51)</f>
        <v>-9.6619109117368589E-3</v>
      </c>
      <c r="AM51" s="43">
        <f>LN('2.ΤΙΜΕΣ ΚΛΕΙΣΙΜΑΤΟΣ'!AM52/'2.ΤΙΜΕΣ ΚΛΕΙΣΙΜΑΤΟΣ'!AM51)</f>
        <v>7.0838548884050419E-3</v>
      </c>
      <c r="AN51" s="43">
        <f>LN('2.ΤΙΜΕΣ ΚΛΕΙΣΙΜΑΤΟΣ'!AN52/'2.ΤΙΜΕΣ ΚΛΕΙΣΙΜΑΤΟΣ'!AN51)</f>
        <v>7.3479370771053418E-2</v>
      </c>
      <c r="AO51" s="43">
        <f>LN('2.ΤΙΜΕΣ ΚΛΕΙΣΙΜΑΤΟΣ'!AO52/'2.ΤΙΜΕΣ ΚΛΕΙΣΙΜΑΤΟΣ'!AO51)</f>
        <v>6.1538655743780656E-3</v>
      </c>
      <c r="AP51" s="43">
        <f>LN('2.ΤΙΜΕΣ ΚΛΕΙΣΙΜΑΤΟΣ'!AP52/'2.ΤΙΜΕΣ ΚΛΕΙΣΙΜΑΤΟΣ'!AP51)</f>
        <v>-3.2107395304427591E-2</v>
      </c>
      <c r="AQ51" s="43">
        <f>LN('2.ΤΙΜΕΣ ΚΛΕΙΣΙΜΑΤΟΣ'!AQ52/'2.ΤΙΜΕΣ ΚΛΕΙΣΙΜΑΤΟΣ'!AQ51)</f>
        <v>-1.0520260674179278E-2</v>
      </c>
      <c r="AR51" s="43">
        <f>LN('2.ΤΙΜΕΣ ΚΛΕΙΣΙΜΑΤΟΣ'!AR52/'2.ΤΙΜΕΣ ΚΛΕΙΣΙΜΑΤΟΣ'!AR51)</f>
        <v>-4.4530954810035758E-2</v>
      </c>
      <c r="AS51" s="43">
        <f>LN('2.ΤΙΜΕΣ ΚΛΕΙΣΙΜΑΤΟΣ'!AS52/'2.ΤΙΜΕΣ ΚΛΕΙΣΙΜΑΤΟΣ'!AS51)</f>
        <v>1.207258123426924E-2</v>
      </c>
      <c r="AT51" s="43">
        <f>LN('2.ΤΙΜΕΣ ΚΛΕΙΣΙΜΑΤΟΣ'!AT52/'2.ΤΙΜΕΣ ΚΛΕΙΣΙΜΑΤΟΣ'!AT51)</f>
        <v>1.0869672236903891E-2</v>
      </c>
      <c r="AU51" s="43">
        <f>LN('2.ΤΙΜΕΣ ΚΛΕΙΣΙΜΑΤΟΣ'!AU52/'2.ΤΙΜΕΣ ΚΛΕΙΣΙΜΑΤΟΣ'!AU51)</f>
        <v>-2.6277180027067266E-3</v>
      </c>
    </row>
    <row r="52" spans="1:47">
      <c r="A52" s="41">
        <v>43629</v>
      </c>
      <c r="B52" s="43">
        <f>LN('2.ΤΙΜΕΣ ΚΛΕΙΣΙΜΑΤΟΣ'!B53/'2.ΤΙΜΕΣ ΚΛΕΙΣΙΜΑΤΟΣ'!B52)</f>
        <v>-6.6687121950380615E-3</v>
      </c>
      <c r="C52" s="43">
        <f>LN('2.ΤΙΜΕΣ ΚΛΕΙΣΙΜΑΤΟΣ'!C53/'2.ΤΙΜΕΣ ΚΛΕΙΣΙΜΑΤΟΣ'!C52)</f>
        <v>2.0024697947283433E-2</v>
      </c>
      <c r="D52" s="43">
        <f>LN('2.ΤΙΜΕΣ ΚΛΕΙΣΙΜΑΤΟΣ'!D53/'2.ΤΙΜΕΣ ΚΛΕΙΣΙΜΑΤΟΣ'!D52)</f>
        <v>1.5604734522576588E-2</v>
      </c>
      <c r="E52" s="43">
        <f>LN('2.ΤΙΜΕΣ ΚΛΕΙΣΙΜΑΤΟΣ'!E53/'2.ΤΙΜΕΣ ΚΛΕΙΣΙΜΑΤΟΣ'!E52)</f>
        <v>-2.2656727481891417E-2</v>
      </c>
      <c r="F52" s="43">
        <f>LN('2.ΤΙΜΕΣ ΚΛΕΙΣΙΜΑΤΟΣ'!F53/'2.ΤΙΜΕΣ ΚΛΕΙΣΙΜΑΤΟΣ'!F52)</f>
        <v>1.1607662359622872E-3</v>
      </c>
      <c r="G52" s="43">
        <f>LN('2.ΤΙΜΕΣ ΚΛΕΙΣΙΜΑΤΟΣ'!G53/'2.ΤΙΜΕΣ ΚΛΕΙΣΙΜΑΤΟΣ'!G52)</f>
        <v>1.1634672632980494E-3</v>
      </c>
      <c r="H52" s="43">
        <f>LN('2.ΤΙΜΕΣ ΚΛΕΙΣΙΜΑΤΟΣ'!H53/'2.ΤΙΜΕΣ ΚΛΕΙΣΙΜΑΤΟΣ'!H52)</f>
        <v>2.2193542959952729E-2</v>
      </c>
      <c r="I52" s="43">
        <f>LN('2.ΤΙΜΕΣ ΚΛΕΙΣΙΜΑΤΟΣ'!I53/'2.ΤΙΜΕΣ ΚΛΕΙΣΙΜΑΤΟΣ'!I52)</f>
        <v>0</v>
      </c>
      <c r="J52" s="43">
        <f>LN('2.ΤΙΜΕΣ ΚΛΕΙΣΙΜΑΤΟΣ'!J53/'2.ΤΙΜΕΣ ΚΛΕΙΣΙΜΑΤΟΣ'!J52)</f>
        <v>1.191223780143552E-2</v>
      </c>
      <c r="K52" s="43">
        <f>LN('2.ΤΙΜΕΣ ΚΛΕΙΣΙΜΑΤΟΣ'!K53/'2.ΤΙΜΕΣ ΚΛΕΙΣΙΜΑΤΟΣ'!K52)</f>
        <v>9.9345144499760618E-3</v>
      </c>
      <c r="L52" s="43">
        <f>LN('2.ΤΙΜΕΣ ΚΛΕΙΣΙΜΑΤΟΣ'!L53/'2.ΤΙΜΕΣ ΚΛΕΙΣΙΜΑΤΟΣ'!L52)</f>
        <v>-2.9747171167427322E-3</v>
      </c>
      <c r="M52" s="43">
        <f>LN('2.ΤΙΜΕΣ ΚΛΕΙΣΙΜΑΤΟΣ'!M53/'2.ΤΙΜΕΣ ΚΛΕΙΣΙΜΑΤΟΣ'!M52)</f>
        <v>-2.2989518224698833E-2</v>
      </c>
      <c r="N52" s="43">
        <f>LN('2.ΤΙΜΕΣ ΚΛΕΙΣΙΜΑΤΟΣ'!N53/'2.ΤΙΜΕΣ ΚΛΕΙΣΙΜΑΤΟΣ'!N52)</f>
        <v>-1.1357140127883721E-2</v>
      </c>
      <c r="O52" s="43">
        <f>LN('2.ΤΙΜΕΣ ΚΛΕΙΣΙΜΑΤΟΣ'!O53/'2.ΤΙΜΕΣ ΚΛΕΙΣΙΜΑΤΟΣ'!O52)</f>
        <v>1.8937201019750782E-2</v>
      </c>
      <c r="P52" s="43">
        <f>LN('2.ΤΙΜΕΣ ΚΛΕΙΣΙΜΑΤΟΣ'!P53/'2.ΤΙΜΕΣ ΚΛΕΙΣΙΜΑΤΟΣ'!P52)</f>
        <v>7.7519768043179237E-3</v>
      </c>
      <c r="Q52" s="43">
        <f>LN('2.ΤΙΜΕΣ ΚΛΕΙΣΙΜΑΤΟΣ'!Q53/'2.ΤΙΜΕΣ ΚΛΕΙΣΙΜΑΤΟΣ'!Q52)</f>
        <v>7.169192845611648E-2</v>
      </c>
      <c r="R52" s="43">
        <f>LN('2.ΤΙΜΕΣ ΚΛΕΙΣΙΜΑΤΟΣ'!R53/'2.ΤΙΜΕΣ ΚΛΕΙΣΙΜΑΤΟΣ'!R52)</f>
        <v>1.6997576368571077E-2</v>
      </c>
      <c r="S52" s="43">
        <f>LN('2.ΤΙΜΕΣ ΚΛΕΙΣΙΜΑΤΟΣ'!S53/'2.ΤΙΜΕΣ ΚΛΕΙΣΙΜΑΤΟΣ'!S52)</f>
        <v>-5.3547651376599156E-3</v>
      </c>
      <c r="T52" s="43">
        <f>LN('2.ΤΙΜΕΣ ΚΛΕΙΣΙΜΑΤΟΣ'!T53/'2.ΤΙΜΕΣ ΚΛΕΙΣΙΜΑΤΟΣ'!T52)</f>
        <v>2.3592182016819979E-2</v>
      </c>
      <c r="U52" s="43">
        <f>LN('2.ΤΙΜΕΣ ΚΛΕΙΣΙΜΑΤΟΣ'!U53/'2.ΤΙΜΕΣ ΚΛΕΙΣΙΜΑΤΟΣ'!U52)</f>
        <v>1.980262729617973E-2</v>
      </c>
      <c r="V52" s="43">
        <f>LN('2.ΤΙΜΕΣ ΚΛΕΙΣΙΜΑΤΟΣ'!V53/'2.ΤΙΜΕΣ ΚΛΕΙΣΙΜΑΤΟΣ'!V52)</f>
        <v>2.0067563050809173E-2</v>
      </c>
      <c r="W52" s="43">
        <f>LN('2.ΤΙΜΕΣ ΚΛΕΙΣΙΜΑΤΟΣ'!W53/'2.ΤΙΜΕΣ ΚΛΕΙΣΙΜΑΤΟΣ'!W52)</f>
        <v>4.9140148024291626E-3</v>
      </c>
      <c r="X52" s="43">
        <f>LN('2.ΤΙΜΕΣ ΚΛΕΙΣΙΜΑΤΟΣ'!X53/'2.ΤΙΜΕΣ ΚΛΕΙΣΙΜΑΤΟΣ'!X52)</f>
        <v>2.7426007350107784E-3</v>
      </c>
      <c r="Y52" s="43">
        <f>LN('2.ΤΙΜΕΣ ΚΛΕΙΣΙΜΑΤΟΣ'!Y53/'2.ΤΙΜΕΣ ΚΛΕΙΣΙΜΑΤΟΣ'!Y52)</f>
        <v>1.1488377006760421E-2</v>
      </c>
      <c r="Z52" s="43">
        <f>LN('2.ΤΙΜΕΣ ΚΛΕΙΣΙΜΑΤΟΣ'!Z53/'2.ΤΙΜΕΣ ΚΛΕΙΣΙΜΑΤΟΣ'!Z52)</f>
        <v>6.8027473227523999E-3</v>
      </c>
      <c r="AA52" s="43">
        <f>LN('2.ΤΙΜΕΣ ΚΛΕΙΣΙΜΑΤΟΣ'!AA53/'2.ΤΙΜΕΣ ΚΛΕΙΣΙΜΑΤΟΣ'!AA52)</f>
        <v>-1.2578782206860185E-2</v>
      </c>
      <c r="AB52" s="43">
        <f>LN('2.ΤΙΜΕΣ ΚΛΕΙΣΙΜΑΤΟΣ'!AB53/'2.ΤΙΜΕΣ ΚΛΕΙΣΙΜΑΤΟΣ'!AB52)</f>
        <v>-3.7174764001324202E-3</v>
      </c>
      <c r="AC52" s="43">
        <f>LN('2.ΤΙΜΕΣ ΚΛΕΙΣΙΜΑΤΟΣ'!AC53/'2.ΤΙΜΕΣ ΚΛΕΙΣΙΜΑΤΟΣ'!AC52)</f>
        <v>0</v>
      </c>
      <c r="AD52" s="43">
        <f>LN('2.ΤΙΜΕΣ ΚΛΕΙΣΙΜΑΤΟΣ'!AD53/'2.ΤΙΜΕΣ ΚΛΕΙΣΙΜΑΤΟΣ'!AD52)</f>
        <v>1.4855100990924278E-2</v>
      </c>
      <c r="AE52" s="43">
        <f>LN('2.ΤΙΜΕΣ ΚΛΕΙΣΙΜΑΤΟΣ'!AE53/'2.ΤΙΜΕΣ ΚΛΕΙΣΙΜΑΤΟΣ'!AE52)</f>
        <v>-1.4706147389695449E-2</v>
      </c>
      <c r="AF52" s="43">
        <f>LN('2.ΤΙΜΕΣ ΚΛΕΙΣΙΜΑΤΟΣ'!AF53/'2.ΤΙΜΕΣ ΚΛΕΙΣΙΜΑΤΟΣ'!AF52)</f>
        <v>-1.3662850477117794E-2</v>
      </c>
      <c r="AG52" s="43">
        <f>LN('2.ΤΙΜΕΣ ΚΛΕΙΣΙΜΑΤΟΣ'!AG53/'2.ΤΙΜΕΣ ΚΛΕΙΣΙΜΑΤΟΣ'!AG52)</f>
        <v>0.13465688514625701</v>
      </c>
      <c r="AH52" s="43">
        <f>LN('2.ΤΙΜΕΣ ΚΛΕΙΣΙΜΑΤΟΣ'!AH53/'2.ΤΙΜΕΣ ΚΛΕΙΣΙΜΑΤΟΣ'!AH52)</f>
        <v>-6.2794554848431359E-3</v>
      </c>
      <c r="AI52" s="43">
        <f>LN('2.ΤΙΜΕΣ ΚΛΕΙΣΙΜΑΤΟΣ'!AI53/'2.ΤΙΜΕΣ ΚΛΕΙΣΙΜΑΤΟΣ'!AI52)</f>
        <v>0</v>
      </c>
      <c r="AJ52" s="43">
        <f>LN('2.ΤΙΜΕΣ ΚΛΕΙΣΙΜΑΤΟΣ'!AJ53/'2.ΤΙΜΕΣ ΚΛΕΙΣΙΜΑΤΟΣ'!AJ52)</f>
        <v>-8.695706967553932E-3</v>
      </c>
      <c r="AK52" s="43">
        <f>LN('2.ΤΙΜΕΣ ΚΛΕΙΣΙΜΑΤΟΣ'!AK53/'2.ΤΙΜΕΣ ΚΛΕΙΣΙΜΑΤΟΣ'!AK52)</f>
        <v>9.2166551049240476E-3</v>
      </c>
      <c r="AL52" s="43">
        <f>LN('2.ΤΙΜΕΣ ΚΛΕΙΣΙΜΑΤΟΣ'!AL53/'2.ΤΙΜΕΣ ΚΛΕΙΣΙΜΑΤΟΣ'!AL52)</f>
        <v>4.7402238894583899E-2</v>
      </c>
      <c r="AM52" s="43">
        <f>LN('2.ΤΙΜΕΣ ΚΛΕΙΣΙΜΑΤΟΣ'!AM53/'2.ΤΙΜΕΣ ΚΛΕΙΣΙΜΑΤΟΣ'!AM52)</f>
        <v>-1.1834457647002796E-2</v>
      </c>
      <c r="AN52" s="43">
        <f>LN('2.ΤΙΜΕΣ ΚΛΕΙΣΙΜΑΤΟΣ'!AN53/'2.ΤΙΜΕΣ ΚΛΕΙΣΙΜΑΤΟΣ'!AN52)</f>
        <v>6.3345711930795578E-2</v>
      </c>
      <c r="AO52" s="43">
        <f>LN('2.ΤΙΜΕΣ ΚΛΕΙΣΙΜΑΤΟΣ'!AO53/'2.ΤΙΜΕΣ ΚΛΕΙΣΙΜΑΤΟΣ'!AO52)</f>
        <v>6.1162270174360536E-3</v>
      </c>
      <c r="AP52" s="43">
        <f>LN('2.ΤΙΜΕΣ ΚΛΕΙΣΙΜΑΤΟΣ'!AP53/'2.ΤΙΜΕΣ ΚΛΕΙΣΙΜΑΤΟΣ'!AP52)</f>
        <v>-1.7985548067203285E-2</v>
      </c>
      <c r="AQ52" s="43">
        <f>LN('2.ΤΙΜΕΣ ΚΛΕΙΣΙΜΑΤΟΣ'!AQ53/'2.ΤΙΜΕΣ ΚΛΕΙΣΙΜΑΤΟΣ'!AQ52)</f>
        <v>1.1743982559416616E-3</v>
      </c>
      <c r="AR52" s="43">
        <f>LN('2.ΤΙΜΕΣ ΚΛΕΙΣΙΜΑΤΟΣ'!AR53/'2.ΤΙΜΕΣ ΚΛΕΙΣΙΜΑΤΟΣ'!AR52)</f>
        <v>1.9838342219664164E-2</v>
      </c>
      <c r="AS52" s="43">
        <f>LN('2.ΤΙΜΕΣ ΚΛΕΙΣΙΜΑΤΟΣ'!AS53/'2.ΤΙΜΕΣ ΚΛΕΙΣΙΜΑΤΟΣ'!AS52)</f>
        <v>-3.2523191705560062E-2</v>
      </c>
      <c r="AT52" s="43">
        <f>LN('2.ΤΙΜΕΣ ΚΛΕΙΣΙΜΑΤΟΣ'!AT53/'2.ΤΙΜΕΣ ΚΛΕΙΣΙΜΑΤΟΣ'!AT52)</f>
        <v>4.750233398500326E-2</v>
      </c>
      <c r="AU52" s="43">
        <f>LN('2.ΤΙΜΕΣ ΚΛΕΙΣΙΜΑΤΟΣ'!AU53/'2.ΤΙΜΕΣ ΚΛΕΙΣΙΜΑΤΟΣ'!AU52)</f>
        <v>7.8390106869103623E-3</v>
      </c>
    </row>
    <row r="53" spans="1:47">
      <c r="A53" s="41">
        <v>43630</v>
      </c>
      <c r="B53" s="43">
        <f>LN('2.ΤΙΜΕΣ ΚΛΕΙΣΙΜΑΤΟΣ'!B54/'2.ΤΙΜΕΣ ΚΛΕΙΣΙΜΑΤΟΣ'!B53)</f>
        <v>-5.4894922847714802E-3</v>
      </c>
      <c r="C53" s="43">
        <f>LN('2.ΤΙΜΕΣ ΚΛΕΙΣΙΜΑΤΟΣ'!C54/'2.ΤΙΜΕΣ ΚΛΕΙΣΙΜΑΤΟΣ'!C53)</f>
        <v>-4.7694843990351687E-3</v>
      </c>
      <c r="D53" s="43">
        <f>LN('2.ΤΙΜΕΣ ΚΛΕΙΣΙΜΑΤΟΣ'!D54/'2.ΤΙΜΕΣ ΚΛΕΙΣΙΜΑΤΟΣ'!D53)</f>
        <v>-1.152808802881298E-2</v>
      </c>
      <c r="E53" s="43">
        <f>LN('2.ΤΙΜΕΣ ΚΛΕΙΣΙΜΑΤΟΣ'!E54/'2.ΤΙΜΕΣ ΚΛΕΙΣΙΜΑΤΟΣ'!E53)</f>
        <v>-1.5394787682555021E-2</v>
      </c>
      <c r="F53" s="43">
        <f>LN('2.ΤΙΜΕΣ ΚΛΕΙΣΙΜΑΤΟΣ'!F54/'2.ΤΙΜΕΣ ΚΛΕΙΣΙΜΑΤΟΣ'!F53)</f>
        <v>1.268028517590921E-2</v>
      </c>
      <c r="G53" s="43">
        <f>LN('2.ΤΙΜΕΣ ΚΛΕΙΣΙΜΑΤΟΣ'!G54/'2.ΤΙΜΕΣ ΚΛΕΙΣΙΜΑΤΟΣ'!G53)</f>
        <v>-1.4051753455650302E-2</v>
      </c>
      <c r="H53" s="43">
        <f>LN('2.ΤΙΜΕΣ ΚΛΕΙΣΙΜΑΤΟΣ'!H54/'2.ΤΙΜΕΣ ΚΛΕΙΣΙΜΑΤΟΣ'!H53)</f>
        <v>-1.2367648808661643E-2</v>
      </c>
      <c r="I53" s="43">
        <f>LN('2.ΤΙΜΕΣ ΚΛΕΙΣΙΜΑΤΟΣ'!I54/'2.ΤΙΜΕΣ ΚΛΕΙΣΙΜΑΤΟΣ'!I53)</f>
        <v>-8.9419373756613931E-3</v>
      </c>
      <c r="J53" s="43">
        <f>LN('2.ΤΙΜΕΣ ΚΛΕΙΣΙΜΑΤΟΣ'!J54/'2.ΤΙΜΕΣ ΚΛΕΙΣΙΜΑΤΟΣ'!J53)</f>
        <v>1.2578782206860185E-2</v>
      </c>
      <c r="K53" s="43">
        <f>LN('2.ΤΙΜΕΣ ΚΛΕΙΣΙΜΑΤΟΣ'!K54/'2.ΤΙΜΕΣ ΚΛΕΙΣΙΜΑΤΟΣ'!K53)</f>
        <v>4.9960661375374679E-3</v>
      </c>
      <c r="L53" s="43">
        <f>LN('2.ΤΙΜΕΣ ΚΛΕΙΣΙΜΑΤΟΣ'!L54/'2.ΤΙΜΕΣ ΚΛΕΙΣΙΜΑΤΟΣ'!L53)</f>
        <v>-7.4757387781076269E-3</v>
      </c>
      <c r="M53" s="43">
        <f>LN('2.ΤΙΜΕΣ ΚΛΕΙΣΙΜΑΤΟΣ'!M54/'2.ΤΙΜΕΣ ΚΛΕΙΣΙΜΑΤΟΣ'!M53)</f>
        <v>-1.1696039763191187E-2</v>
      </c>
      <c r="N53" s="43">
        <f>LN('2.ΤΙΜΕΣ ΚΛΕΙΣΙΜΑΤΟΣ'!N54/'2.ΤΙΜΕΣ ΚΛΕΙΣΙΜΑΤΟΣ'!N53)</f>
        <v>2.9244062368161275E-3</v>
      </c>
      <c r="O53" s="43">
        <f>LN('2.ΤΙΜΕΣ ΚΛΕΙΣΙΜΑΤΟΣ'!O54/'2.ΤΙΜΕΣ ΚΛΕΙΣΙΜΑΤΟΣ'!O53)</f>
        <v>2.8818463748889502E-3</v>
      </c>
      <c r="P53" s="43">
        <f>LN('2.ΤΙΜΕΣ ΚΛΕΙΣΙΜΑΤΟΣ'!P54/'2.ΤΙΜΕΣ ΚΛΕΙΣΙΜΑΤΟΣ'!P53)</f>
        <v>-1.165061721997525E-2</v>
      </c>
      <c r="Q53" s="43">
        <f>LN('2.ΤΙΜΕΣ ΚΛΕΙΣΙΜΑΤΟΣ'!Q54/'2.ΤΙΜΕΣ ΚΛΕΙΣΙΜΑΤΟΣ'!Q53)</f>
        <v>-6.2912867756134043E-4</v>
      </c>
      <c r="R53" s="43">
        <f>LN('2.ΤΙΜΕΣ ΚΛΕΙΣΙΜΑΤΟΣ'!R54/'2.ΤΙΜΕΣ ΚΛΕΙΣΙΜΑΤΟΣ'!R53)</f>
        <v>-2.8129413766147236E-3</v>
      </c>
      <c r="S53" s="43">
        <f>LN('2.ΤΙΜΕΣ ΚΛΕΙΣΙΜΑΤΟΣ'!S54/'2.ΤΙΜΕΣ ΚΛΕΙΣΙΜΑΤΟΣ'!S53)</f>
        <v>-8.0862974313578185E-3</v>
      </c>
      <c r="T53" s="43">
        <f>LN('2.ΤΙΜΕΣ ΚΛΕΙΣΙΜΑΤΟΣ'!T54/'2.ΤΙΜΕΣ ΚΛΕΙΣΙΜΑΤΟΣ'!T53)</f>
        <v>2.3048395436291089E-2</v>
      </c>
      <c r="U53" s="43">
        <f>LN('2.ΤΙΜΕΣ ΚΛΕΙΣΙΜΑΤΟΣ'!U54/'2.ΤΙΜΕΣ ΚΛΕΙΣΙΜΑΤΟΣ'!U53)</f>
        <v>-1.4815085785140812E-2</v>
      </c>
      <c r="V53" s="43">
        <f>LN('2.ΤΙΜΕΣ ΚΛΕΙΣΙΜΑΤΟΣ'!V54/'2.ΤΙΜΕΣ ΚΛΕΙΣΙΜΑΤΟΣ'!V53)</f>
        <v>1.0977058631150994E-2</v>
      </c>
      <c r="W53" s="43">
        <f>LN('2.ΤΙΜΕΣ ΚΛΕΙΣΙΜΑΤΟΣ'!W54/'2.ΤΙΜΕΣ ΚΛΕΙΣΙΜΑΤΟΣ'!W53)</f>
        <v>2.4479816386400372E-3</v>
      </c>
      <c r="X53" s="43">
        <f>LN('2.ΤΙΜΕΣ ΚΛΕΙΣΙΜΑΤΟΣ'!X54/'2.ΤΙΜΕΣ ΚΛΕΙΣΙΜΑΤΟΣ'!X53)</f>
        <v>0</v>
      </c>
      <c r="Y53" s="43">
        <f>LN('2.ΤΙΜΕΣ ΚΛΕΙΣΙΜΑΤΟΣ'!Y54/'2.ΤΙΜΕΣ ΚΛΕΙΣΙΜΑΤΟΣ'!Y53)</f>
        <v>3.1104224143923302E-3</v>
      </c>
      <c r="Z53" s="43">
        <f>LN('2.ΤΙΜΕΣ ΚΛΕΙΣΙΜΑΤΟΣ'!Z54/'2.ΤΙΜΕΣ ΚΛΕΙΣΙΜΑΤΟΣ'!Z53)</f>
        <v>0</v>
      </c>
      <c r="AA53" s="43">
        <f>LN('2.ΤΙΜΕΣ ΚΛΕΙΣΙΜΑΤΟΣ'!AA54/'2.ΤΙΜΕΣ ΚΛΕΙΣΙΜΑΤΟΣ'!AA53)</f>
        <v>8.4034107963793792E-3</v>
      </c>
      <c r="AB53" s="43">
        <f>LN('2.ΤΙΜΕΣ ΚΛΕΙΣΙΜΑΤΟΣ'!AB54/'2.ΤΙΜΕΣ ΚΛΕΙΣΙΜΑΤΟΣ'!AB53)</f>
        <v>-3.216928293339167E-2</v>
      </c>
      <c r="AC53" s="43">
        <f>LN('2.ΤΙΜΕΣ ΚΛΕΙΣΙΜΑΤΟΣ'!AC54/'2.ΤΙΜΕΣ ΚΛΕΙΣΙΜΑΤΟΣ'!AC53)</f>
        <v>0</v>
      </c>
      <c r="AD53" s="43">
        <f>LN('2.ΤΙΜΕΣ ΚΛΕΙΣΙΜΑΤΟΣ'!AD54/'2.ΤΙΜΕΣ ΚΛΕΙΣΙΜΑΤΟΣ'!AD53)</f>
        <v>-4.0295554860016883E-3</v>
      </c>
      <c r="AE53" s="43">
        <f>LN('2.ΤΙΜΕΣ ΚΛΕΙΣΙΜΑΤΟΣ'!AE54/'2.ΤΙΜΕΣ ΚΛΕΙΣΙΜΑΤΟΣ'!AE53)</f>
        <v>-7.4349784875180902E-3</v>
      </c>
      <c r="AF53" s="43">
        <f>LN('2.ΤΙΜΕΣ ΚΛΕΙΣΙΜΑΤΟΣ'!AF54/'2.ΤΙΜΕΣ ΚΛΕΙΣΙΜΑΤΟΣ'!AF53)</f>
        <v>5.2770571008438193E-3</v>
      </c>
      <c r="AG53" s="43">
        <f>LN('2.ΤΙΜΕΣ ΚΛΕΙΣΙΜΑΤΟΣ'!AG54/'2.ΤΙΜΕΣ ΚΛΕΙΣΙΜΑΤΟΣ'!AG53)</f>
        <v>0.13484286822233338</v>
      </c>
      <c r="AH53" s="43">
        <f>LN('2.ΤΙΜΕΣ ΚΛΕΙΣΙΜΑΤΟΣ'!AH54/'2.ΤΙΜΕΣ ΚΛΕΙΣΙΜΑΤΟΣ'!AH53)</f>
        <v>6.2794554848431012E-3</v>
      </c>
      <c r="AI53" s="43">
        <f>LN('2.ΤΙΜΕΣ ΚΛΕΙΣΙΜΑΤΟΣ'!AI54/'2.ΤΙΜΕΣ ΚΛΕΙΣΙΜΑΤΟΣ'!AI53)</f>
        <v>7.9681696491768813E-3</v>
      </c>
      <c r="AJ53" s="43">
        <f>LN('2.ΤΙΜΕΣ ΚΛΕΙΣΙΜΑΤΟΣ'!AJ54/'2.ΤΙΜΕΣ ΚΛΕΙΣΙΜΑΤΟΣ'!AJ53)</f>
        <v>-4.4650273737738819E-2</v>
      </c>
      <c r="AK53" s="43">
        <f>LN('2.ΤΙΜΕΣ ΚΛΕΙΣΙΜΑΤΟΣ'!AK54/'2.ΤΙΜΕΣ ΚΛΕΙΣΙΜΑΤΟΣ'!AK53)</f>
        <v>0</v>
      </c>
      <c r="AL53" s="43">
        <f>LN('2.ΤΙΜΕΣ ΚΛΕΙΣΙΜΑΤΟΣ'!AL54/'2.ΤΙΜΕΣ ΚΛΕΙΣΙΜΑΤΟΣ'!AL53)</f>
        <v>3.6367644170874791E-2</v>
      </c>
      <c r="AM53" s="43">
        <f>LN('2.ΤΙΜΕΣ ΚΛΕΙΣΙΜΑΤΟΣ'!AM54/'2.ΤΙΜΕΣ ΚΛΕΙΣΙΜΑΤΟΣ'!AM53)</f>
        <v>4.7506027585977988E-3</v>
      </c>
      <c r="AN53" s="43">
        <f>LN('2.ΤΙΜΕΣ ΚΛΕΙΣΙΜΑΤΟΣ'!AN54/'2.ΤΙΜΕΣ ΚΛΕΙΣΙΜΑΤΟΣ'!AN53)</f>
        <v>-7.702220362092351E-3</v>
      </c>
      <c r="AO53" s="43">
        <f>LN('2.ΤΙΜΕΣ ΚΛΕΙΣΙΜΑΤΟΣ'!AO54/'2.ΤΙΜΕΣ ΚΛΕΙΣΙΜΑΤΟΣ'!AO53)</f>
        <v>1.212136053234482E-2</v>
      </c>
      <c r="AP53" s="43">
        <f>LN('2.ΤΙΜΕΣ ΚΛΕΙΣΙΜΑΤΟΣ'!AP54/'2.ΤΙΜΕΣ ΚΛΕΙΣΙΜΑΤΟΣ'!AP53)</f>
        <v>2.9699152490299415E-2</v>
      </c>
      <c r="AQ53" s="43">
        <f>LN('2.ΤΙΜΕΣ ΚΛΕΙΣΙΜΑΤΟΣ'!AQ54/'2.ΤΙΜΕΣ ΚΛΕΙΣΙΜΑΤΟΣ'!AQ53)</f>
        <v>9.345862418237599E-3</v>
      </c>
      <c r="AR53" s="43">
        <f>LN('2.ΤΙΜΕΣ ΚΛΕΙΣΙΜΑΤΟΣ'!AR54/'2.ΤΙΜΕΣ ΚΛΕΙΣΙΜΑΤΟΣ'!AR53)</f>
        <v>-7.168489478612516E-3</v>
      </c>
      <c r="AS53" s="43">
        <f>LN('2.ΤΙΜΕΣ ΚΛΕΙΣΙΜΑΤΟΣ'!AS54/'2.ΤΙΜΕΣ ΚΛΕΙΣΙΜΑΤΟΣ'!AS53)</f>
        <v>0</v>
      </c>
      <c r="AT53" s="43">
        <f>LN('2.ΤΙΜΕΣ ΚΛΕΙΣΙΜΑΤΟΣ'!AT54/'2.ΤΙΜΕΣ ΚΛΕΙΣΙΜΑΤΟΣ'!AT53)</f>
        <v>3.0459207484708654E-2</v>
      </c>
      <c r="AU53" s="43">
        <f>LN('2.ΤΙΜΕΣ ΚΛΕΙΣΙΜΑΤΟΣ'!AU54/'2.ΤΙΜΕΣ ΚΛΕΙΣΙΜΑΤΟΣ'!AU53)</f>
        <v>-3.545915020475114E-3</v>
      </c>
    </row>
    <row r="54" spans="1:47">
      <c r="A54" s="41">
        <v>43634</v>
      </c>
      <c r="B54" s="43">
        <f>LN('2.ΤΙΜΕΣ ΚΛΕΙΣΙΜΑΤΟΣ'!B55/'2.ΤΙΜΕΣ ΚΛΕΙΣΙΜΑΤΟΣ'!B54)</f>
        <v>1.0041161499490497E-2</v>
      </c>
      <c r="C54" s="43">
        <f>LN('2.ΤΙΜΕΣ ΚΛΕΙΣΙΜΑΤΟΣ'!C55/'2.ΤΙΜΕΣ ΚΛΕΙΣΙΜΑΤΟΣ'!C54)</f>
        <v>1.1093616148503259E-2</v>
      </c>
      <c r="D54" s="43">
        <f>LN('2.ΤΙΜΕΣ ΚΛΕΙΣΙΜΑΤΟΣ'!D55/'2.ΤΙΜΕΣ ΚΛΕΙΣΙΜΑΤΟΣ'!D54)</f>
        <v>1.3035095899294899E-2</v>
      </c>
      <c r="E54" s="43">
        <f>LN('2.ΤΙΜΕΣ ΚΛΕΙΣΙΜΑΤΟΣ'!E55/'2.ΤΙΜΕΣ ΚΛΕΙΣΙΜΑΤΟΣ'!E54)</f>
        <v>4.980543953468982E-2</v>
      </c>
      <c r="F54" s="43">
        <f>LN('2.ΤΙΜΕΣ ΚΛΕΙΣΙΜΑΤΟΣ'!F55/'2.ΤΙΜΕΣ ΚΛΕΙΣΙΜΑΤΟΣ'!F54)</f>
        <v>7.9863516326499229E-3</v>
      </c>
      <c r="G54" s="43">
        <f>LN('2.ΤΙΜΕΣ ΚΛΕΙΣΙΜΑΤΟΣ'!G55/'2.ΤΙΜΕΣ ΚΛΕΙΣΙΜΑΤΟΣ'!G54)</f>
        <v>-7.1006215495763155E-3</v>
      </c>
      <c r="H54" s="43">
        <f>LN('2.ΤΙΜΕΣ ΚΛΕΙΣΙΜΑΤΟΣ'!H55/'2.ΤΙΜΕΣ ΚΛΕΙΣΙΜΑΤΟΣ'!H54)</f>
        <v>3.6653317648035366E-2</v>
      </c>
      <c r="I54" s="43">
        <f>LN('2.ΤΙΜΕΣ ΚΛΕΙΣΙΜΑΤΟΣ'!I55/'2.ΤΙΜΕΣ ΚΛΕΙΣΙΜΑΤΟΣ'!I54)</f>
        <v>-6.0060240602119218E-3</v>
      </c>
      <c r="J54" s="43">
        <f>LN('2.ΤΙΜΕΣ ΚΛΕΙΣΙΜΑΤΟΣ'!J55/'2.ΤΙΜΕΣ ΚΛΕΙΣΙΜΑΤΟΣ'!J54)</f>
        <v>0</v>
      </c>
      <c r="K54" s="43">
        <f>LN('2.ΤΙΜΕΣ ΚΛΕΙΣΙΜΑΤΟΣ'!K55/'2.ΤΙΜΕΣ ΚΛΕΙΣΙΜΑΤΟΣ'!K54)</f>
        <v>1.4710933784845902E-2</v>
      </c>
      <c r="L54" s="43">
        <f>LN('2.ΤΙΜΕΣ ΚΛΕΙΣΙΜΑΤΟΣ'!L55/'2.ΤΙΜΕΣ ΚΛΕΙΣΙΜΑΤΟΣ'!L54)</f>
        <v>5.001250416823734E-4</v>
      </c>
      <c r="M54" s="43">
        <f>LN('2.ΤΙΜΕΣ ΚΛΕΙΣΙΜΑΤΟΣ'!M55/'2.ΤΙΜΕΣ ΚΛΕΙΣΙΜΑΤΟΣ'!M54)</f>
        <v>-2.3557136924590365E-3</v>
      </c>
      <c r="N54" s="43">
        <f>LN('2.ΤΙΜΕΣ ΚΛΕΙΣΙΜΑΤΟΣ'!N55/'2.ΤΙΜΕΣ ΚΛΕΙΣΙΜΑΤΟΣ'!N54)</f>
        <v>-1.307976616089546E-2</v>
      </c>
      <c r="O54" s="43">
        <f>LN('2.ΤΙΜΕΣ ΚΛΕΙΣΙΜΑΤΟΣ'!O55/'2.ΤΙΜΕΣ ΚΛΕΙΣΙΜΑΤΟΣ'!O54)</f>
        <v>7.168489478612497E-3</v>
      </c>
      <c r="P54" s="43">
        <f>LN('2.ΤΙΜΕΣ ΚΛΕΙΣΙΜΑΤΟΣ'!P55/'2.ΤΙΜΕΣ ΚΛΕΙΣΙΜΑΤΟΣ'!P54)</f>
        <v>1.3579258126380854E-2</v>
      </c>
      <c r="Q54" s="43">
        <f>LN('2.ΤΙΜΕΣ ΚΛΕΙΣΙΜΑΤΟΣ'!Q55/'2.ΤΙΜΕΣ ΚΛΕΙΣΙΜΑΤΟΣ'!Q54)</f>
        <v>-2.5204802253349632E-3</v>
      </c>
      <c r="R54" s="43">
        <f>LN('2.ΤΙΜΕΣ ΚΛΕΙΣΙΜΑΤΟΣ'!R55/'2.ΤΙΜΕΣ ΚΛΕΙΣΙΜΑΤΟΣ'!R54)</f>
        <v>0</v>
      </c>
      <c r="S54" s="43">
        <f>LN('2.ΤΙΜΕΣ ΚΛΕΙΣΙΜΑΤΟΣ'!S55/'2.ΤΙΜΕΣ ΚΛΕΙΣΙΜΑΤΟΣ'!S54)</f>
        <v>1.4775285582154459E-2</v>
      </c>
      <c r="T54" s="43">
        <f>LN('2.ΤΙΜΕΣ ΚΛΕΙΣΙΜΑΤΟΣ'!T55/'2.ΤΙΜΕΣ ΚΛΕΙΣΙΜΑΤΟΣ'!T54)</f>
        <v>-5.0761530318606607E-3</v>
      </c>
      <c r="U54" s="43">
        <f>LN('2.ΤΙΜΕΣ ΚΛΕΙΣΙΜΑΤΟΣ'!U55/'2.ΤΙΜΕΣ ΚΛΕΙΣΙΜΑΤΟΣ'!U54)</f>
        <v>1.9705071079332337E-2</v>
      </c>
      <c r="V54" s="43">
        <f>LN('2.ΤΙΜΕΣ ΚΛΕΙΣΙΜΑΤΟΣ'!V55/'2.ΤΙΜΕΣ ΚΛΕΙΣΙΜΑΤΟΣ'!V54)</f>
        <v>-1.0977058631150907E-2</v>
      </c>
      <c r="W54" s="43">
        <f>LN('2.ΤΙΜΕΣ ΚΛΕΙΣΙΜΑΤΟΣ'!W55/'2.ΤΙΜΕΣ ΚΛΕΙΣΙΜΑΤΟΣ'!W54)</f>
        <v>-1.1063419544255333E-2</v>
      </c>
      <c r="X54" s="43">
        <f>LN('2.ΤΙΜΕΣ ΚΛΕΙΣΙΜΑΤΟΣ'!X55/'2.ΤΙΜΕΣ ΚΛΕΙΣΙΜΑΤΟΣ'!X54)</f>
        <v>-5.3307613515480709E-3</v>
      </c>
      <c r="Y54" s="43">
        <f>LN('2.ΤΙΜΕΣ ΚΛΕΙΣΙΜΑΤΟΣ'!Y55/'2.ΤΙΜΕΣ ΚΛΕΙΣΙΜΑΤΟΣ'!Y54)</f>
        <v>4.13223728491037E-3</v>
      </c>
      <c r="Z54" s="43">
        <f>LN('2.ΤΙΜΕΣ ΚΛΕΙΣΙΜΑΤΟΣ'!Z55/'2.ΤΙΜΕΣ ΚΛΕΙΣΙΜΑΤΟΣ'!Z54)</f>
        <v>0</v>
      </c>
      <c r="AA54" s="43">
        <f>LN('2.ΤΙΜΕΣ ΚΛΕΙΣΙΜΑΤΟΣ'!AA55/'2.ΤΙΜΕΣ ΚΛΕΙΣΙΜΑΤΟΣ'!AA54)</f>
        <v>0</v>
      </c>
      <c r="AB54" s="43">
        <f>LN('2.ΤΙΜΕΣ ΚΛΕΙΣΙΜΑΤΟΣ'!AB55/'2.ΤΙΜΕΣ ΚΛΕΙΣΙΜΑΤΟΣ'!AB54)</f>
        <v>-3.8535693159900777E-3</v>
      </c>
      <c r="AC54" s="43">
        <f>LN('2.ΤΙΜΕΣ ΚΛΕΙΣΙΜΑΤΟΣ'!AC55/'2.ΤΙΜΕΣ ΚΛΕΙΣΙΜΑΤΟΣ'!AC54)</f>
        <v>0</v>
      </c>
      <c r="AD54" s="43">
        <f>LN('2.ΤΙΜΕΣ ΚΛΕΙΣΙΜΑΤΟΣ'!AD55/'2.ΤΙΜΕΣ ΚΛΕΙΣΙΜΑΤΟΣ'!AD54)</f>
        <v>0</v>
      </c>
      <c r="AE54" s="43">
        <f>LN('2.ΤΙΜΕΣ ΚΛΕΙΣΙΜΑΤΟΣ'!AE55/'2.ΤΙΜΕΣ ΚΛΕΙΣΙΜΑΤΟΣ'!AE54)</f>
        <v>0</v>
      </c>
      <c r="AF54" s="43">
        <f>LN('2.ΤΙΜΕΣ ΚΛΕΙΣΙΜΑΤΟΣ'!AF55/'2.ΤΙΜΕΣ ΚΛΕΙΣΙΜΑΤΟΣ'!AF54)</f>
        <v>0</v>
      </c>
      <c r="AG54" s="43">
        <f>LN('2.ΤΙΜΕΣ ΚΛΕΙΣΙΜΑΤΟΣ'!AG55/'2.ΤΙΜΕΣ ΚΛΕΙΣΙΜΑΤΟΣ'!AG54)</f>
        <v>0.14294792675070492</v>
      </c>
      <c r="AH54" s="43">
        <f>LN('2.ΤΙΜΕΣ ΚΛΕΙΣΙΜΑΤΟΣ'!AH55/'2.ΤΙΜΕΣ ΚΛΕΙΣΙΜΑΤΟΣ'!AH54)</f>
        <v>0</v>
      </c>
      <c r="AI54" s="43">
        <f>LN('2.ΤΙΜΕΣ ΚΛΕΙΣΙΜΑΤΟΣ'!AI55/'2.ΤΙΜΕΣ ΚΛΕΙΣΙΜΑΤΟΣ'!AI54)</f>
        <v>7.9051795071132473E-3</v>
      </c>
      <c r="AJ54" s="43">
        <f>LN('2.ΤΙΜΕΣ ΚΛΕΙΣΙΜΑΤΟΣ'!AJ55/'2.ΤΙΜΕΣ ΚΛΕΙΣΙΜΑΤΟΣ'!AJ54)</f>
        <v>4.5558165358608824E-3</v>
      </c>
      <c r="AK54" s="43">
        <f>LN('2.ΤΙΜΕΣ ΚΛΕΙΣΙΜΑΤΟΣ'!AK55/'2.ΤΙΜΕΣ ΚΛΕΙΣΙΜΑΤΟΣ'!AK54)</f>
        <v>4.5766670274116732E-3</v>
      </c>
      <c r="AL54" s="43">
        <f>LN('2.ΤΙΜΕΣ ΚΛΕΙΣΙΜΑΤΟΣ'!AL55/'2.ΤΙΜΕΣ ΚΛΕΙΣΙΜΑΤΟΣ'!AL54)</f>
        <v>0</v>
      </c>
      <c r="AM54" s="43">
        <f>LN('2.ΤΙΜΕΣ ΚΛΕΙΣΙΜΑΤΟΣ'!AM55/'2.ΤΙΜΕΣ ΚΛΕΙΣΙΜΑΤΟΣ'!AM54)</f>
        <v>-2.3724803536303565E-3</v>
      </c>
      <c r="AN54" s="43">
        <f>LN('2.ΤΙΜΕΣ ΚΛΕΙΣΙΜΑΤΟΣ'!AN55/'2.ΤΙΜΕΣ ΚΛΕΙΣΙΜΑΤΟΣ'!AN54)</f>
        <v>0</v>
      </c>
      <c r="AO54" s="43">
        <f>LN('2.ΤΙΜΕΣ ΚΛΕΙΣΙΜΑΤΟΣ'!AO55/'2.ΤΙΜΕΣ ΚΛΕΙΣΙΜΑΤΟΣ'!AO54)</f>
        <v>-6.0423144559625863E-3</v>
      </c>
      <c r="AP54" s="43">
        <f>LN('2.ΤΙΜΕΣ ΚΛΕΙΣΙΜΑΤΟΣ'!AP55/'2.ΤΙΜΕΣ ΚΛΕΙΣΙΜΑΤΟΣ'!AP54)</f>
        <v>-1.7774229034787044E-2</v>
      </c>
      <c r="AQ54" s="43">
        <f>LN('2.ΤΙΜΕΣ ΚΛΕΙΣΙΜΑΤΟΣ'!AQ55/'2.ΤΙΜΕΣ ΚΛΕΙΣΙΜΑΤΟΣ'!AQ54)</f>
        <v>4.5462374076757413E-2</v>
      </c>
      <c r="AR54" s="43">
        <f>LN('2.ΤΙΜΕΣ ΚΛΕΙΣΙΜΑΤΟΣ'!AR55/'2.ΤΙΜΕΣ ΚΛΕΙΣΙΜΑΤΟΣ'!AR54)</f>
        <v>-1.2669852741051665E-2</v>
      </c>
      <c r="AS54" s="43">
        <f>LN('2.ΤΙΜΕΣ ΚΛΕΙΣΙΜΑΤΟΣ'!AS55/'2.ΤΙΜΕΣ ΚΛΕΙΣΙΜΑΤΟΣ'!AS54)</f>
        <v>3.2523191705560145E-2</v>
      </c>
      <c r="AT54" s="43">
        <f>LN('2.ΤΙΜΕΣ ΚΛΕΙΣΙΜΑΤΟΣ'!AT55/'2.ΤΙΜΕΣ ΚΛΕΙΣΙΜΑΤΟΣ'!AT54)</f>
        <v>9.7580328338864042E-2</v>
      </c>
      <c r="AU54" s="43">
        <f>LN('2.ΤΙΜΕΣ ΚΛΕΙΣΙΜΑΤΟΣ'!AU55/'2.ΤΙΜΕΣ ΚΛΕΙΣΙΜΑΤΟΣ'!AU54)</f>
        <v>7.0089898148928539E-3</v>
      </c>
    </row>
    <row r="55" spans="1:47">
      <c r="A55" s="41">
        <v>43635</v>
      </c>
      <c r="B55" s="43">
        <f>LN('2.ΤΙΜΕΣ ΚΛΕΙΣΙΜΑΤΟΣ'!B56/'2.ΤΙΜΕΣ ΚΛΕΙΣΙΜΑΤΟΣ'!B55)</f>
        <v>-8.2079804178297328E-3</v>
      </c>
      <c r="C55" s="43">
        <f>LN('2.ΤΙΜΕΣ ΚΛΕΙΣΙΜΑΤΟΣ'!C56/'2.ΤΙΜΕΣ ΚΛΕΙΣΙΜΑΤΟΣ'!C55)</f>
        <v>-7.1174677688639896E-3</v>
      </c>
      <c r="D55" s="43">
        <f>LN('2.ΤΙΜΕΣ ΚΛΕΙΣΙΜΑΤΟΣ'!D56/'2.ΤΙΜΕΣ ΚΛΕΙΣΙΜΑΤΟΣ'!D55)</f>
        <v>-1.7622493719346159E-2</v>
      </c>
      <c r="E55" s="43">
        <f>LN('2.ΤΙΜΕΣ ΚΛΕΙΣΙΜΑΤΟΣ'!E56/'2.ΤΙΜΕΣ ΚΛΕΙΣΙΜΑΤΟΣ'!E55)</f>
        <v>-1.8467225931647741E-3</v>
      </c>
      <c r="F55" s="43">
        <f>LN('2.ΤΙΜΕΣ ΚΛΕΙΣΙΜΑΤΟΣ'!F56/'2.ΤΙΜΕΣ ΚΛΕΙΣΙΜΑΤΟΣ'!F55)</f>
        <v>-1.6036998909817076E-2</v>
      </c>
      <c r="G55" s="43">
        <f>LN('2.ΤΙΜΕΣ ΚΛΕΙΣΙΜΑΤΟΣ'!G56/'2.ΤΙΜΕΣ ΚΛΕΙΣΙΜΑΤΟΣ'!G55)</f>
        <v>-1.1947573421118175E-2</v>
      </c>
      <c r="H55" s="43">
        <f>LN('2.ΤΙΜΕΣ ΚΛΕΙΣΙΜΑΤΟΣ'!H56/'2.ΤΙΜΕΣ ΚΛΕΙΣΙΜΑΤΟΣ'!H55)</f>
        <v>-1.0336009330661948E-2</v>
      </c>
      <c r="I55" s="43">
        <f>LN('2.ΤΙΜΕΣ ΚΛΕΙΣΙΜΑΤΟΣ'!I56/'2.ΤΙΜΕΣ ΚΛΕΙΣΙΜΑΤΟΣ'!I55)</f>
        <v>-1.8237587549780901E-2</v>
      </c>
      <c r="J55" s="43">
        <f>LN('2.ΤΙΜΕΣ ΚΛΕΙΣΙΜΑΤΟΣ'!J56/'2.ΤΙΜΕΣ ΚΛΕΙΣΙΜΑΤΟΣ'!J55)</f>
        <v>-4.4103582723264242E-2</v>
      </c>
      <c r="K55" s="43">
        <f>LN('2.ΤΙΜΕΣ ΚΛΕΙΣΙΜΑΤΟΣ'!K56/'2.ΤΙΜΕΣ ΚΛΕΙΣΙΜΑΤΟΣ'!K55)</f>
        <v>-6.092442203404512E-3</v>
      </c>
      <c r="L55" s="43">
        <f>LN('2.ΤΙΜΕΣ ΚΛΕΙΣΙΜΑΤΟΣ'!L56/'2.ΤΙΜΕΣ ΚΛΕΙΣΙΜΑΤΟΣ'!L55)</f>
        <v>-5.0125418235443982E-3</v>
      </c>
      <c r="M55" s="43">
        <f>LN('2.ΤΙΜΕΣ ΚΛΕΙΣΙΜΑΤΟΣ'!M56/'2.ΤΙΜΕΣ ΚΛΕΙΣΙΜΑΤΟΣ'!M55)</f>
        <v>3.9311420214888142E-2</v>
      </c>
      <c r="N55" s="43">
        <f>LN('2.ΤΙΜΕΣ ΚΛΕΙΣΙΜΑΤΟΣ'!N56/'2.ΤΙΜΕΣ ΚΛΕΙΣΙΜΑΤΟΣ'!N55)</f>
        <v>-1.160554612030789E-2</v>
      </c>
      <c r="O55" s="43">
        <f>LN('2.ΤΙΜΕΣ ΚΛΕΙΣΙΜΑΤΟΣ'!O56/'2.ΤΙΜΕΣ ΚΛΕΙΣΙΜΑΤΟΣ'!O55)</f>
        <v>-2.0202707317519355E-2</v>
      </c>
      <c r="P55" s="43">
        <f>LN('2.ΤΙΜΕΣ ΚΛΕΙΣΙΜΑΤΟΣ'!P56/'2.ΤΙΜΕΣ ΚΛΕΙΣΙΜΑΤΟΣ'!P55)</f>
        <v>-1.7493157447517345E-2</v>
      </c>
      <c r="Q55" s="43">
        <f>LN('2.ΤΙΜΕΣ ΚΛΕΙΣΙΜΑΤΟΣ'!Q56/'2.ΤΙΜΕΣ ΚΛΕΙΣΙΜΑΤΟΣ'!Q55)</f>
        <v>-3.2054026290083484E-2</v>
      </c>
      <c r="R55" s="43">
        <f>LN('2.ΤΙΜΕΣ ΚΛΕΙΣΙΜΑΤΟΣ'!R56/'2.ΤΙΜΕΣ ΚΛΕΙΣΙΜΑΤΟΣ'!R55)</f>
        <v>-1.8957913744614158E-2</v>
      </c>
      <c r="S55" s="43">
        <f>LN('2.ΤΙΜΕΣ ΚΛΕΙΣΙΜΑΤΟΣ'!S56/'2.ΤΙΜΕΣ ΚΛΕΙΣΙΜΑΤΟΣ'!S55)</f>
        <v>5.3191614776000266E-3</v>
      </c>
      <c r="T55" s="43">
        <f>LN('2.ΤΙΜΕΣ ΚΛΕΙΣΙΜΑΤΟΣ'!T56/'2.ΤΙΜΕΣ ΚΛΕΙΣΙΜΑΤΟΣ'!T55)</f>
        <v>1.6404153337068132E-2</v>
      </c>
      <c r="U55" s="43">
        <f>LN('2.ΤΙΜΕΣ ΚΛΕΙΣΙΜΑΤΟΣ'!U56/'2.ΤΙΜΕΣ ΚΛΕΙΣΙΜΑΤΟΣ'!U55)</f>
        <v>0</v>
      </c>
      <c r="V55" s="43">
        <f>LN('2.ΤΙΜΕΣ ΚΛΕΙΣΙΜΑΤΟΣ'!V56/'2.ΤΙΜΕΣ ΚΛΕΙΣΙΜΑΤΟΣ'!V55)</f>
        <v>-2.4582243405335793E-2</v>
      </c>
      <c r="W55" s="43">
        <f>LN('2.ΤΙΜΕΣ ΚΛΕΙΣΙΜΑΤΟΣ'!W56/'2.ΤΙΜΕΣ ΚΛΕΙΣΙΜΑΤΟΣ'!W55)</f>
        <v>1.2353306079928082E-3</v>
      </c>
      <c r="X55" s="43">
        <f>LN('2.ΤΙΜΕΣ ΚΛΕΙΣΙΜΑΤΟΣ'!X56/'2.ΤΙΜΕΣ ΚΛΕΙΣΙΜΑΤΟΣ'!X55)</f>
        <v>5.3307613515480735E-3</v>
      </c>
      <c r="Y55" s="43">
        <f>LN('2.ΤΙΜΕΣ ΚΛΕΙΣΙΜΑΤΟΣ'!Y56/'2.ΤΙΜΕΣ ΚΛΕΙΣΙΜΑΤΟΣ'!Y55)</f>
        <v>-6.2047768868827577E-3</v>
      </c>
      <c r="Z55" s="43">
        <f>LN('2.ΤΙΜΕΣ ΚΛΕΙΣΙΜΑΤΟΣ'!Z56/'2.ΤΙΜΕΣ ΚΛΕΙΣΙΜΑΤΟΣ'!Z55)</f>
        <v>0</v>
      </c>
      <c r="AA55" s="43">
        <f>LN('2.ΤΙΜΕΣ ΚΛΕΙΣΙΜΑΤΟΣ'!AA56/'2.ΤΙΜΕΣ ΚΛΕΙΣΙΜΑΤΟΣ'!AA55)</f>
        <v>0</v>
      </c>
      <c r="AB55" s="43">
        <f>LN('2.ΤΙΜΕΣ ΚΛΕΙΣΙΜΑΤΟΣ'!AB56/'2.ΤΙΜΕΣ ΚΛΕΙΣΙΜΑΤΟΣ'!AB55)</f>
        <v>-1.5564516541111573E-2</v>
      </c>
      <c r="AC55" s="43">
        <f>LN('2.ΤΙΜΕΣ ΚΛΕΙΣΙΜΑΤΟΣ'!AC56/'2.ΤΙΜΕΣ ΚΛΕΙΣΙΜΑΤΟΣ'!AC55)</f>
        <v>2.7210901143605863E-3</v>
      </c>
      <c r="AD55" s="43">
        <f>LN('2.ΤΙΜΕΣ ΚΛΕΙΣΙΜΑΤΟΣ'!AD56/'2.ΤΙΜΕΣ ΚΛΕΙΣΙΜΑΤΟΣ'!AD55)</f>
        <v>-2.0394996521073201E-2</v>
      </c>
      <c r="AE55" s="43">
        <f>LN('2.ΤΙΜΕΣ ΚΛΕΙΣΙΜΑΤΟΣ'!AE56/'2.ΤΙΜΕΣ ΚΛΕΙΣΙΜΑΤΟΣ'!AE55)</f>
        <v>2.2141125877213501E-2</v>
      </c>
      <c r="AF55" s="43">
        <f>LN('2.ΤΙΜΕΣ ΚΛΕΙΣΙΜΑΤΟΣ'!AF56/'2.ΤΙΜΕΣ ΚΛΕΙΣΙΜΑΤΟΣ'!AF55)</f>
        <v>-2.0202707317519355E-2</v>
      </c>
      <c r="AG55" s="43">
        <f>LN('2.ΤΙΜΕΣ ΚΛΕΙΣΙΜΑΤΟΣ'!AG56/'2.ΤΙΜΕΣ ΚΛΕΙΣΙΜΑΤΟΣ'!AG55)</f>
        <v>0.10197506982754485</v>
      </c>
      <c r="AH55" s="43">
        <f>LN('2.ΤΙΜΕΣ ΚΛΕΙΣΙΜΑΤΟΣ'!AH56/'2.ΤΙΜΕΣ ΚΛΕΙΣΙΜΑΤΟΣ'!AH55)</f>
        <v>-3.9200363800736505E-3</v>
      </c>
      <c r="AI55" s="43">
        <f>LN('2.ΤΙΜΕΣ ΚΛΕΙΣΙΜΑΤΟΣ'!AI56/'2.ΤΙΜΕΣ ΚΛΕΙΣΙΜΑΤΟΣ'!AI55)</f>
        <v>0</v>
      </c>
      <c r="AJ55" s="43">
        <f>LN('2.ΤΙΜΕΣ ΚΛΕΙΣΙΜΑΤΟΣ'!AJ56/'2.ΤΙΜΕΣ ΚΛΕΙΣΙΜΑΤΟΣ'!AJ55)</f>
        <v>4.5351551653911425E-3</v>
      </c>
      <c r="AK55" s="43">
        <f>LN('2.ΤΙΜΕΣ ΚΛΕΙΣΙΜΑΤΟΣ'!AK56/'2.ΤΙΜΕΣ ΚΛΕΙΣΙΜΑΤΟΣ'!AK55)</f>
        <v>-4.5766670274117547E-3</v>
      </c>
      <c r="AL55" s="43">
        <f>LN('2.ΤΙΜΕΣ ΚΛΕΙΣΙΜΑΤΟΣ'!AL56/'2.ΤΙΜΕΣ ΚΛΕΙΣΙΜΑΤΟΣ'!AL55)</f>
        <v>3.5091319811270193E-2</v>
      </c>
      <c r="AM55" s="43">
        <f>LN('2.ΤΙΜΕΣ ΚΛΕΙΣΙΜΑΤΟΣ'!AM56/'2.ΤΙΜΕΣ ΚΛΕΙΣΙΜΑΤΟΣ'!AM55)</f>
        <v>4.7393453638965681E-3</v>
      </c>
      <c r="AN55" s="43">
        <f>LN('2.ΤΙΜΕΣ ΚΛΕΙΣΙΜΑΤΟΣ'!AN56/'2.ΤΙΜΕΣ ΚΛΕΙΣΙΜΑΤΟΣ'!AN55)</f>
        <v>-7.7620053354891892E-3</v>
      </c>
      <c r="AO55" s="43">
        <f>LN('2.ΤΙΜΕΣ ΚΛΕΙΣΙΜΑΤΟΣ'!AO56/'2.ΤΙΜΕΣ ΚΛΕΙΣΙΜΑΤΟΣ'!AO55)</f>
        <v>-1.2195273093818243E-2</v>
      </c>
      <c r="AP55" s="43">
        <f>LN('2.ΤΙΜΕΣ ΚΛΕΙΣΙΜΑΤΟΣ'!AP56/'2.ΤΙΜΕΣ ΚΛΕΙΣΙΜΑΤΟΣ'!AP55)</f>
        <v>8.3357292533987146E-2</v>
      </c>
      <c r="AQ55" s="43">
        <f>LN('2.ΤΙΜΕΣ ΚΛΕΙΣΙΜΑΤΟΣ'!AQ56/'2.ΤΙΜΕΣ ΚΛΕΙΣΙΜΑΤΟΣ'!AQ55)</f>
        <v>-1.6807118316381289E-2</v>
      </c>
      <c r="AR55" s="43">
        <f>LN('2.ΤΙΜΕΣ ΚΛΕΙΣΙΜΑΤΟΣ'!AR56/'2.ΤΙΜΕΣ ΚΛΕΙΣΙΜΑΤΟΣ'!AR55)</f>
        <v>-2.9577017343686163E-2</v>
      </c>
      <c r="AS55" s="43">
        <f>LN('2.ΤΙΜΕΣ ΚΛΕΙΣΙΜΑΤΟΣ'!AS56/'2.ΤΙΜΕΣ ΚΛΕΙΣΙΜΑΤΟΣ'!AS55)</f>
        <v>0</v>
      </c>
      <c r="AT55" s="43">
        <f>LN('2.ΤΙΜΕΣ ΚΛΕΙΣΙΜΑΤΟΣ'!AT56/'2.ΤΙΜΕΣ ΚΛΕΙΣΙΜΑΤΟΣ'!AT55)</f>
        <v>-2.293678534309827E-2</v>
      </c>
      <c r="AU55" s="43">
        <f>LN('2.ΤΙΜΕΣ ΚΛΕΙΣΙΜΑΤΟΣ'!AU56/'2.ΤΙΜΕΣ ΚΛΕΙΣΙΜΑΤΟΣ'!AU55)</f>
        <v>-1.0982129087469799E-2</v>
      </c>
    </row>
    <row r="56" spans="1:47">
      <c r="A56" s="41">
        <v>43636</v>
      </c>
      <c r="B56" s="43">
        <f>LN('2.ΤΙΜΕΣ ΚΛΕΙΣΙΜΑΤΟΣ'!B57/'2.ΤΙΜΕΣ ΚΛΕΙΣΙΜΑΤΟΣ'!B56)</f>
        <v>1.6949558313773424E-2</v>
      </c>
      <c r="C56" s="43">
        <f>LN('2.ΤΙΜΕΣ ΚΛΕΙΣΙΜΑΤΟΣ'!C57/'2.ΤΙΜΕΣ ΚΛΕΙΣΙΜΑΤΟΣ'!C56)</f>
        <v>-7.9681696491768449E-3</v>
      </c>
      <c r="D56" s="43">
        <f>LN('2.ΤΙΜΕΣ ΚΛΕΙΣΙΜΑΤΟΣ'!D57/'2.ΤΙΜΕΣ ΚΛΕΙΣΙΜΑΤΟΣ'!D56)</f>
        <v>-2.557676978726746E-3</v>
      </c>
      <c r="E56" s="43">
        <f>LN('2.ΤΙΜΕΣ ΚΛΕΙΣΙΜΑΤΟΣ'!E57/'2.ΤΙΜΕΣ ΚΛΕΙΣΙΜΑΤΟΣ'!E56)</f>
        <v>1.9524720296572162E-2</v>
      </c>
      <c r="F56" s="43">
        <f>LN('2.ΤΙΜΕΣ ΚΛΕΙΣΙΜΑΤΟΣ'!F57/'2.ΤΙΜΕΣ ΚΛΕΙΣΙΜΑΤΟΣ'!F56)</f>
        <v>4.6083030861941814E-3</v>
      </c>
      <c r="G56" s="43">
        <f>LN('2.ΤΙΜΕΣ ΚΛΕΙΣΙΜΑΤΟΣ'!G57/'2.ΤΙΜΕΣ ΚΛΕΙΣΙΜΑΤΟΣ'!G56)</f>
        <v>-6.0277457975173128E-3</v>
      </c>
      <c r="H56" s="43">
        <f>LN('2.ΤΙΜΕΣ ΚΛΕΙΣΙΜΑΤΟΣ'!H57/'2.ΤΙΜΕΣ ΚΛΕΙΣΙΜΑΤΟΣ'!H56)</f>
        <v>0</v>
      </c>
      <c r="I56" s="43">
        <f>LN('2.ΤΙΜΕΣ ΚΛΕΙΣΙΜΑΤΟΣ'!I57/'2.ΤΙΜΕΣ ΚΛΕΙΣΙΜΑΤΟΣ'!I56)</f>
        <v>-1.2345835822299266E-2</v>
      </c>
      <c r="J56" s="43">
        <f>LN('2.ΤΙΜΕΣ ΚΛΕΙΣΙΜΑΤΟΣ'!J57/'2.ΤΙΜΕΣ ΚΛΕΙΣΙΜΑΤΟΣ'!J56)</f>
        <v>-5.3224761237297781E-2</v>
      </c>
      <c r="K56" s="43">
        <f>LN('2.ΤΙΜΕΣ ΚΛΕΙΣΙΜΑΤΟΣ'!K57/'2.ΤΙΜΕΣ ΚΛΕΙΣΙΜΑΤΟΣ'!K56)</f>
        <v>2.4673735003214159E-3</v>
      </c>
      <c r="L56" s="43">
        <f>LN('2.ΤΙΜΕΣ ΚΛΕΙΣΙΜΑΤΟΣ'!L57/'2.ΤΙΜΕΣ ΚΛΕΙΣΙΜΑΤΟΣ'!L56)</f>
        <v>1.0045204260057121E-3</v>
      </c>
      <c r="M56" s="43">
        <f>LN('2.ΤΙΜΕΣ ΚΛΕΙΣΙΜΑΤΟΣ'!M57/'2.ΤΙΜΕΣ ΚΛΕΙΣΙΜΑΤΟΣ'!M56)</f>
        <v>-7.9681696491769576E-3</v>
      </c>
      <c r="N56" s="43">
        <f>LN('2.ΤΙΜΕΣ ΚΛΕΙΣΙΜΑΤΟΣ'!N57/'2.ΤΙΜΕΣ ΚΛΕΙΣΙΜΑΤΟΣ'!N56)</f>
        <v>5.8196090532640025E-3</v>
      </c>
      <c r="O56" s="43">
        <f>LN('2.ΤΙΜΕΣ ΚΛΕΙΣΙΜΑΤΟΣ'!O57/'2.ΤΙΜΕΣ ΚΛΕΙΣΙΜΑΤΟΣ'!O56)</f>
        <v>1.4566644964641641E-3</v>
      </c>
      <c r="P56" s="43">
        <f>LN('2.ΤΙΜΕΣ ΚΛΕΙΣΙΜΑΤΟΣ'!P57/'2.ΤΙΜΕΣ ΚΛΕΙΣΙΜΑΤΟΣ'!P56)</f>
        <v>-3.9292781398894382E-3</v>
      </c>
      <c r="Q56" s="43">
        <f>LN('2.ΤΙΜΕΣ ΚΛΕΙΣΙΜΑΤΟΣ'!Q57/'2.ΤΙΜΕΣ ΚΛΕΙΣΙΜΑΤΟΣ'!Q56)</f>
        <v>-3.3115608784497437E-2</v>
      </c>
      <c r="R56" s="43">
        <f>LN('2.ΤΙΜΕΣ ΚΛΕΙΣΙΜΑΤΟΣ'!R57/'2.ΤΙΜΕΣ ΚΛΕΙΣΙΜΑΤΟΣ'!R56)</f>
        <v>-0.19019939559485574</v>
      </c>
      <c r="S56" s="43">
        <f>LN('2.ΤΙΜΕΣ ΚΛΕΙΣΙΜΑΤΟΣ'!S57/'2.ΤΙΜΕΣ ΚΛΕΙΣΙΜΑΤΟΣ'!S56)</f>
        <v>3.3901551675681416E-2</v>
      </c>
      <c r="T56" s="43">
        <f>LN('2.ΤΙΜΕΣ ΚΛΕΙΣΙΜΑΤΟΣ'!T57/'2.ΤΙΜΕΣ ΚΛΕΙΣΙΜΑΤΟΣ'!T56)</f>
        <v>0</v>
      </c>
      <c r="U56" s="43">
        <f>LN('2.ΤΙΜΕΣ ΚΛΕΙΣΙΜΑΤΟΣ'!U57/'2.ΤΙΜΕΣ ΚΛΕΙΣΙΜΑΤΟΣ'!U56)</f>
        <v>-4.4895319907890877E-2</v>
      </c>
      <c r="V56" s="43">
        <f>LN('2.ΤΙΜΕΣ ΚΛΕΙΣΙΜΑΤΟΣ'!V57/'2.ΤΙΜΕΣ ΚΛΕΙΣΙΜΑΤΟΣ'!V56)</f>
        <v>-1.1376686982107934E-2</v>
      </c>
      <c r="W56" s="43">
        <f>LN('2.ΤΙΜΕΣ ΚΛΕΙΣΙΜΑΤΟΣ'!W57/'2.ΤΙΜΕΣ ΚΛΕΙΣΙΜΑΤΟΣ'!W56)</f>
        <v>3.6968618813262026E-3</v>
      </c>
      <c r="X56" s="43">
        <f>LN('2.ΤΙΜΕΣ ΚΛΕΙΣΙΜΑΤΟΣ'!X57/'2.ΤΙΜΕΣ ΚΛΕΙΣΙΜΑΤΟΣ'!X56)</f>
        <v>-2.7426007350108256E-3</v>
      </c>
      <c r="Y56" s="43">
        <f>LN('2.ΤΙΜΕΣ ΚΛΕΙΣΙΜΑΤΟΣ'!Y57/'2.ΤΙΜΕΣ ΚΛΕΙΣΙΜΑΤΟΣ'!Y56)</f>
        <v>-3.1168856402532226E-3</v>
      </c>
      <c r="Z56" s="43">
        <f>LN('2.ΤΙΜΕΣ ΚΛΕΙΣΙΜΑΤΟΣ'!Z57/'2.ΤΙΜΕΣ ΚΛΕΙΣΙΜΑΤΟΣ'!Z56)</f>
        <v>-1.7094433359300068E-2</v>
      </c>
      <c r="AA56" s="43">
        <f>LN('2.ΤΙΜΕΣ ΚΛΕΙΣΙΜΑΤΟΣ'!AA57/'2.ΤΙΜΕΣ ΚΛΕΙΣΙΜΑΤΟΣ'!AA56)</f>
        <v>0</v>
      </c>
      <c r="AB56" s="43">
        <f>LN('2.ΤΙΜΕΣ ΚΛΕΙΣΙΜΑΤΟΣ'!AB57/'2.ΤΙΜΕΣ ΚΛΕΙΣΙΜΑΤΟΣ'!AB56)</f>
        <v>-3.9292781398894382E-3</v>
      </c>
      <c r="AC56" s="43">
        <f>LN('2.ΤΙΜΕΣ ΚΛΕΙΣΙΜΑΤΟΣ'!AC57/'2.ΤΙΜΕΣ ΚΛΕΙΣΙΜΑΤΟΣ'!AC56)</f>
        <v>-2.7210901143606132E-3</v>
      </c>
      <c r="AD56" s="43">
        <f>LN('2.ΤΙΜΕΣ ΚΛΕΙΣΙΜΑΤΟΣ'!AD57/'2.ΤΙΜΕΣ ΚΛΕΙΣΙΜΑΤΟΣ'!AD56)</f>
        <v>1.3726838119721742E-3</v>
      </c>
      <c r="AE56" s="43">
        <f>LN('2.ΤΙΜΕΣ ΚΛΕΙΣΙΜΑΤΟΣ'!AE57/'2.ΤΙΜΕΣ ΚΛΕΙΣΙΜΑΤΟΣ'!AE56)</f>
        <v>-1.1009285508369368E-2</v>
      </c>
      <c r="AF56" s="43">
        <f>LN('2.ΤΙΜΕΣ ΚΛΕΙΣΙΜΑΤΟΣ'!AF57/'2.ΤΙΜΕΣ ΚΛΕΙΣΙΜΑΤΟΣ'!AF56)</f>
        <v>-5.3850426308877106E-3</v>
      </c>
      <c r="AG56" s="43">
        <f>LN('2.ΤΙΜΕΣ ΚΛΕΙΣΙΜΑΤΟΣ'!AG57/'2.ΤΙΜΕΣ ΚΛΕΙΣΙΜΑΤΟΣ'!AG56)</f>
        <v>-5.9166977335660335E-2</v>
      </c>
      <c r="AH56" s="43">
        <f>LN('2.ΤΙΜΕΣ ΚΛΕΙΣΙΜΑΤΟΣ'!AH57/'2.ΤΙΜΕΣ ΚΛΕΙΣΙΜΑΤΟΣ'!AH56)</f>
        <v>-1.8232768261059636E-2</v>
      </c>
      <c r="AI56" s="43">
        <f>LN('2.ΤΙΜΕΣ ΚΛΕΙΣΙΜΑΤΟΣ'!AI57/'2.ΤΙΜΕΣ ΚΛΕΙΣΙΜΑΤΟΣ'!AI56)</f>
        <v>-7.9051795071132611E-3</v>
      </c>
      <c r="AJ56" s="43">
        <f>LN('2.ΤΙΜΕΣ ΚΛΕΙΣΙΜΑΤΟΣ'!AJ57/'2.ΤΙΜΕΣ ΚΛΕΙΣΙΜΑΤΟΣ'!AJ56)</f>
        <v>-9.0909717012519625E-3</v>
      </c>
      <c r="AK56" s="43">
        <f>LN('2.ΤΙΜΕΣ ΚΛΕΙΣΙΜΑΤΟΣ'!AK57/'2.ΤΙΜΕΣ ΚΛΕΙΣΙΜΑΤΟΣ'!AK56)</f>
        <v>-3.2636929313022658E-2</v>
      </c>
      <c r="AL56" s="43">
        <f>LN('2.ΤΙΜΕΣ ΚΛΕΙΣΙΜΑΤΟΣ'!AL57/'2.ΤΙΜΕΣ ΚΛΕΙΣΙΜΑΤΟΣ'!AL56)</f>
        <v>1.709443335930004E-2</v>
      </c>
      <c r="AM56" s="43">
        <f>LN('2.ΤΙΜΕΣ ΚΛΕΙΣΙΜΑΤΟΣ'!AM57/'2.ΤΙΜΕΣ ΚΛΕΙΣΙΜΑΤΟΣ'!AM56)</f>
        <v>-7.1174677688639896E-3</v>
      </c>
      <c r="AN56" s="43">
        <f>LN('2.ΤΙΜΕΣ ΚΛΕΙΣΙΜΑΤΟΣ'!AN57/'2.ΤΙΜΕΣ ΚΛΕΙΣΙΜΑΤΟΣ'!AN56)</f>
        <v>-2.0998146839773468E-2</v>
      </c>
      <c r="AO56" s="43">
        <f>LN('2.ΤΙΜΕΣ ΚΛΕΙΣΙΜΑΤΟΣ'!AO57/'2.ΤΙΜΕΣ ΚΛΕΙΣΙΜΑΤΟΣ'!AO56)</f>
        <v>-9.2450581440510493E-3</v>
      </c>
      <c r="AP56" s="43">
        <f>LN('2.ΤΙΜΕΣ ΚΛΕΙΣΙΜΑΤΟΣ'!AP57/'2.ΤΙΜΕΣ ΚΛΕΙΣΙΜΑΤΟΣ'!AP56)</f>
        <v>-8.424649659251578E-3</v>
      </c>
      <c r="AQ56" s="43">
        <f>LN('2.ΤΙΜΕΣ ΚΛΕΙΣΙΜΑΤΟΣ'!AQ57/'2.ΤΙΜΕΣ ΚΛΕΙΣΙΜΑΤΟΣ'!AQ56)</f>
        <v>-3.9175516434555406E-2</v>
      </c>
      <c r="AR56" s="43">
        <f>LN('2.ΤΙΜΕΣ ΚΛΕΙΣΙΜΑΤΟΣ'!AR57/'2.ΤΙΜΕΣ ΚΛΕΙΣΙΜΑΤΟΣ'!AR56)</f>
        <v>4.9415359563350254E-2</v>
      </c>
      <c r="AS56" s="43">
        <f>LN('2.ΤΙΜΕΣ ΚΛΕΙΣΙΜΑΤΟΣ'!AS57/'2.ΤΙΜΕΣ ΚΛΕΙΣΙΜΑΤΟΣ'!AS56)</f>
        <v>-8.0321716972642666E-3</v>
      </c>
      <c r="AT56" s="43">
        <f>LN('2.ΤΙΜΕΣ ΚΛΕΙΣΙΜΑΤΟΣ'!AT57/'2.ΤΙΜΕΣ ΚΛΕΙΣΙΜΑΤΟΣ'!AT56)</f>
        <v>-6.7171528157064744E-2</v>
      </c>
      <c r="AU56" s="43">
        <f>LN('2.ΤΙΜΕΣ ΚΛΕΙΣΙΜΑΤΟΣ'!AU57/'2.ΤΙΜΕΣ ΚΛΕΙΣΙΜΑΤΟΣ'!AU56)</f>
        <v>-8.5913021445357014E-3</v>
      </c>
    </row>
    <row r="57" spans="1:47">
      <c r="A57" s="41">
        <v>43637</v>
      </c>
      <c r="B57" s="43">
        <f>LN('2.ΤΙΜΕΣ ΚΛΕΙΣΙΜΑΤΟΣ'!B58/'2.ΤΙΜΕΣ ΚΛΕΙΣΙΜΑΤΟΣ'!B57)</f>
        <v>1.4302985190331043E-2</v>
      </c>
      <c r="C57" s="43">
        <f>LN('2.ΤΙΜΕΣ ΚΛΕΙΣΙΜΑΤΟΣ'!C58/'2.ΤΙΜΕΣ ΚΛΕΙΣΙΜΑΤΟΣ'!C57)</f>
        <v>-2.6754737308819613E-2</v>
      </c>
      <c r="D57" s="43">
        <f>LN('2.ΤΙΜΕΣ ΚΛΕΙΣΙΜΑΤΟΣ'!D58/'2.ΤΙΜΕΣ ΚΛΕΙΣΙΜΑΤΟΣ'!D57)</f>
        <v>2.2686814613461885E-2</v>
      </c>
      <c r="E57" s="43">
        <f>LN('2.ΤΙΜΕΣ ΚΛΕΙΣΙΜΑΤΟΣ'!E58/'2.ΤΙΜΕΣ ΚΛΕΙΣΙΜΑΤΟΣ'!E57)</f>
        <v>1.3801599215988294E-2</v>
      </c>
      <c r="F57" s="43">
        <f>LN('2.ΤΙΜΕΣ ΚΛΕΙΣΙΜΑΤΟΣ'!F58/'2.ΤΙΜΕΣ ΚΛΕΙΣΙΜΑΤΟΣ'!F57)</f>
        <v>1.0291686036547506E-2</v>
      </c>
      <c r="G57" s="43">
        <f>LN('2.ΤΙΜΕΣ ΚΛΕΙΣΙΜΑΤΟΣ'!G58/'2.ΤΙΜΕΣ ΚΛΕΙΣΙΜΑΤΟΣ'!G57)</f>
        <v>-1.2165600163688476E-2</v>
      </c>
      <c r="H57" s="43">
        <f>LN('2.ΤΙΜΕΣ ΚΛΕΙΣΙΜΑΤΟΣ'!H58/'2.ΤΙΜΕΣ ΚΛΕΙΣΙΜΑΤΟΣ'!H57)</f>
        <v>-7.8227256812090449E-3</v>
      </c>
      <c r="I57" s="43">
        <f>LN('2.ΤΙΜΕΣ ΚΛΕΙΣΙΜΑΤΟΣ'!I58/'2.ΤΙΜΕΣ ΚΛΕΙΣΙΜΑΤΟΣ'!I57)</f>
        <v>0</v>
      </c>
      <c r="J57" s="43">
        <f>LN('2.ΤΙΜΕΣ ΚΛΕΙΣΙΜΑΤΟΣ'!J58/'2.ΤΙΜΕΣ ΚΛΕΙΣΙΜΑΤΟΣ'!J57)</f>
        <v>-8.0321716972641538E-3</v>
      </c>
      <c r="K57" s="43">
        <f>LN('2.ΤΙΜΕΣ ΚΛΕΙΣΙΜΑΤΟΣ'!K58/'2.ΤΙΜΕΣ ΚΛΕΙΣΙΜΑΤΟΣ'!K57)</f>
        <v>6.0774739334963869E-3</v>
      </c>
      <c r="L57" s="43">
        <f>LN('2.ΤΙΜΕΣ ΚΛΕΙΣΙΜΑΤΟΣ'!L58/'2.ΤΙΜΕΣ ΚΛΕΙΣΙΜΑΤΟΣ'!L57)</f>
        <v>2.0865138463961541E-2</v>
      </c>
      <c r="M57" s="43">
        <f>LN('2.ΤΙΜΕΣ ΚΛΕΙΣΙΜΑΤΟΣ'!M58/'2.ΤΙΜΕΣ ΚΛΕΙΣΙΜΑΤΟΣ'!M57)</f>
        <v>-4.6792161506758939E-2</v>
      </c>
      <c r="N57" s="43">
        <f>LN('2.ΤΙΜΕΣ ΚΛΕΙΣΙΜΑΤΟΣ'!N58/'2.ΤΙΜΕΣ ΚΛΕΙΣΙΜΑΤΟΣ'!N57)</f>
        <v>2.7298437119007125E-2</v>
      </c>
      <c r="O57" s="43">
        <f>LN('2.ΤΙΜΕΣ ΚΛΕΙΣΙΜΑΤΟΣ'!O58/'2.ΤΙΜΕΣ ΚΛΕΙΣΙΜΑΤΟΣ'!O57)</f>
        <v>1.8746042821055412E-2</v>
      </c>
      <c r="P57" s="43">
        <f>LN('2.ΤΙΜΕΣ ΚΛΕΙΣΙΜΑΤΟΣ'!P58/'2.ΤΙΜΕΣ ΚΛΕΙΣΙΜΑΤΟΣ'!P57)</f>
        <v>4.4280573663456863E-2</v>
      </c>
      <c r="Q57" s="43">
        <f>LN('2.ΤΙΜΕΣ ΚΛΕΙΣΙΜΑΤΟΣ'!Q58/'2.ΤΙΜΕΣ ΚΛΕΙΣΙΜΑΤΟΣ'!Q57)</f>
        <v>-1.6978336534417906E-2</v>
      </c>
      <c r="R57" s="43">
        <f>LN('2.ΤΙΜΕΣ ΚΛΕΙΣΙΜΑΤΟΣ'!R58/'2.ΤΙΜΕΣ ΚΛΕΙΣΙΜΑΤΟΣ'!R57)</f>
        <v>2.9648693922129869E-2</v>
      </c>
      <c r="S57" s="43">
        <f>LN('2.ΤΙΜΕΣ ΚΛΕΙΣΙΜΑΤΟΣ'!S58/'2.ΤΙΜΕΣ ΚΛΕΙΣΙΜΑΤΟΣ'!S57)</f>
        <v>4.756841691910968E-2</v>
      </c>
      <c r="T57" s="43">
        <f>LN('2.ΤΙΜΕΣ ΚΛΕΙΣΙΜΑΤΟΣ'!T58/'2.ΤΙΜΕΣ ΚΛΕΙΣΙΜΑΤΟΣ'!T57)</f>
        <v>2.594339449202402E-2</v>
      </c>
      <c r="U57" s="43">
        <f>LN('2.ΤΙΜΕΣ ΚΛΕΙΣΙΜΑΤΟΣ'!U58/'2.ΤΙΜΕΣ ΚΛΕΙΣΙΜΑΤΟΣ'!U57)</f>
        <v>3.5091319811269978E-2</v>
      </c>
      <c r="V57" s="43">
        <f>LN('2.ΤΙΜΕΣ ΚΛΕΙΣΙΜΑΤΟΣ'!V58/'2.ΤΙΜΕΣ ΚΛΕΙΣΙΜΑΤΟΣ'!V57)</f>
        <v>-1.1507606851479802E-2</v>
      </c>
      <c r="W57" s="43">
        <f>LN('2.ΤΙΜΕΣ ΚΛΕΙΣΙΜΑΤΟΣ'!W58/'2.ΤΙΜΕΣ ΚΛΕΙΣΙΜΑΤΟΣ'!W57)</f>
        <v>1.8282044837448854E-2</v>
      </c>
      <c r="X57" s="43">
        <f>LN('2.ΤΙΜΕΣ ΚΛΕΙΣΙΜΑΤΟΣ'!X58/'2.ΤΙΜΕΣ ΚΛΕΙΣΙΜΑΤΟΣ'!X57)</f>
        <v>2.7426007350107784E-3</v>
      </c>
      <c r="Y57" s="43">
        <f>LN('2.ΤΙΜΕΣ ΚΛΕΙΣΙΜΑΤΟΣ'!Y58/'2.ΤΙΜΕΣ ΚΛΕΙΣΙΜΑΤΟΣ'!Y57)</f>
        <v>1.9578162694325201E-2</v>
      </c>
      <c r="Z57" s="43">
        <f>LN('2.ΤΙΜΕΣ ΚΛΕΙΣΙΜΑΤΟΣ'!Z58/'2.ΤΙΜΕΣ ΚΛΕΙΣΙΜΑΤΟΣ'!Z57)</f>
        <v>1.0291686036547724E-2</v>
      </c>
      <c r="AA57" s="43">
        <f>LN('2.ΤΙΜΕΣ ΚΛΕΙΣΙΜΑΤΟΣ'!AA58/'2.ΤΙΜΕΣ ΚΛΕΙΣΙΜΑΤΟΣ'!AA57)</f>
        <v>-4.1928782600359274E-3</v>
      </c>
      <c r="AB57" s="43">
        <f>LN('2.ΤΙΜΕΣ ΚΛΕΙΣΙΜΑΤΟΣ'!AB58/'2.ΤΙΜΕΣ ΚΛΕΙΣΙΜΑΤΟΣ'!AB57)</f>
        <v>1.9493794681001132E-2</v>
      </c>
      <c r="AC57" s="43">
        <f>LN('2.ΤΙΜΕΣ ΚΛΕΙΣΙΜΑΤΟΣ'!AC58/'2.ΤΙΜΕΣ ΚΛΕΙΣΙΜΑΤΟΣ'!AC57)</f>
        <v>2.7210901143605863E-3</v>
      </c>
      <c r="AD57" s="43">
        <f>LN('2.ΤΙΜΕΣ ΚΛΕΙΣΙΜΑΤΟΣ'!AD58/'2.ΤΙΜΕΣ ΚΛΕΙΣΙΜΑΤΟΣ'!AD57)</f>
        <v>8.1967672041784907E-3</v>
      </c>
      <c r="AE57" s="43">
        <f>LN('2.ΤΙΜΕΣ ΚΛΕΙΣΙΜΑΤΟΣ'!AE58/'2.ΤΙΜΕΣ ΚΛΕΙΣΙΜΑΤΟΣ'!AE57)</f>
        <v>-1.1131840368844181E-2</v>
      </c>
      <c r="AF57" s="43">
        <f>LN('2.ΤΙΜΕΣ ΚΛΕΙΣΙΜΑΤΟΣ'!AF58/'2.ΤΙΜΕΣ ΚΛΕΙΣΙΜΑΤΟΣ'!AF57)</f>
        <v>-1.0804971337541407E-3</v>
      </c>
      <c r="AG57" s="43">
        <f>LN('2.ΤΙΜΕΣ ΚΛΕΙΣΙΜΑΤΟΣ'!AG58/'2.ΤΙΜΕΣ ΚΛΕΙΣΙΜΑΤΟΣ'!AG57)</f>
        <v>-8.9612158689687166E-2</v>
      </c>
      <c r="AH57" s="43">
        <f>LN('2.ΤΙΜΕΣ ΚΛΕΙΣΙΜΑΤΟΣ'!AH58/'2.ΤΙΜΕΣ ΚΛΕΙΣΙΜΑΤΟΣ'!AH57)</f>
        <v>-1.1263192278710714E-2</v>
      </c>
      <c r="AI57" s="43">
        <f>LN('2.ΤΙΜΕΣ ΚΛΕΙΣΙΜΑΤΟΣ'!AI58/'2.ΤΙΜΕΣ ΚΛΕΙΣΙΜΑΤΟΣ'!AI57)</f>
        <v>0</v>
      </c>
      <c r="AJ57" s="43">
        <f>LN('2.ΤΙΜΕΣ ΚΛΕΙΣΙΜΑΤΟΣ'!AJ58/'2.ΤΙΜΕΣ ΚΛΕΙΣΙΜΑΤΟΣ'!AJ57)</f>
        <v>2.2574322038539194E-2</v>
      </c>
      <c r="AK57" s="43">
        <f>LN('2.ΤΙΜΕΣ ΚΛΕΙΣΙΜΑΤΟΣ'!AK58/'2.ΤΙΜΕΣ ΚΛΕΙΣΙΜΑΤΟΣ'!AK57)</f>
        <v>-1.9139340210697395E-2</v>
      </c>
      <c r="AL57" s="43">
        <f>LN('2.ΤΙΜΕΣ ΚΛΕΙΣΙΜΑΤΟΣ'!AL58/'2.ΤΙΜΕΣ ΚΛΕΙΣΙΜΑΤΟΣ'!AL57)</f>
        <v>-1.7094433359299954E-2</v>
      </c>
      <c r="AM57" s="43">
        <f>LN('2.ΤΙΜΕΣ ΚΛΕΙΣΙΜΑΤΟΣ'!AM58/'2.ΤΙΜΕΣ ΚΛΕΙΣΙΜΑΤΟΣ'!AM57)</f>
        <v>-4.7732787526577709E-3</v>
      </c>
      <c r="AN57" s="43">
        <f>LN('2.ΤΙΜΕΣ ΚΛΕΙΣΙΜΑΤΟΣ'!AN58/'2.ΤΙΜΕΣ ΚΛΕΙΣΙΜΑΤΟΣ'!AN57)</f>
        <v>2.3592182016820194E-2</v>
      </c>
      <c r="AO57" s="43">
        <f>LN('2.ΤΙΜΕΣ ΚΛΕΙΣΙΜΑΤΟΣ'!AO58/'2.ΤΙΜΕΣ ΚΛΕΙΣΙΜΑΤΟΣ'!AO57)</f>
        <v>6.1728591070810161E-3</v>
      </c>
      <c r="AP57" s="43">
        <f>LN('2.ΤΙΜΕΣ ΚΛΕΙΣΙΜΑΤΟΣ'!AP58/'2.ΤΙΜΕΣ ΚΛΕΙΣΙΜΑΤΟΣ'!AP57)</f>
        <v>-2.8025854850569479E-2</v>
      </c>
      <c r="AQ57" s="43">
        <f>LN('2.ΤΙΜΕΣ ΚΛΕΙΣΙΜΑΤΟΣ'!AQ58/'2.ΤΙΜΕΣ ΚΛΕΙΣΙΜΑΤΟΣ'!AQ57)</f>
        <v>0</v>
      </c>
      <c r="AR57" s="43">
        <f>LN('2.ΤΙΜΕΣ ΚΛΕΙΣΙΜΑΤΟΣ'!AR58/'2.ΤΙΜΕΣ ΚΛΕΙΣΙΜΑΤΟΣ'!AR57)</f>
        <v>-5.3715438019107647E-3</v>
      </c>
      <c r="AS57" s="43">
        <f>LN('2.ΤΙΜΕΣ ΚΛΕΙΣΙΜΑΤΟΣ'!AS58/'2.ΤΙΜΕΣ ΚΛΕΙΣΙΜΑΤΟΣ'!AS57)</f>
        <v>0</v>
      </c>
      <c r="AT57" s="43">
        <f>LN('2.ΤΙΜΕΣ ΚΛΕΙΣΙΜΑΤΟΣ'!AT58/'2.ΤΙΜΕΣ ΚΛΕΙΣΙΜΑΤΟΣ'!AT57)</f>
        <v>1.4778594096118683E-2</v>
      </c>
      <c r="AU57" s="43">
        <f>LN('2.ΤΙΜΕΣ ΚΛΕΙΣΙΜΑΤΟΣ'!AU58/'2.ΤΙΜΕΣ ΚΛΕΙΣΙΜΑΤΟΣ'!AU57)</f>
        <v>2.3157276836201649E-3</v>
      </c>
    </row>
    <row r="58" spans="1:47">
      <c r="A58" s="41">
        <v>43640</v>
      </c>
      <c r="B58" s="43">
        <f>LN('2.ΤΙΜΕΣ ΚΛΕΙΣΙΜΑΤΟΣ'!B59/'2.ΤΙΜΕΣ ΚΛΕΙΣΙΜΑΤΟΣ'!B58)</f>
        <v>-1.0409015914735526E-2</v>
      </c>
      <c r="C58" s="43">
        <f>LN('2.ΤΙΜΕΣ ΚΛΕΙΣΙΜΑΤΟΣ'!C59/'2.ΤΙΜΕΣ ΚΛΕΙΣΙΜΑΤΟΣ'!C58)</f>
        <v>1.8722565611555362E-2</v>
      </c>
      <c r="D58" s="43">
        <f>LN('2.ΤΙΜΕΣ ΚΛΕΙΣΙΜΑΤΟΣ'!D59/'2.ΤΙΜΕΣ ΚΛΕΙΣΙΜΑΤΟΣ'!D58)</f>
        <v>2.4238214818385256E-2</v>
      </c>
      <c r="E58" s="43">
        <f>LN('2.ΤΙΜΕΣ ΚΛΕΙΣΙΜΑΤΟΣ'!E59/'2.ΤΙΜΕΣ ΚΛΕΙΣΙΜΑΤΟΣ'!E58)</f>
        <v>-7.7774846126074468E-3</v>
      </c>
      <c r="F58" s="43">
        <f>LN('2.ΤΙΜΕΣ ΚΛΕΙΣΙΜΑΤΟΣ'!F59/'2.ΤΙΜΕΣ ΚΛΕΙΣΙΜΑΤΟΣ'!F58)</f>
        <v>1.5801683191322136E-2</v>
      </c>
      <c r="G58" s="43">
        <f>LN('2.ΤΙΜΕΣ ΚΛΕΙΣΙΜΑΤΟΣ'!G59/'2.ΤΙΜΕΣ ΚΛΕΙΣΙΜΑΤΟΣ'!G58)</f>
        <v>3.6652453982958738E-3</v>
      </c>
      <c r="H58" s="43">
        <f>LN('2.ΤΙΜΕΣ ΚΛΕΙΣΙΜΑΤΟΣ'!H59/'2.ΤΙΜΕΣ ΚΛΕΙΣΙΜΑΤΟΣ'!H58)</f>
        <v>2.4990529303574337E-2</v>
      </c>
      <c r="I58" s="43">
        <f>LN('2.ΤΙΜΕΣ ΚΛΕΙΣΙΜΑΤΟΣ'!I59/'2.ΤΙΜΕΣ ΚΛΕΙΣΙΜΑΤΟΣ'!I58)</f>
        <v>3.8981793070911853E-2</v>
      </c>
      <c r="J58" s="43">
        <f>LN('2.ΤΙΜΕΣ ΚΛΕΙΣΙΜΑΤΟΣ'!J59/'2.ΤΙΜΕΣ ΚΛΕΙΣΙΜΑΤΟΣ'!J58)</f>
        <v>4.9387357379178175E-2</v>
      </c>
      <c r="K58" s="43">
        <f>LN('2.ΤΙΜΕΣ ΚΛΕΙΣΙΜΑΤΟΣ'!K59/'2.ΤΙΜΕΣ ΚΛΕΙΣΙΜΑΤΟΣ'!K58)</f>
        <v>6.040761252130409E-3</v>
      </c>
      <c r="L58" s="43">
        <f>LN('2.ΤΙΜΕΣ ΚΛΕΙΣΙΜΑΤΟΣ'!L59/'2.ΤΙΜΕΣ ΚΛΕΙΣΙΜΑΤΟΣ'!L58)</f>
        <v>9.7848138799982703E-3</v>
      </c>
      <c r="M58" s="43">
        <f>LN('2.ΤΙΜΕΣ ΚΛΕΙΣΙΜΑΤΟΣ'!M59/'2.ΤΙΜΕΣ ΚΛΕΙΣΙΜΑΤΟΣ'!M58)</f>
        <v>2.9500664396697841E-2</v>
      </c>
      <c r="N58" s="43">
        <f>LN('2.ΤΙΜΕΣ ΚΛΕΙΣΙΜΑΤΟΣ'!N59/'2.ΤΙΜΕΣ ΚΛΕΙΣΙΜΑΤΟΣ'!N58)</f>
        <v>-7.119536066107276E-3</v>
      </c>
      <c r="O58" s="43">
        <f>LN('2.ΤΙΜΕΣ ΚΛΕΙΣΙΜΑΤΟΣ'!O59/'2.ΤΙΜΕΣ ΚΛΕΙΣΙΜΑΤΟΣ'!O58)</f>
        <v>1.4184634991956381E-2</v>
      </c>
      <c r="P58" s="43">
        <f>LN('2.ΤΙΜΕΣ ΚΛΕΙΣΙΜΑΤΟΣ'!P59/'2.ΤΙΜΕΣ ΚΛΕΙΣΙΜΑΤΟΣ'!P58)</f>
        <v>1.3096538919845718E-2</v>
      </c>
      <c r="Q58" s="43">
        <f>LN('2.ΤΙΜΕΣ ΚΛΕΙΣΙΜΑΤΟΣ'!Q59/'2.ΤΙΜΕΣ ΚΛΕΙΣΙΜΑΤΟΣ'!Q58)</f>
        <v>-6.8516617959639035E-4</v>
      </c>
      <c r="R58" s="43">
        <f>LN('2.ΤΙΜΕΣ ΚΛΕΙΣΙΜΑΤΟΣ'!R59/'2.ΤΙΜΕΣ ΚΛΕΙΣΙΜΑΤΟΣ'!R58)</f>
        <v>8.0906638612800286E-2</v>
      </c>
      <c r="S58" s="43">
        <f>LN('2.ΤΙΜΕΣ ΚΛΕΙΣΙΜΑΤΟΣ'!S59/'2.ΤΙΜΕΣ ΚΛΕΙΣΙΜΑΤΟΣ'!S58)</f>
        <v>6.0938640743228127E-3</v>
      </c>
      <c r="T58" s="43">
        <f>LN('2.ΤΙΜΕΣ ΚΛΕΙΣΙΜΑΤΟΣ'!T59/'2.ΤΙΜΕΣ ΚΛΕΙΣΙΜΑΤΟΣ'!T58)</f>
        <v>2.4097551579060524E-2</v>
      </c>
      <c r="U58" s="43">
        <f>LN('2.ΤΙΜΕΣ ΚΛΕΙΣΙΜΑΤΟΣ'!U59/'2.ΤΙΜΕΣ ΚΛΕΙΣΙΜΑΤΟΣ'!U58)</f>
        <v>-4.9382816405824544E-3</v>
      </c>
      <c r="V58" s="43">
        <f>LN('2.ΤΙΜΕΣ ΚΛΕΙΣΙΜΑΤΟΣ'!V59/'2.ΤΙΜΕΣ ΚΛΕΙΣΙΜΑΤΟΣ'!V58)</f>
        <v>1.8349138668196398E-2</v>
      </c>
      <c r="W58" s="43">
        <f>LN('2.ΤΙΜΕΣ ΚΛΕΙΣΙΜΑΤΟΣ'!W59/'2.ΤΙΜΕΣ ΚΛΕΙΣΙΜΑΤΟΣ'!W58)</f>
        <v>-1.5825041144396829E-2</v>
      </c>
      <c r="X58" s="43">
        <f>LN('2.ΤΙΜΕΣ ΚΛΕΙΣΙΜΑΤΟΣ'!X59/'2.ΤΙΜΕΣ ΚΛΕΙΣΙΜΑΤΟΣ'!X58)</f>
        <v>-2.7426007350108256E-3</v>
      </c>
      <c r="Y58" s="43">
        <f>LN('2.ΤΙΜΕΣ ΚΛΕΙΣΙΜΑΤΟΣ'!Y59/'2.ΤΙΜΕΣ ΚΛΕΙΣΙΜΑΤΟΣ'!Y58)</f>
        <v>-5.1151006667704887E-3</v>
      </c>
      <c r="Z58" s="43">
        <f>LN('2.ΤΙΜΕΣ ΚΛΕΙΣΙΜΑΤΟΣ'!Z59/'2.ΤΙΜΕΣ ΚΛΕΙΣΙΜΑΤΟΣ'!Z58)</f>
        <v>0</v>
      </c>
      <c r="AA58" s="43">
        <f>LN('2.ΤΙΜΕΣ ΚΛΕΙΣΙΜΑΤΟΣ'!AA59/'2.ΤΙΜΕΣ ΚΛΕΙΣΙΜΑΤΟΣ'!AA58)</f>
        <v>8.3682496705165792E-3</v>
      </c>
      <c r="AB58" s="43">
        <f>LN('2.ΤΙΜΕΣ ΚΛΕΙΣΙΜΑΤΟΣ'!AB59/'2.ΤΙΜΕΣ ΚΛΕΙΣΙΜΑΤΟΣ'!AB58)</f>
        <v>-5.8083415957467903E-3</v>
      </c>
      <c r="AC58" s="43">
        <f>LN('2.ΤΙΜΕΣ ΚΛΕΙΣΙΜΑΤΟΣ'!AC59/'2.ΤΙΜΕΣ ΚΛΕΙΣΙΜΑΤΟΣ'!AC58)</f>
        <v>-2.7210901143606132E-3</v>
      </c>
      <c r="AD58" s="43">
        <f>LN('2.ΤΙΜΕΣ ΚΛΕΙΣΙΜΑΤΟΣ'!AD59/'2.ΤΙΜΕΣ ΚΛΕΙΣΙΜΑΤΟΣ'!AD58)</f>
        <v>8.1301260832503091E-3</v>
      </c>
      <c r="AE58" s="43">
        <f>LN('2.ΤΙΜΕΣ ΚΛΕΙΣΙΜΑΤΟΣ'!AE59/'2.ΤΙΜΕΣ ΚΛΕΙΣΙΜΑΤΟΣ'!AE58)</f>
        <v>2.2141125877213501E-2</v>
      </c>
      <c r="AF58" s="43">
        <f>LN('2.ΤΙΜΕΣ ΚΛΕΙΣΙΜΑΤΟΣ'!AF59/'2.ΤΙΜΕΣ ΚΛΕΙΣΙΜΑΤΟΣ'!AF58)</f>
        <v>-1.0869672236903879E-2</v>
      </c>
      <c r="AG58" s="43">
        <f>LN('2.ΤΙΜΕΣ ΚΛΕΙΣΙΜΑΤΟΣ'!AG59/'2.ΤΙΜΕΣ ΚΛΕΙΣΙΜΑΤΟΣ'!AG58)</f>
        <v>5.4724899689246674E-2</v>
      </c>
      <c r="AH58" s="43">
        <f>LN('2.ΤΙΜΕΣ ΚΛΕΙΣΙΜΑΤΟΣ'!AH59/'2.ΤΙΜΕΣ ΚΛΕΙΣΙΜΑΤΟΣ'!AH58)</f>
        <v>2.949596053977039E-2</v>
      </c>
      <c r="AI58" s="43">
        <f>LN('2.ΤΙΜΕΣ ΚΛΕΙΣΙΜΑΤΟΣ'!AI59/'2.ΤΙΜΕΣ ΚΛΕΙΣΙΜΑΤΟΣ'!AI58)</f>
        <v>0</v>
      </c>
      <c r="AJ58" s="43">
        <f>LN('2.ΤΙΜΕΣ ΚΛΕΙΣΙΜΑΤΟΣ'!AJ59/'2.ΤΙΜΕΣ ΚΛΕΙΣΙΜΑΤΟΣ'!AJ58)</f>
        <v>-2.2574322038539176E-2</v>
      </c>
      <c r="AK58" s="43">
        <f>LN('2.ΤΙΜΕΣ ΚΛΕΙΣΙΜΑΤΟΣ'!AK59/'2.ΤΙΜΕΣ ΚΛΕΙΣΙΜΑΤΟΣ'!AK58)</f>
        <v>-1.4598799421152636E-2</v>
      </c>
      <c r="AL58" s="43">
        <f>LN('2.ΤΙΜΕΣ ΚΛΕΙΣΙΜΑΤΟΣ'!AL59/'2.ΤΙΜΕΣ ΚΛΕΙΣΙΜΑΤΟΣ'!AL58)</f>
        <v>4.2200354490376256E-2</v>
      </c>
      <c r="AM58" s="43">
        <f>LN('2.ΤΙΜΕΣ ΚΛΕΙΣΙΜΑΤΟΣ'!AM59/'2.ΤΙΜΕΣ ΚΛΕΙΣΙΜΑΤΟΣ'!AM58)</f>
        <v>-7.2029122940578854E-3</v>
      </c>
      <c r="AN58" s="43">
        <f>LN('2.ΤΙΜΕΣ ΚΛΕΙΣΙΜΑΤΟΣ'!AN59/'2.ΤΙΜΕΣ ΚΛΕΙΣΙΜΑΤΟΣ'!AN58)</f>
        <v>1.5424470325631731E-2</v>
      </c>
      <c r="AO58" s="43">
        <f>LN('2.ΤΙΜΕΣ ΚΛΕΙΣΙΜΑΤΟΣ'!AO59/'2.ΤΙΜΕΣ ΚΛΕΙΣΙΜΑΤΟΣ'!AO58)</f>
        <v>6.1349885675159293E-3</v>
      </c>
      <c r="AP58" s="43">
        <f>LN('2.ΤΙΜΕΣ ΚΛΕΙΣΙΜΑΤΟΣ'!AP59/'2.ΤΙΜΕΣ ΚΛΕΙΣΙΜΑΤΟΣ'!AP58)</f>
        <v>0</v>
      </c>
      <c r="AQ58" s="43">
        <f>LN('2.ΤΙΜΕΣ ΚΛΕΙΣΙΜΑΤΟΣ'!AQ59/'2.ΤΙΜΕΣ ΚΛΕΙΣΙΜΑΤΟΣ'!AQ58)</f>
        <v>6.2627177469605222E-2</v>
      </c>
      <c r="AR58" s="43">
        <f>LN('2.ΤΙΜΕΣ ΚΛΕΙΣΙΜΑΤΟΣ'!AR59/'2.ΤΙΜΕΣ ΚΛΕΙΣΙΜΑΤΟΣ'!AR58)</f>
        <v>2.4823969728726199E-2</v>
      </c>
      <c r="AS58" s="43">
        <f>LN('2.ΤΙΜΕΣ ΚΛΕΙΣΙΜΑΤΟΣ'!AS59/'2.ΤΙΜΕΣ ΚΛΕΙΣΙΜΑΤΟΣ'!AS58)</f>
        <v>2.3905520853554386E-2</v>
      </c>
      <c r="AT58" s="43">
        <f>LN('2.ΤΙΜΕΣ ΚΛΕΙΣΙΜΑΤΟΣ'!AT59/'2.ΤΙΜΕΣ ΚΛΕΙΣΙΜΑΤΟΣ'!AT58)</f>
        <v>2.1766276481954505E-2</v>
      </c>
      <c r="AU58" s="43">
        <f>LN('2.ΤΙΜΕΣ ΚΛΕΙΣΙΜΑΤΟΣ'!AU59/'2.ΤΙΜΕΣ ΚΛΕΙΣΙΜΑΤΟΣ'!AU58)</f>
        <v>1.2594430930278476E-2</v>
      </c>
    </row>
    <row r="59" spans="1:47">
      <c r="A59" s="41">
        <v>43641</v>
      </c>
      <c r="B59" s="43">
        <f>LN('2.ΤΙΜΕΣ ΚΛΕΙΣΙΜΑΤΟΣ'!B60/'2.ΤΙΜΕΣ ΚΛΕΙΣΙΜΑΤΟΣ'!B59)</f>
        <v>1.0113114151960902E-2</v>
      </c>
      <c r="C59" s="43">
        <f>LN('2.ΤΙΜΕΣ ΚΛΕΙΣΙΜΑΤΟΣ'!C60/'2.ΤΙΜΕΣ ΚΛΕΙΣΙΜΑΤΟΣ'!C59)</f>
        <v>8.0321716972642527E-3</v>
      </c>
      <c r="D59" s="43">
        <f>LN('2.ΤΙΜΕΣ ΚΛΕΙΣΙΜΑΤΟΣ'!D60/'2.ΤΙΜΕΣ ΚΛΕΙΣΙΜΑΤΟΣ'!D59)</f>
        <v>-1.5762320230795344E-2</v>
      </c>
      <c r="E59" s="43">
        <f>LN('2.ΤΙΜΕΣ ΚΛΕΙΣΙΜΑΤΟΣ'!E60/'2.ΤΙΜΕΣ ΚΛΕΙΣΙΜΑΤΟΣ'!E59)</f>
        <v>-9.0498355199178145E-3</v>
      </c>
      <c r="F59" s="43">
        <f>LN('2.ΤΙΜΕΣ ΚΛΕΙΣΙΜΑΤΟΣ'!F60/'2.ΤΙΜΕΣ ΚΛΕΙΣΙΜΑΤΟΣ'!F59)</f>
        <v>4.4692811822972644E-3</v>
      </c>
      <c r="G59" s="43">
        <f>LN('2.ΤΙΜΕΣ ΚΛΕΙΣΙΜΑΤΟΣ'!G60/'2.ΤΙΜΕΣ ΚΛΕΙΣΙΜΑΤΟΣ'!G59)</f>
        <v>-1.59806719883499E-2</v>
      </c>
      <c r="H59" s="43">
        <f>LN('2.ΤΙΜΕΣ ΚΛΕΙΣΙΜΑΤΟΣ'!H60/'2.ΤΙΜΕΣ ΚΛΕΙΣΙΜΑΤΟΣ'!H59)</f>
        <v>-1.7035779247838538E-3</v>
      </c>
      <c r="I59" s="43">
        <f>LN('2.ΤΙΜΕΣ ΚΛΕΙΣΙΜΑΤΟΣ'!I60/'2.ΤΙΜΕΣ ΚΛΕΙΣΙΜΑΤΟΣ'!I59)</f>
        <v>-1.7475587849948286E-2</v>
      </c>
      <c r="J59" s="43">
        <f>LN('2.ΤΙΜΕΣ ΚΛΕΙΣΙΜΑΤΟΣ'!J60/'2.ΤΙΜΕΣ ΚΛΕΙΣΙΜΑΤΟΣ'!J59)</f>
        <v>-1.9376278963138833E-2</v>
      </c>
      <c r="K59" s="43">
        <f>LN('2.ΤΙΜΕΣ ΚΛΕΙΣΙΜΑΤΟΣ'!K60/'2.ΤΙΜΕΣ ΚΛΕΙΣΙΜΑΤΟΣ'!K59)</f>
        <v>6.0044894552537297E-3</v>
      </c>
      <c r="L59" s="43">
        <f>LN('2.ΤΙΜΕΣ ΚΛΕΙΣΙΜΑΤΟΣ'!L60/'2.ΤΙΜΕΣ ΚΛΕΙΣΙΜΑΤΟΣ'!L59)</f>
        <v>-1.6691600093253114E-2</v>
      </c>
      <c r="M59" s="43">
        <f>LN('2.ΤΙΜΕΣ ΚΛΕΙΣΙΜΑΤΟΣ'!M60/'2.ΤΙΜΕΣ ΚΛΕΙΣΙΜΑΤΟΣ'!M59)</f>
        <v>0</v>
      </c>
      <c r="N59" s="43">
        <f>LN('2.ΤΙΜΕΣ ΚΛΕΙΣΙΜΑΤΟΣ'!N60/'2.ΤΙΜΕΣ ΚΛΕΙΣΙΜΑΤΟΣ'!N59)</f>
        <v>-2.7743319247694989E-3</v>
      </c>
      <c r="O59" s="43">
        <f>LN('2.ΤΙΜΕΣ ΚΛΕΙΣΙΜΑΤΟΣ'!O60/'2.ΤΙΜΕΣ ΚΛΕΙΣΙΜΑΤΟΣ'!O59)</f>
        <v>-1.4094435032336043E-3</v>
      </c>
      <c r="P59" s="43">
        <f>LN('2.ΤΙΜΕΣ ΚΛΕΙΣΙΜΑΤΟΣ'!P60/'2.ΤΙΜΕΣ ΚΛΕΙΣΙΜΑΤΟΣ'!P59)</f>
        <v>7.4074412778618176E-3</v>
      </c>
      <c r="Q59" s="43">
        <f>LN('2.ΤΙΜΕΣ ΚΛΕΙΣΙΜΑΤΟΣ'!Q60/'2.ΤΙΜΕΣ ΚΛΕΙΣΙΜΑΤΟΣ'!Q59)</f>
        <v>-1.3108155952739436E-2</v>
      </c>
      <c r="R59" s="43">
        <f>LN('2.ΤΙΜΕΣ ΚΛΕΙΣΙΜΑΤΟΣ'!R60/'2.ΤΙΜΕΣ ΚΛΕΙΣΙΜΑΤΟΣ'!R59)</f>
        <v>-2.8911343494420035E-2</v>
      </c>
      <c r="S59" s="43">
        <f>LN('2.ΤΙΜΕΣ ΚΛΕΙΣΙΜΑΤΟΣ'!S60/'2.ΤΙΜΕΣ ΚΛΕΙΣΙΜΑΤΟΣ'!S59)</f>
        <v>2.5196293918887266E-2</v>
      </c>
      <c r="T59" s="43">
        <f>LN('2.ΤΙΜΕΣ ΚΛΕΙΣΙΜΑΤΟΣ'!T60/'2.ΤΙΜΕΣ ΚΛΕΙΣΙΜΑΤΟΣ'!T59)</f>
        <v>-3.0213778596496595E-2</v>
      </c>
      <c r="U59" s="43">
        <f>LN('2.ΤΙΜΕΣ ΚΛΕΙΣΙΜΑΤΟΣ'!U60/'2.ΤΙΜΕΣ ΚΛΕΙΣΙΜΑΤΟΣ'!U59)</f>
        <v>2.4721891453890728E-3</v>
      </c>
      <c r="V59" s="43">
        <f>LN('2.ΤΙΜΕΣ ΚΛΕΙΣΙΜΑΤΟΣ'!V60/'2.ΤΙΜΕΣ ΚΛΕΙΣΙΜΑΤΟΣ'!V59)</f>
        <v>2.4692612590371633E-2</v>
      </c>
      <c r="W59" s="43">
        <f>LN('2.ΤΙΜΕΣ ΚΛΕΙΣΙΜΑΤΟΣ'!W60/'2.ΤΙΜΕΣ ΚΛΕΙΣΙΜΑΤΟΣ'!W59)</f>
        <v>-6.1538655743783354E-3</v>
      </c>
      <c r="X59" s="43">
        <f>LN('2.ΤΙΜΕΣ ΚΛΕΙΣΙΜΑΤΟΣ'!X60/'2.ΤΙΜΕΣ ΚΛΕΙΣΙΜΑΤΟΣ'!X59)</f>
        <v>-7.9474913492426792E-3</v>
      </c>
      <c r="Y59" s="43">
        <f>LN('2.ΤΙΜΕΣ ΚΛΕΙΣΙΜΑΤΟΣ'!Y60/'2.ΤΙΜΕΣ ΚΛΕΙΣΙΜΑΤΟΣ'!Y59)</f>
        <v>3.0721990369700588E-3</v>
      </c>
      <c r="Z59" s="43">
        <f>LN('2.ΤΙΜΕΣ ΚΛΕΙΣΙΜΑΤΟΣ'!Z60/'2.ΤΙΜΕΣ ΚΛΕΙΣΙΜΑΤΟΣ'!Z59)</f>
        <v>3.4071583216141346E-3</v>
      </c>
      <c r="AA59" s="43">
        <f>LN('2.ΤΙΜΕΣ ΚΛΕΙΣΙΜΑΤΟΣ'!AA60/'2.ΤΙΜΕΣ ΚΛΕΙΣΙΜΑΤΟΣ'!AA59)</f>
        <v>3.9220713153281329E-2</v>
      </c>
      <c r="AB59" s="43">
        <f>LN('2.ΤΙΜΕΣ ΚΛΕΙΣΙΜΑΤΟΣ'!AB60/'2.ΤΙΜΕΣ ΚΛΕΙΣΙΜΑΤΟΣ'!AB59)</f>
        <v>-3.5576874567107564E-2</v>
      </c>
      <c r="AC59" s="43">
        <f>LN('2.ΤΙΜΕΣ ΚΛΕΙΣΙΜΑΤΟΣ'!AC60/'2.ΤΙΜΕΣ ΚΛΕΙΣΙΜΑΤΟΣ'!AC59)</f>
        <v>0</v>
      </c>
      <c r="AD59" s="43">
        <f>LN('2.ΤΙΜΕΣ ΚΛΕΙΣΙΜΑΤΟΣ'!AD60/'2.ΤΙΜΕΣ ΚΛΕΙΣΙΜΑΤΟΣ'!AD59)</f>
        <v>1.207258123426924E-2</v>
      </c>
      <c r="AE59" s="43">
        <f>LN('2.ΤΙΜΕΣ ΚΛΕΙΣΙΜΑΤΟΣ'!AE60/'2.ΤΙΜΕΣ ΚΛΕΙΣΙΜΑΤΟΣ'!AE59)</f>
        <v>-1.4706147389695449E-2</v>
      </c>
      <c r="AF59" s="43">
        <f>LN('2.ΤΙΜΕΣ ΚΛΕΙΣΙΜΑΤΟΣ'!AF60/'2.ΤΙΜΕΣ ΚΛΕΙΣΙΜΑΤΟΣ'!AF59)</f>
        <v>3.4375027910556792E-2</v>
      </c>
      <c r="AG59" s="43">
        <f>LN('2.ΤΙΜΕΣ ΚΛΕΙΣΙΜΑΤΟΣ'!AG60/'2.ΤΙΜΕΣ ΚΛΕΙΣΙΜΑΤΟΣ'!AG59)</f>
        <v>-3.9525743158233583E-3</v>
      </c>
      <c r="AH59" s="43">
        <f>LN('2.ΤΙΜΕΣ ΚΛΕΙΣΙΜΑΤΟΣ'!AH60/'2.ΤΙΜΕΣ ΚΛΕΙΣΙΜΑΤΟΣ'!AH59)</f>
        <v>-2.3594191047695283E-3</v>
      </c>
      <c r="AI59" s="43">
        <f>LN('2.ΤΙΜΕΣ ΚΛΕΙΣΙΜΑΤΟΣ'!AI60/'2.ΤΙΜΕΣ ΚΛΕΙΣΙΜΑΤΟΣ'!AI59)</f>
        <v>-1.6000341346441075E-2</v>
      </c>
      <c r="AJ59" s="43">
        <f>LN('2.ΤΙΜΕΣ ΚΛΕΙΣΙΜΑΤΟΣ'!AJ60/'2.ΤΙΜΕΣ ΚΛΕΙΣΙΜΑΤΟΣ'!AJ59)</f>
        <v>-9.1743762760412694E-3</v>
      </c>
      <c r="AK59" s="43">
        <f>LN('2.ΤΙΜΕΣ ΚΛΕΙΣΙΜΑΤΟΣ'!AK60/'2.ΤΙΜΕΣ ΚΛΕΙΣΙΜΑΤΟΣ'!AK59)</f>
        <v>0</v>
      </c>
      <c r="AL59" s="43">
        <f>LN('2.ΤΙΜΕΣ ΚΛΕΙΣΙΜΑΤΟΣ'!AL60/'2.ΤΙΜΕΣ ΚΛΕΙΣΙΜΑΤΟΣ'!AL59)</f>
        <v>-1.6667052485211761E-2</v>
      </c>
      <c r="AM59" s="43">
        <f>LN('2.ΤΙΜΕΣ ΚΛΕΙΣΙΜΑΤΟΣ'!AM60/'2.ΤΙΜΕΣ ΚΛΕΙΣΙΜΑΤΟΣ'!AM59)</f>
        <v>2.1454935001259466E-2</v>
      </c>
      <c r="AN59" s="43">
        <f>LN('2.ΤΙΜΕΣ ΚΛΕΙΣΙΜΑΤΟΣ'!AN60/'2.ΤΙΜΕΣ ΚΛΕΙΣΙΜΑΤΟΣ'!AN59)</f>
        <v>1.2674440896727861E-2</v>
      </c>
      <c r="AO59" s="43">
        <f>LN('2.ΤΙΜΕΣ ΚΛΕΙΣΙΜΑΤΟΣ'!AO60/'2.ΤΙΜΕΣ ΚΛΕΙΣΙΜΑΤΟΣ'!AO59)</f>
        <v>-1.5408625352845068E-2</v>
      </c>
      <c r="AP59" s="43">
        <f>LN('2.ΤΙΜΕΣ ΚΛΕΙΣΙΜΑΤΟΣ'!AP60/'2.ΤΙΜΕΣ ΚΛΕΙΣΙΜΑΤΟΣ'!AP59)</f>
        <v>-2.9044458407890428E-3</v>
      </c>
      <c r="AQ59" s="43">
        <f>LN('2.ΤΙΜΕΣ ΚΛΕΙΣΙΜΑΤΟΣ'!AQ60/'2.ΤΙΜΕΣ ΚΛΕΙΣΙΜΑΤΟΣ'!AQ59)</f>
        <v>-6.6445427186686131E-3</v>
      </c>
      <c r="AR59" s="43">
        <f>LN('2.ΤΙΜΕΣ ΚΛΕΙΣΙΜΑΤΟΣ'!AR60/'2.ΤΙΜΕΣ ΚΛΕΙΣΙΜΑΤΟΣ'!AR59)</f>
        <v>-8.795131452827289E-3</v>
      </c>
      <c r="AS59" s="43">
        <f>LN('2.ΤΙΜΕΣ ΚΛΕΙΣΙΜΑΤΟΣ'!AS60/'2.ΤΙΜΕΣ ΚΛΕΙΣΙΜΑΤΟΣ'!AS59)</f>
        <v>0</v>
      </c>
      <c r="AT59" s="43">
        <f>LN('2.ΤΙΜΕΣ ΚΛΕΙΣΙΜΑΤΟΣ'!AT60/'2.ΤΙΜΕΣ ΚΛΕΙΣΙΜΑΤΟΣ'!AT59)</f>
        <v>-2.6668247082161294E-2</v>
      </c>
      <c r="AU59" s="43">
        <f>LN('2.ΤΙΜΕΣ ΚΛΕΙΣΙΜΑΤΟΣ'!AU60/'2.ΤΙΜΕΣ ΚΛΕΙΣΙΜΑΤΟΣ'!AU59)</f>
        <v>-3.1721537675958498E-3</v>
      </c>
    </row>
    <row r="60" spans="1:47">
      <c r="A60" s="41">
        <v>43642</v>
      </c>
      <c r="B60" s="43">
        <f>LN('2.ΤΙΜΕΣ ΚΛΕΙΣΙΜΑΤΟΣ'!B61/'2.ΤΙΜΕΣ ΚΛΕΙΣΙΜΑΤΟΣ'!B60)</f>
        <v>2.0504526222551028E-2</v>
      </c>
      <c r="C60" s="43">
        <f>LN('2.ΤΙΜΕΣ ΚΛΕΙΣΙΜΑΤΟΣ'!C61/'2.ΤΙΜΕΣ ΚΛΕΙΣΙΜΑΤΟΣ'!C60)</f>
        <v>7.9681696491768813E-3</v>
      </c>
      <c r="D60" s="43">
        <f>LN('2.ΤΙΜΕΣ ΚΛΕΙΣΙΜΑΤΟΣ'!D61/'2.ΤΙΜΕΣ ΚΛΕΙΣΙΜΑΤΟΣ'!D60)</f>
        <v>-5.8157703901277939E-2</v>
      </c>
      <c r="E60" s="43">
        <f>LN('2.ΤΙΜΕΣ ΚΛΕΙΣΙΜΑΤΟΣ'!E61/'2.ΤΙΜΕΣ ΚΛΕΙΣΙΜΑΤΟΣ'!E60)</f>
        <v>1.2048338516174355E-2</v>
      </c>
      <c r="F60" s="43">
        <f>LN('2.ΤΙΜΕΣ ΚΛΕΙΣΙΜΑΤΟΣ'!F61/'2.ΤΙΜΕΣ ΚΛΕΙΣΙΜΑΤΟΣ'!F60)</f>
        <v>-3.3500868852820854E-3</v>
      </c>
      <c r="G60" s="43">
        <f>LN('2.ΤΙΜΕΣ ΚΛΕΙΣΙΜΑΤΟΣ'!G61/'2.ΤΙΜΕΣ ΚΛΕΙΣΙΜΑΤΟΣ'!G60)</f>
        <v>1.5980671988349869E-2</v>
      </c>
      <c r="H60" s="43">
        <f>LN('2.ΤΙΜΕΣ ΚΛΕΙΣΙΜΑΤΟΣ'!H61/'2.ΤΙΜΕΣ ΚΛΕΙΣΙΜΑΤΟΣ'!H60)</f>
        <v>-9.4219112416190128E-3</v>
      </c>
      <c r="I60" s="43">
        <f>LN('2.ΤΙΜΕΣ ΚΛΕΙΣΙΜΑΤΟΣ'!I61/'2.ΤΙΜΕΣ ΚΛΕΙΣΙΜΑΤΟΣ'!I60)</f>
        <v>2.6396253608327876E-2</v>
      </c>
      <c r="J60" s="43">
        <f>LN('2.ΤΙΜΕΣ ΚΛΕΙΣΙΜΑΤΟΣ'!J61/'2.ΤΙΜΕΣ ΚΛΕΙΣΙΜΑΤΟΣ'!J60)</f>
        <v>1.7241806434506173E-2</v>
      </c>
      <c r="K60" s="43">
        <f>LN('2.ΤΙΜΕΣ ΚΛΕΙΣΙΜΑΤΟΣ'!K61/'2.ΤΙΜΕΣ ΚΛΕΙΣΙΜΑΤΟΣ'!K60)</f>
        <v>3.295005256813717E-2</v>
      </c>
      <c r="L60" s="43">
        <f>LN('2.ΤΙΜΕΣ ΚΛΕΙΣΙΜΑΤΟΣ'!L61/'2.ΤΙΜΕΣ ΚΛΕΙΣΙΜΑΤΟΣ'!L60)</f>
        <v>0</v>
      </c>
      <c r="M60" s="43">
        <f>LN('2.ΤΙΜΕΣ ΚΛΕΙΣΙΜΑΤΟΣ'!M61/'2.ΤΙΜΕΣ ΚΛΕΙΣΙΜΑΤΟΣ'!M60)</f>
        <v>-1.1634672632980698E-3</v>
      </c>
      <c r="N60" s="43">
        <f>LN('2.ΤΙΜΕΣ ΚΛΕΙΣΙΜΑΤΟΣ'!N61/'2.ΤΙΜΕΣ ΚΛΕΙΣΙΜΑΤΟΣ'!N60)</f>
        <v>7.1392450094705925E-3</v>
      </c>
      <c r="O60" s="43">
        <f>LN('2.ΤΙΜΕΣ ΚΛΕΙΣΙΜΑΤΟΣ'!O61/'2.ΤΙΜΕΣ ΚΛΕΙΣΙΜΑΤΟΣ'!O60)</f>
        <v>2.2316128322547243E-2</v>
      </c>
      <c r="P60" s="43">
        <f>LN('2.ΤΙΜΕΣ ΚΛΕΙΣΙΜΑΤΟΣ'!P61/'2.ΤΙΜΕΣ ΚΛΕΙΣΙΜΑΤΟΣ'!P60)</f>
        <v>1.8282044837449073E-2</v>
      </c>
      <c r="Q60" s="43">
        <f>LN('2.ΤΙΜΕΣ ΚΛΕΙΣΙΜΑΤΟΣ'!Q61/'2.ΤΙΜΕΣ ΚΛΕΙΣΙΜΑΤΟΣ'!Q60)</f>
        <v>1.0362787035546658E-2</v>
      </c>
      <c r="R60" s="43">
        <f>LN('2.ΤΙΜΕΣ ΚΛΕΙΣΙΜΑΤΟΣ'!R61/'2.ΤΙΜΕΣ ΚΛΕΙΣΙΜΑΤΟΣ'!R60)</f>
        <v>6.9094083009347109E-3</v>
      </c>
      <c r="S60" s="43">
        <f>LN('2.ΤΙΜΕΣ ΚΛΕΙΣΙΜΑΤΟΣ'!S61/'2.ΤΙΜΕΣ ΚΛΕΙΣΙΜΑΤΟΣ'!S60)</f>
        <v>-3.5608346230089579E-3</v>
      </c>
      <c r="T60" s="43">
        <f>LN('2.ΤΙΜΕΣ ΚΛΕΙΣΙΜΑΤΟΣ'!T61/'2.ΤΙΜΕΣ ΚΛΕΙΣΙΜΑΤΟΣ'!T60)</f>
        <v>3.3778844760992771E-2</v>
      </c>
      <c r="U60" s="43">
        <f>LN('2.ΤΙΜΕΣ ΚΛΕΙΣΙΜΑΤΟΣ'!U61/'2.ΤΙΜΕΣ ΚΛΕΙΣΙΜΑΤΟΣ'!U60)</f>
        <v>7.3801072976226803E-3</v>
      </c>
      <c r="V60" s="43">
        <f>LN('2.ΤΙΜΕΣ ΚΛΕΙΣΙΜΑΤΟΣ'!V61/'2.ΤΙΜΕΣ ΚΛΕΙΣΙΜΑΤΟΣ'!V60)</f>
        <v>-1.11483874826143E-2</v>
      </c>
      <c r="W60" s="43">
        <f>LN('2.ΤΙΜΕΣ ΚΛΕΙΣΙΜΑΤΟΣ'!W61/'2.ΤΙΜΕΣ ΚΛΕΙΣΙΜΑΤΟΣ'!W60)</f>
        <v>2.4391453124159263E-2</v>
      </c>
      <c r="X60" s="43">
        <f>LN('2.ΤΙΜΕΣ ΚΛΕΙΣΙΜΑΤΟΣ'!X61/'2.ΤΙΜΕΣ ΚΛΕΙΣΙΜΑΤΟΣ'!X60)</f>
        <v>1.0690092084253556E-2</v>
      </c>
      <c r="Y60" s="43">
        <f>LN('2.ΤΙΜΕΣ ΚΛΕΙΣΙΜΑΤΟΣ'!Y61/'2.ΤΙΜΕΣ ΚΛΕΙΣΙΜΑΤΟΣ'!Y60)</f>
        <v>2.042901629800331E-3</v>
      </c>
      <c r="Z60" s="43">
        <f>LN('2.ΤΙΜΕΣ ΚΛΕΙΣΙΜΑΤΟΣ'!Z61/'2.ΤΙΜΕΣ ΚΛΕΙΣΙΜΑΤΟΣ'!Z60)</f>
        <v>0</v>
      </c>
      <c r="AA60" s="43">
        <f>LN('2.ΤΙΜΕΣ ΚΛΕΙΣΙΜΑΤΟΣ'!AA61/'2.ΤΙΜΕΣ ΚΛΕΙΣΙΜΑΤΟΣ'!AA60)</f>
        <v>6.3897980987709883E-3</v>
      </c>
      <c r="AB60" s="43">
        <f>LN('2.ΤΙΜΕΣ ΚΛΕΙΣΙΜΑΤΟΣ'!AB61/'2.ΤΙΜΕΣ ΚΛΕΙΣΙΜΑΤΟΣ'!AB60)</f>
        <v>6.018072325563166E-3</v>
      </c>
      <c r="AC60" s="43">
        <f>LN('2.ΤΙΜΕΣ ΚΛΕΙΣΙΜΑΤΟΣ'!AC61/'2.ΤΙΜΕΣ ΚΛΕΙΣΙΜΑΤΟΣ'!AC60)</f>
        <v>-5.4644944720787375E-3</v>
      </c>
      <c r="AD60" s="43">
        <f>LN('2.ΤΙΜΕΣ ΚΛΕΙΣΙΜΑΤΟΣ'!AD61/'2.ΤΙΜΕΣ ΚΛΕΙΣΙΜΑΤΟΣ'!AD60)</f>
        <v>1.3245226750020723E-2</v>
      </c>
      <c r="AE60" s="43">
        <f>LN('2.ΤΙΜΕΣ ΚΛΕΙΣΙΜΑΤΟΣ'!AE61/'2.ΤΙΜΕΣ ΚΛΕΙΣΙΜΑΤΟΣ'!AE60)</f>
        <v>0</v>
      </c>
      <c r="AF60" s="43">
        <f>LN('2.ΤΙΜΕΣ ΚΛΕΙΣΙΜΑΤΟΣ'!AF61/'2.ΤΙΜΕΣ ΚΛΕΙΣΙΜΑΤΟΣ'!AF60)</f>
        <v>1.8829008152907778E-2</v>
      </c>
      <c r="AG60" s="43">
        <f>LN('2.ΤΙΜΕΣ ΚΛΕΙΣΙΜΑΤΟΣ'!AG61/'2.ΤΙΜΕΣ ΚΛΕΙΣΙΜΑΤΟΣ'!AG60)</f>
        <v>-3.0153038170687558E-2</v>
      </c>
      <c r="AH60" s="43">
        <f>LN('2.ΤΙΜΕΣ ΚΛΕΙΣΙΜΑΤΟΣ'!AH61/'2.ΤΙΜΕΣ ΚΛΕΙΣΙΜΑΤΟΣ'!AH60)</f>
        <v>1.7948199319220447E-2</v>
      </c>
      <c r="AI60" s="43">
        <f>LN('2.ΤΙΜΕΣ ΚΛΕΙΣΙΜΑΤΟΣ'!AI61/'2.ΤΙΜΕΣ ΚΛΕΙΣΙΜΑΤΟΣ'!AI60)</f>
        <v>0</v>
      </c>
      <c r="AJ60" s="43">
        <f>LN('2.ΤΙΜΕΣ ΚΛΕΙΣΙΜΑΤΟΣ'!AJ61/'2.ΤΙΜΕΣ ΚΛΕΙΣΙΜΑΤΟΣ'!AJ60)</f>
        <v>4.5977092486295494E-3</v>
      </c>
      <c r="AK60" s="43">
        <f>LN('2.ΤΙΜΕΣ ΚΛΕΙΣΙΜΑΤΟΣ'!AK61/'2.ΤΙΜΕΣ ΚΛΕΙΣΙΜΑΤΟΣ'!AK60)</f>
        <v>-1.4815085785140812E-2</v>
      </c>
      <c r="AL60" s="43">
        <f>LN('2.ΤΙΜΕΣ ΚΛΕΙΣΙΜΑΤΟΣ'!AL61/'2.ΤΙΜΕΣ ΚΛΕΙΣΙΜΑΤΟΣ'!AL60)</f>
        <v>8.3682496705165792E-3</v>
      </c>
      <c r="AM60" s="43">
        <f>LN('2.ΤΙΜΕΣ ΚΛΕΙΣΙΜΑΤΟΣ'!AM61/'2.ΤΙΜΕΣ ΚΛΕΙΣΙΜΑΤΟΣ'!AM60)</f>
        <v>-2.3612761856797088E-3</v>
      </c>
      <c r="AN60" s="43">
        <f>LN('2.ΤΙΜΕΣ ΚΛΕΙΣΙΜΑΤΟΣ'!AN61/'2.ΤΙΜΕΣ ΚΛΕΙΣΙΜΑΤΟΣ'!AN60)</f>
        <v>-2.2930941063917017E-2</v>
      </c>
      <c r="AO60" s="43">
        <f>LN('2.ΤΙΜΕΣ ΚΛΕΙΣΙΜΑΤΟΣ'!AO61/'2.ΤΙΜΕΣ ΚΛΕΙΣΙΜΑΤΟΣ'!AO60)</f>
        <v>-6.2305497506360864E-3</v>
      </c>
      <c r="AP60" s="43">
        <f>LN('2.ΤΙΜΕΣ ΚΛΕΙΣΙΜΑΤΟΣ'!AP61/'2.ΤΙΜΕΣ ΚΛΕΙΣΙΜΑΤΟΣ'!AP60)</f>
        <v>-2.9129062251242403E-3</v>
      </c>
      <c r="AQ60" s="43">
        <f>LN('2.ΤΙΜΕΣ ΚΛΕΙΣΙΜΑΤΟΣ'!AQ61/'2.ΤΙΜΕΣ ΚΛΕΙΣΙΜΑΤΟΣ'!AQ60)</f>
        <v>3.3277900926747457E-3</v>
      </c>
      <c r="AR60" s="43">
        <f>LN('2.ΤΙΜΕΣ ΚΛΕΙΣΙΜΑΤΟΣ'!AR61/'2.ΤΙΜΕΣ ΚΛΕΙΣΙΜΑΤΟΣ'!AR60)</f>
        <v>6.1663367105638113E-2</v>
      </c>
      <c r="AS60" s="43">
        <f>LN('2.ΤΙΜΕΣ ΚΛΕΙΣΙΜΑΤΟΣ'!AS61/'2.ΤΙΜΕΣ ΚΛΕΙΣΙΜΑΤΟΣ'!AS60)</f>
        <v>0</v>
      </c>
      <c r="AT60" s="43">
        <f>LN('2.ΤΙΜΕΣ ΚΛΕΙΣΙΜΑΤΟΣ'!AT61/'2.ΤΙΜΕΣ ΚΛΕΙΣΙΜΑΤΟΣ'!AT60)</f>
        <v>-2.4600258408622E-3</v>
      </c>
      <c r="AU60" s="43">
        <f>LN('2.ΤΙΜΕΣ ΚΛΕΙΣΙΜΑΤΟΣ'!AU61/'2.ΤΙΜΕΣ ΚΛΕΙΣΙΜΑΤΟΣ'!AU60)</f>
        <v>6.6041807373967854E-3</v>
      </c>
    </row>
    <row r="61" spans="1:47">
      <c r="A61" s="41">
        <v>43643</v>
      </c>
      <c r="B61" s="43">
        <f>LN('2.ΤΙΜΕΣ ΚΛΕΙΣΙΜΑΤΟΣ'!B62/'2.ΤΙΜΕΣ ΚΛΕΙΣΙΜΑΤΟΣ'!B61)</f>
        <v>-1.4507473892196212E-3</v>
      </c>
      <c r="C61" s="43">
        <f>LN('2.ΤΙΜΕΣ ΚΛΕΙΣΙΜΑΤΟΣ'!C62/'2.ΤΙΜΕΣ ΚΛΕΙΣΙΜΑΤΟΣ'!C61)</f>
        <v>2.0424904852040942E-2</v>
      </c>
      <c r="D61" s="43">
        <f>LN('2.ΤΙΜΕΣ ΚΛΕΙΣΙΜΑΤΟΣ'!D62/'2.ΤΙΜΕΣ ΚΛΕΙΣΙΜΑΤΟΣ'!D61)</f>
        <v>3.0063423005240654E-2</v>
      </c>
      <c r="E61" s="43">
        <f>LN('2.ΤΙΜΕΣ ΚΛΕΙΣΙΜΑΤΟΣ'!E62/'2.ΤΙΜΕΣ ΚΛΕΙΣΙΜΑΤΟΣ'!E61)</f>
        <v>0</v>
      </c>
      <c r="F61" s="43">
        <f>LN('2.ΤΙΜΕΣ ΚΛΕΙΣΙΜΑΤΟΣ'!F62/'2.ΤΙΜΕΣ ΚΛΕΙΣΙΜΑΤΟΣ'!F61)</f>
        <v>2.3218290102007301E-2</v>
      </c>
      <c r="G61" s="43">
        <f>LN('2.ΤΙΜΕΣ ΚΛΕΙΣΙΜΑΤΟΣ'!G62/'2.ΤΙΜΕΣ ΚΛΕΙΣΙΜΑΤΟΣ'!G61)</f>
        <v>1.212136053234482E-2</v>
      </c>
      <c r="H61" s="43">
        <f>LN('2.ΤΙΜΕΣ ΚΛΕΙΣΙΜΑΤΟΣ'!H62/'2.ΤΙΜΕΣ ΚΛΕΙΣΙΜΑΤΟΣ'!H61)</f>
        <v>-1.5611765472113315E-2</v>
      </c>
      <c r="I61" s="43">
        <f>LN('2.ΤΙΜΕΣ ΚΛΕΙΣΙΜΑΤΟΣ'!I62/'2.ΤΙΜΕΣ ΚΛΕΙΣΙΜΑΤΟΣ'!I61)</f>
        <v>-1.1313011396999355E-2</v>
      </c>
      <c r="J61" s="43">
        <f>LN('2.ΤΙΜΕΣ ΚΛΕΙΣΙΜΑΤΟΣ'!J62/'2.ΤΙΜΕΣ ΚΛΕΙΣΙΜΑΤΟΣ'!J61)</f>
        <v>5.1151006667704089E-3</v>
      </c>
      <c r="K61" s="43">
        <f>LN('2.ΤΙΜΕΣ ΚΛΕΙΣΙΜΑΤΟΣ'!K62/'2.ΤΙΜΕΣ ΚΛΕΙΣΙΜΑΤΟΣ'!K61)</f>
        <v>3.201825774058762E-2</v>
      </c>
      <c r="L61" s="43">
        <f>LN('2.ΤΙΜΕΣ ΚΛΕΙΣΙΜΑΤΟΣ'!L62/'2.ΤΙΜΕΣ ΚΛΕΙΣΙΜΑΤΟΣ'!L61)</f>
        <v>8.8714233874196864E-3</v>
      </c>
      <c r="M61" s="43">
        <f>LN('2.ΤΙΜΕΣ ΚΛΕΙΣΙΜΑΤΟΣ'!M62/'2.ΤΙΜΕΣ ΚΛΕΙΣΙΜΑΤΟΣ'!M61)</f>
        <v>-1.0532572499893268E-2</v>
      </c>
      <c r="N61" s="43">
        <f>LN('2.ΤΙΜΕΣ ΚΛΕΙΣΙΜΑΤΟΣ'!N62/'2.ΤΙΜΕΣ ΚΛΕΙΣΙΜΑΤΟΣ'!N61)</f>
        <v>2.7546229814062388E-3</v>
      </c>
      <c r="O61" s="43">
        <f>LN('2.ΤΙΜΕΣ ΚΛΕΙΣΙΜΑΤΟΣ'!O62/'2.ΤΙΜΕΣ ΚΛΕΙΣΙΜΑΤΟΣ'!O61)</f>
        <v>2.317758831270559E-2</v>
      </c>
      <c r="P61" s="43">
        <f>LN('2.ΤΙΜΕΣ ΚΛΕΙΣΙΜΑΤΟΣ'!P62/'2.ΤΙΜΕΣ ΚΛΕΙΣΙΜΑΤΟΣ'!P61)</f>
        <v>3.6166404701885148E-3</v>
      </c>
      <c r="Q61" s="43">
        <f>LN('2.ΤΙΜΕΣ ΚΛΕΙΣΙΜΑΤΟΣ'!Q62/'2.ΤΙΜΕΣ ΚΛΕΙΣΙΜΑΤΟΣ'!Q61)</f>
        <v>1.3652089168327263E-2</v>
      </c>
      <c r="R61" s="43">
        <f>LN('2.ΤΙΜΕΣ ΚΛΕΙΣΙΜΑΤΟΣ'!R62/'2.ΤΙΜΕΣ ΚΛΕΙΣΙΜΑΤΟΣ'!R61)</f>
        <v>-3.5034572026782895E-2</v>
      </c>
      <c r="S61" s="43">
        <f>LN('2.ΤΙΜΕΣ ΚΛΕΙΣΙΜΑΤΟΣ'!S62/'2.ΤΙΜΕΣ ΚΛΕΙΣΙΜΑΤΟΣ'!S61)</f>
        <v>6.5578408329251645E-2</v>
      </c>
      <c r="T61" s="43">
        <f>LN('2.ΤΙΜΕΣ ΚΛΕΙΣΙΜΑΤΟΣ'!T62/'2.ΤΙΜΕΣ ΚΛΕΙΣΙΜΑΤΟΣ'!T61)</f>
        <v>4.0679635633261178E-2</v>
      </c>
      <c r="U61" s="43">
        <f>LN('2.ΤΙΜΕΣ ΚΛΕΙΣΙΜΑΤΟΣ'!U62/'2.ΤΙΜΕΣ ΚΛΕΙΣΙΜΑΤΟΣ'!U61)</f>
        <v>1.7011345826536756E-2</v>
      </c>
      <c r="V61" s="43">
        <f>LN('2.ΤΙΜΕΣ ΚΛΕΙΣΙΜΑΤΟΣ'!V62/'2.ΤΙΜΕΣ ΚΛΕΙΣΙΜΑΤΟΣ'!V61)</f>
        <v>4.4742803949211069E-3</v>
      </c>
      <c r="W61" s="43">
        <f>LN('2.ΤΙΜΕΣ ΚΛΕΙΣΙΜΑΤΟΣ'!W62/'2.ΤΙΜΕΣ ΚΛΕΙΣΙΜΑΤΟΣ'!W61)</f>
        <v>-1.8237587549780901E-2</v>
      </c>
      <c r="X61" s="43">
        <f>LN('2.ΤΙΜΕΣ ΚΛΕΙΣΙΜΑΤΟΣ'!X62/'2.ΤΙΜΕΣ ΚΛΕΙΣΙΜΑΤΟΣ'!X61)</f>
        <v>3.3584654898125371E-2</v>
      </c>
      <c r="Y61" s="43">
        <f>LN('2.ΤΙΜΕΣ ΚΛΕΙΣΙΜΑΤΟΣ'!Y62/'2.ΤΙΜΕΣ ΚΛΕΙΣΙΜΑΤΟΣ'!Y61)</f>
        <v>0</v>
      </c>
      <c r="Z61" s="43">
        <f>LN('2.ΤΙΜΕΣ ΚΛΕΙΣΙΜΑΤΟΣ'!Z62/'2.ΤΙΜΕΣ ΚΛΕΙΣΙΜΑΤΟΣ'!Z61)</f>
        <v>3.3955890011383287E-3</v>
      </c>
      <c r="AA61" s="43">
        <f>LN('2.ΤΙΜΕΣ ΚΛΕΙΣΙΜΑΤΟΣ'!AA62/'2.ΤΙΜΕΣ ΚΛΕΙΣΙΜΑΤΟΣ'!AA61)</f>
        <v>-1.9293202934678896E-2</v>
      </c>
      <c r="AB61" s="43">
        <f>LN('2.ΤΙΜΕΣ ΚΛΕΙΣΙΜΑΤΟΣ'!AB62/'2.ΤΙΜΕΣ ΚΛΕΙΣΙΜΑΤΟΣ'!AB61)</f>
        <v>1.980262729617973E-2</v>
      </c>
      <c r="AC61" s="43">
        <f>LN('2.ΤΙΜΕΣ ΚΛΕΙΣΙΜΑΤΟΣ'!AC62/'2.ΤΙΜΕΣ ΚΛΕΙΣΙΜΑΤΟΣ'!AC61)</f>
        <v>4.1011677442146068E-3</v>
      </c>
      <c r="AD61" s="43">
        <f>LN('2.ΤΙΜΕΣ ΚΛΕΙΣΙΜΑΤΟΣ'!AD62/'2.ΤΙΜΕΣ ΚΛΕΙΣΙΜΑΤΟΣ'!AD61)</f>
        <v>3.1090587070031182E-2</v>
      </c>
      <c r="AE61" s="43">
        <f>LN('2.ΤΙΜΕΣ ΚΛΕΙΣΙΜΑΤΟΣ'!AE62/'2.ΤΙΜΕΣ ΚΛΕΙΣΙΜΑΤΟΣ'!AE61)</f>
        <v>5.4067221270275793E-2</v>
      </c>
      <c r="AF61" s="43">
        <f>LN('2.ΤΙΜΕΣ ΚΛΕΙΣΙΜΑΤΟΣ'!AF62/'2.ΤΙΜΕΣ ΚΛΕΙΣΙΜΑΤΟΣ'!AF61)</f>
        <v>0</v>
      </c>
      <c r="AG61" s="43">
        <f>LN('2.ΤΙΜΕΣ ΚΛΕΙΣΙΜΑΤΟΣ'!AG62/'2.ΤΙΜΕΣ ΚΛΕΙΣΙΜΑΤΟΣ'!AG61)</f>
        <v>0</v>
      </c>
      <c r="AH61" s="43">
        <f>LN('2.ΤΙΜΕΣ ΚΛΕΙΣΙΜΑΤΟΣ'!AH62/'2.ΤΙΜΕΣ ΚΛΕΙΣΙΜΑΤΟΣ'!AH61)</f>
        <v>1.3062037423339881E-2</v>
      </c>
      <c r="AI61" s="43">
        <f>LN('2.ΤΙΜΕΣ ΚΛΕΙΣΙΜΑΤΟΣ'!AI62/'2.ΤΙΜΕΣ ΚΛΕΙΣΙΜΑΤΟΣ'!AI61)</f>
        <v>-1.6260520871780405E-2</v>
      </c>
      <c r="AJ61" s="43">
        <f>LN('2.ΤΙΜΕΣ ΚΛΕΙΣΙΜΑΤΟΣ'!AJ62/'2.ΤΙΜΕΣ ΚΛΕΙΣΙΜΑΤΟΣ'!AJ61)</f>
        <v>9.1324835632724723E-3</v>
      </c>
      <c r="AK61" s="43">
        <f>LN('2.ΤΙΜΕΣ ΚΛΕΙΣΙΜΑΤΟΣ'!AK62/'2.ΤΙΜΕΣ ΚΛΕΙΣΙΜΑΤΟΣ'!AK61)</f>
        <v>1.9705071079332337E-2</v>
      </c>
      <c r="AL61" s="43">
        <f>LN('2.ΤΙΜΕΣ ΚΛΕΙΣΙΜΑΤΟΣ'!AL62/'2.ΤΙΜΕΣ ΚΛΕΙΣΙΜΑΤΟΣ'!AL61)</f>
        <v>8.2988028146950641E-3</v>
      </c>
      <c r="AM61" s="43">
        <f>LN('2.ΤΙΜΕΣ ΚΛΕΙΣΙΜΑΤΟΣ'!AM62/'2.ΤΙΜΕΣ ΚΛΕΙΣΙΜΑΤΟΣ'!AM61)</f>
        <v>1.175101653551873E-2</v>
      </c>
      <c r="AN61" s="43">
        <f>LN('2.ΤΙΜΕΣ ΚΛΕΙΣΙΜΑΤΟΣ'!AN62/'2.ΤΙΜΕΣ ΚΛΕΙΣΙΜΑΤΟΣ'!AN61)</f>
        <v>-2.8760152175262687E-2</v>
      </c>
      <c r="AO61" s="43">
        <f>LN('2.ΤΙΜΕΣ ΚΛΕΙΣΙΜΑΤΟΣ'!AO62/'2.ΤΙΜΕΣ ΚΛΕΙΣΙΜΑΤΟΣ'!AO61)</f>
        <v>0</v>
      </c>
      <c r="AP61" s="43">
        <f>LN('2.ΤΙΜΕΣ ΚΛΕΙΣΙΜΑΤΟΣ'!AP62/'2.ΤΙΜΕΣ ΚΛΕΙΣΙΜΑΤΟΣ'!AP61)</f>
        <v>2.5631352756311929E-2</v>
      </c>
      <c r="AQ61" s="43">
        <f>LN('2.ΤΙΜΕΣ ΚΛΕΙΣΙΜΑΤΟΣ'!AQ62/'2.ΤΙΜΕΣ ΚΛΕΙΣΙΜΑΤΟΣ'!AQ61)</f>
        <v>8.1830018247632114E-2</v>
      </c>
      <c r="AR61" s="43">
        <f>LN('2.ΤΙΜΕΣ ΚΛΕΙΣΙΜΑΤΟΣ'!AR62/'2.ΤΙΜΕΣ ΚΛΕΙΣΙΜΑΤΟΣ'!AR61)</f>
        <v>-5.111845392902313E-2</v>
      </c>
      <c r="AS61" s="43">
        <f>LN('2.ΤΙΜΕΣ ΚΛΕΙΣΙΜΑΤΟΣ'!AS62/'2.ΤΙΜΕΣ ΚΛΕΙΣΙΜΑΤΟΣ'!AS61)</f>
        <v>7.2137528166423021E-2</v>
      </c>
      <c r="AT61" s="43">
        <f>LN('2.ΤΙΜΕΣ ΚΛΕΙΣΙΜΑΤΟΣ'!AT62/'2.ΤΙΜΕΣ ΚΛΕΙΣΙΜΑΤΟΣ'!AT61)</f>
        <v>3.627967408064868E-2</v>
      </c>
      <c r="AU61" s="43">
        <f>LN('2.ΤΙΜΕΣ ΚΛΕΙΣΙΜΑΤΟΣ'!AU62/'2.ΤΙΜΕΣ ΚΛΕΙΣΙΜΑΤΟΣ'!AU61)</f>
        <v>8.0052315148401304E-3</v>
      </c>
    </row>
    <row r="62" spans="1:47">
      <c r="A62" s="41">
        <v>43644</v>
      </c>
      <c r="B62" s="43">
        <f>LN('2.ΤΙΜΕΣ ΚΛΕΙΣΙΜΑΤΟΣ'!B63/'2.ΤΙΜΕΣ ΚΛΕΙΣΙΜΑΤΟΣ'!B62)</f>
        <v>7.5210073932835061E-3</v>
      </c>
      <c r="C62" s="43">
        <f>LN('2.ΤΙΜΕΣ ΚΛΕΙΣΙΜΑΤΟΣ'!C63/'2.ΤΙΜΕΣ ΚΛΕΙΣΙΜΑΤΟΣ'!C62)</f>
        <v>1.0827638652063393E-2</v>
      </c>
      <c r="D62" s="43">
        <f>LN('2.ΤΙΜΕΣ ΚΛΕΙΣΙΜΑΤΟΣ'!D63/'2.ΤΙΜΕΣ ΚΛΕΙΣΙΜΑΤΟΣ'!D62)</f>
        <v>5.0932166738162921E-3</v>
      </c>
      <c r="E62" s="43">
        <f>LN('2.ΤΙΜΕΣ ΚΛΕΙΣΙΜΑΤΟΣ'!E63/'2.ΤΙΜΕΣ ΚΛΕΙΣΙΜΑΤΟΣ'!E62)</f>
        <v>1.7804624633506686E-2</v>
      </c>
      <c r="F62" s="43">
        <f>LN('2.ΤΙΜΕΣ ΚΛΕΙΣΙΜΑΤΟΣ'!F63/'2.ΤΙΜΕΣ ΚΛΕΙΣΙΜΑΤΟΣ'!F62)</f>
        <v>1.0869672236903891E-2</v>
      </c>
      <c r="G62" s="43">
        <f>LN('2.ΤΙΜΕΣ ΚΛΕΙΣΙΜΑΤΟΣ'!G63/'2.ΤΙΜΕΣ ΚΛΕΙΣΙΜΑΤΟΣ'!G62)</f>
        <v>4.1303806141235792E-2</v>
      </c>
      <c r="H62" s="43">
        <f>LN('2.ΤΙΜΕΣ ΚΛΕΙΣΙΜΑΤΟΣ'!H63/'2.ΤΙΜΕΣ ΚΛΕΙΣΙΜΑΤΟΣ'!H62)</f>
        <v>-1.6747857301222652E-2</v>
      </c>
      <c r="I62" s="43">
        <f>LN('2.ΤΙΜΕΣ ΚΛΕΙΣΙΜΑΤΟΣ'!I63/'2.ΤΙΜΕΣ ΚΛΕΙΣΙΜΑΤΟΣ'!I62)</f>
        <v>5.2490182621396764E-2</v>
      </c>
      <c r="J62" s="43">
        <f>LN('2.ΤΙΜΕΣ ΚΛΕΙΣΙΜΑΤΟΣ'!J63/'2.ΤΙΜΕΣ ΚΛΕΙΣΙΜΑΤΟΣ'!J62)</f>
        <v>2.4360717466183301E-2</v>
      </c>
      <c r="K62" s="43">
        <f>LN('2.ΤΙΜΕΣ ΚΛΕΙΣΙΜΑΤΟΣ'!K63/'2.ΤΙΜΕΣ ΚΛΕΙΣΙΜΑΤΟΣ'!K62)</f>
        <v>1.2219144854719796E-2</v>
      </c>
      <c r="L62" s="43">
        <f>LN('2.ΤΙΜΕΣ ΚΛΕΙΣΙΜΑΤΟΣ'!L63/'2.ΤΙΜΕΣ ΚΛΕΙΣΙΜΑΤΟΣ'!L62)</f>
        <v>-3.9331417468369797E-3</v>
      </c>
      <c r="M62" s="43">
        <f>LN('2.ΤΙΜΕΣ ΚΛΕΙΣΙΜΑΤΟΣ'!M63/'2.ΤΙΜΕΣ ΚΛΕΙΣΙΜΑΤΟΣ'!M62)</f>
        <v>9.367750003600241E-3</v>
      </c>
      <c r="N62" s="43">
        <f>LN('2.ΤΙΜΕΣ ΚΛΕΙΣΙΜΑΤΟΣ'!N63/'2.ΤΙΜΕΣ ΚΛΕΙΣΙΜΑΤΟΣ'!N62)</f>
        <v>0</v>
      </c>
      <c r="O62" s="43">
        <f>LN('2.ΤΙΜΕΣ ΚΛΕΙΣΙΜΑΤΟΣ'!O63/'2.ΤΙΜΕΣ ΚΛΕΙΣΙΜΑΤΟΣ'!O62)</f>
        <v>-1.220354128072889E-2</v>
      </c>
      <c r="P62" s="43">
        <f>LN('2.ΤΙΜΕΣ ΚΛΕΙΣΙΜΑΤΟΣ'!P63/'2.ΤΙΜΕΣ ΚΛΕΙΣΙΜΑΤΟΣ'!P62)</f>
        <v>1.2556218775412464E-2</v>
      </c>
      <c r="Q62" s="43">
        <f>LN('2.ΤΙΜΕΣ ΚΛΕΙΣΙΜΑΤΟΣ'!Q63/'2.ΤΙΜΕΣ ΚΛΕΙΣΙΜΑΤΟΣ'!Q62)</f>
        <v>3.7916081526616463E-2</v>
      </c>
      <c r="R62" s="43">
        <f>LN('2.ΤΙΜΕΣ ΚΛΕΙΣΙΜΑΤΟΣ'!R63/'2.ΤΙΜΕΣ ΚΛΕΙΣΙΜΑΤΟΣ'!R62)</f>
        <v>3.609333337502503E-2</v>
      </c>
      <c r="S62" s="43">
        <f>LN('2.ΤΙΜΕΣ ΚΛΕΙΣΙΜΑΤΟΣ'!S63/'2.ΤΙΜΕΣ ΚΛΕΙΣΙΜΑΤΟΣ'!S62)</f>
        <v>-1.0072832788294957E-2</v>
      </c>
      <c r="T62" s="43">
        <f>LN('2.ΤΙΜΕΣ ΚΛΕΙΣΙΜΑΤΟΣ'!T63/'2.ΤΙΜΕΣ ΚΛΕΙΣΙΜΑΤΟΣ'!T62)</f>
        <v>-2.187767165086121E-2</v>
      </c>
      <c r="U62" s="43">
        <f>LN('2.ΤΙΜΕΣ ΚΛΕΙΣΙΜΑΤΟΣ'!U63/'2.ΤΙΜΕΣ ΚΛΕΙΣΙΜΑΤΟΣ'!U62)</f>
        <v>-2.4125464053841011E-3</v>
      </c>
      <c r="V62" s="43">
        <f>LN('2.ΤΙΜΕΣ ΚΛΕΙΣΙΜΑΤΟΣ'!V63/'2.ΤΙΜΕΣ ΚΛΕΙΣΙΜΑΤΟΣ'!V62)</f>
        <v>-1.801850550267825E-2</v>
      </c>
      <c r="W62" s="43">
        <f>LN('2.ΤΙΜΕΣ ΚΛΕΙΣΙΜΑΤΟΣ'!W63/'2.ΤΙΜΕΣ ΚΛΕΙΣΙΜΑΤΟΣ'!W62)</f>
        <v>0</v>
      </c>
      <c r="X62" s="43">
        <f>LN('2.ΤΙΜΕΣ ΚΛΕΙΣΙΜΑΤΟΣ'!X63/'2.ΤΙΜΕΣ ΚΛΕΙΣΙΜΑΤΟΣ'!X62)</f>
        <v>-7.6628727455690252E-3</v>
      </c>
      <c r="Y62" s="43">
        <f>LN('2.ΤΙΜΕΣ ΚΛΕΙΣΙΜΑΤΟΣ'!Y63/'2.ΤΙΜΕΣ ΚΛΕΙΣΙΜΑΤΟΣ'!Y62)</f>
        <v>0</v>
      </c>
      <c r="Z62" s="43">
        <f>LN('2.ΤΙΜΕΣ ΚΛΕΙΣΙΜΑΤΟΣ'!Z63/'2.ΤΙΜΕΣ ΚΛΕΙΣΙΜΑΤΟΣ'!Z62)</f>
        <v>1.3468217050866611E-2</v>
      </c>
      <c r="AA62" s="43">
        <f>LN('2.ΤΙΜΕΣ ΚΛΕΙΣΙΜΑΤΟΣ'!AA63/'2.ΤΙΜΕΣ ΚΛΕΙΣΙΜΑΤΟΣ'!AA62)</f>
        <v>-1.9672765598704893E-2</v>
      </c>
      <c r="AB62" s="43">
        <f>LN('2.ΤΙΜΕΣ ΚΛΕΙΣΙΜΑΤΟΣ'!AB63/'2.ΤΙΜΕΣ ΚΛΕΙΣΙΜΑΤΟΣ'!AB62)</f>
        <v>1.1696039763191456E-2</v>
      </c>
      <c r="AC62" s="43">
        <f>LN('2.ΤΙΜΕΣ ΚΛΕΙΣΙΜΑΤΟΣ'!AC63/'2.ΤΙΜΕΣ ΚΛΕΙΣΙΜΑΤΟΣ'!AC62)</f>
        <v>2.7247973261852569E-3</v>
      </c>
      <c r="AD62" s="43">
        <f>LN('2.ΤΙΜΕΣ ΚΛΕΙΣΙΜΑΤΟΣ'!AD63/'2.ΤΙΜΕΣ ΚΛΕΙΣΙΜΑΤΟΣ'!AD62)</f>
        <v>-1.8018505502678365E-2</v>
      </c>
      <c r="AE62" s="43">
        <f>LN('2.ΤΙΜΕΣ ΚΛΕΙΣΙΜΑΤΟΣ'!AE63/'2.ΤΙΜΕΣ ΚΛΕΙΣΙΜΑΤΟΣ'!AE62)</f>
        <v>-7.0422826254129232E-3</v>
      </c>
      <c r="AF62" s="43">
        <f>LN('2.ΤΙΜΕΣ ΚΛΕΙΣΙΜΑΤΟΣ'!AF63/'2.ΤΙΜΕΣ ΚΛΕΙΣΙΜΑΤΟΣ'!AF62)</f>
        <v>-1.4614038793595628E-2</v>
      </c>
      <c r="AG62" s="43">
        <f>LN('2.ΤΙΜΕΣ ΚΛΕΙΣΙΜΑΤΟΣ'!AG63/'2.ΤΙΜΕΣ ΚΛΕΙΣΙΜΑΤΟΣ'!AG62)</f>
        <v>1.2170535620255114E-2</v>
      </c>
      <c r="AH62" s="43">
        <f>LN('2.ΤΙΜΕΣ ΚΛΕΙΣΙΜΑΤΟΣ'!AH63/'2.ΤΙΜΕΣ ΚΛΕΙΣΙΜΑΤΟΣ'!AH62)</f>
        <v>1.364691384118189E-2</v>
      </c>
      <c r="AI62" s="43">
        <f>LN('2.ΤΙΜΕΣ ΚΛΕΙΣΙΜΑΤΟΣ'!AI63/'2.ΤΙΜΕΣ ΚΛΕΙΣΙΜΑΤΟΣ'!AI62)</f>
        <v>-8.23049913651548E-3</v>
      </c>
      <c r="AJ62" s="43">
        <f>LN('2.ΤΙΜΕΣ ΚΛΕΙΣΙΜΑΤΟΣ'!AJ63/'2.ΤΙΜΕΣ ΚΛΕΙΣΙΜΑΤΟΣ'!AJ62)</f>
        <v>0</v>
      </c>
      <c r="AK62" s="43">
        <f>LN('2.ΤΙΜΕΣ ΚΛΕΙΣΙΜΑΤΟΣ'!AK63/'2.ΤΙΜΕΣ ΚΛΕΙΣΙΜΑΤΟΣ'!AK62)</f>
        <v>1.4528100562909808E-2</v>
      </c>
      <c r="AL62" s="43">
        <f>LN('2.ΤΙΜΕΣ ΚΛΕΙΣΙΜΑΤΟΣ'!AL63/'2.ΤΙΜΕΣ ΚΛΕΙΣΙΜΑΤΟΣ'!AL62)</f>
        <v>5.6239718322876109E-2</v>
      </c>
      <c r="AM62" s="43">
        <f>LN('2.ΤΙΜΕΣ ΚΛΕΙΣΙΜΑΤΟΣ'!AM63/'2.ΤΙΜΕΣ ΚΛΕΙΣΙΜΑΤΟΣ'!AM62)</f>
        <v>4.6620131058111502E-3</v>
      </c>
      <c r="AN62" s="43">
        <f>LN('2.ΤΙΜΕΣ ΚΛΕΙΣΙΜΑΤΟΣ'!AN63/'2.ΤΙΜΕΣ ΚΛΕΙΣΙΜΑΤΟΣ'!AN62)</f>
        <v>5.4206817836426953E-2</v>
      </c>
      <c r="AO62" s="43">
        <f>LN('2.ΤΙΜΕΣ ΚΛΕΙΣΙΜΑΤΟΣ'!AO63/'2.ΤΙΜΕΣ ΚΛΕΙΣΙΜΑΤΟΣ'!AO62)</f>
        <v>0</v>
      </c>
      <c r="AP62" s="43">
        <f>LN('2.ΤΙΜΕΣ ΚΛΕΙΣΙΜΑΤΟΣ'!AP63/'2.ΤΙΜΕΣ ΚΛΕΙΣΙΜΑΤΟΣ'!AP62)</f>
        <v>2.5557304838331042E-3</v>
      </c>
      <c r="AQ62" s="43">
        <f>LN('2.ΤΙΜΕΣ ΚΛΕΙΣΙΜΑΤΟΣ'!AQ63/'2.ΤΙΜΕΣ ΚΛΕΙΣΙΜΑΤΟΣ'!AQ62)</f>
        <v>4.0733253876358688E-3</v>
      </c>
      <c r="AR62" s="43">
        <f>LN('2.ΤΙΜΕΣ ΚΛΕΙΣΙΜΑΤΟΣ'!AR63/'2.ΤΙΜΕΣ ΚΛΕΙΣΙΜΑΤΟΣ'!AR62)</f>
        <v>0</v>
      </c>
      <c r="AS62" s="43">
        <f>LN('2.ΤΙΜΕΣ ΚΛΕΙΣΙΜΑΤΟΣ'!AS63/'2.ΤΙΜΕΣ ΚΛΕΙΣΙΜΑΤΟΣ'!AS62)</f>
        <v>5.6954892927472439E-2</v>
      </c>
      <c r="AT62" s="43">
        <f>LN('2.ΤΙΜΕΣ ΚΛΕΙΣΙΜΑΤΟΣ'!AT63/'2.ΤΙΜΕΣ ΚΛΕΙΣΙΜΑΤΟΣ'!AT62)</f>
        <v>3.5009409666653016E-2</v>
      </c>
      <c r="AU62" s="43">
        <f>LN('2.ΤΙΜΕΣ ΚΛΕΙΣΙΜΑΤΟΣ'!AU63/'2.ΤΙΜΕΣ ΚΛΕΙΣΙΜΑΤΟΣ'!AU62)</f>
        <v>1.0835947656488529E-2</v>
      </c>
    </row>
    <row r="63" spans="1:47">
      <c r="A63" s="41">
        <v>43647</v>
      </c>
      <c r="B63" s="43">
        <f>LN('2.ΤΙΜΕΣ ΚΛΕΙΣΙΜΑΤΟΣ'!B64/'2.ΤΙΜΕΣ ΚΛΕΙΣΙΜΑΤΟΣ'!B63)</f>
        <v>-1.4514042884254071E-2</v>
      </c>
      <c r="C63" s="43">
        <f>LN('2.ΤΙΜΕΣ ΚΛΕΙΣΙΜΑΤΟΣ'!C64/'2.ΤΙΜΕΣ ΚΛΕΙΣΙΜΑΤΟΣ'!C63)</f>
        <v>-8.4975405104406633E-3</v>
      </c>
      <c r="D63" s="43">
        <f>LN('2.ΤΙΜΕΣ ΚΛΕΙΣΙΜΑΤΟΣ'!D64/'2.ΤΙΜΕΣ ΚΛΕΙΣΙΜΑΤΟΣ'!D63)</f>
        <v>-5.0932166738163242E-3</v>
      </c>
      <c r="E63" s="43">
        <f>LN('2.ΤΙΜΕΣ ΚΛΕΙΣΙΜΑΤΟΣ'!E64/'2.ΤΙΜΕΣ ΚΛΕΙΣΙΜΑΤΟΣ'!E63)</f>
        <v>1.4598799421152631E-2</v>
      </c>
      <c r="F63" s="43">
        <f>LN('2.ΤΙΜΕΣ ΚΛΕΙΣΙΜΑΤΟΣ'!F64/'2.ΤΙΜΕΣ ΚΛΕΙΣΙΜΑΤΟΣ'!F63)</f>
        <v>-1.9651287397288615E-2</v>
      </c>
      <c r="G63" s="43">
        <f>LN('2.ΤΙΜΕΣ ΚΛΕΙΣΙΜΑΤΟΣ'!G64/'2.ΤΙΜΕΣ ΚΛΕΙΣΙΜΑΤΟΣ'!G63)</f>
        <v>3.4622077284707912E-3</v>
      </c>
      <c r="H63" s="43">
        <f>LN('2.ΤΙΜΕΣ ΚΛΕΙΣΙΜΑΤΟΣ'!H64/'2.ΤΙΜΕΣ ΚΛΕΙΣΙΜΑΤΟΣ'!H63)</f>
        <v>3.0636969461889801E-2</v>
      </c>
      <c r="I63" s="43">
        <f>LN('2.ΤΙΜΕΣ ΚΛΕΙΣΙΜΑΤΟΣ'!I64/'2.ΤΙΜΕΣ ΚΛΕΙΣΙΜΑΤΟΣ'!I63)</f>
        <v>0</v>
      </c>
      <c r="J63" s="43">
        <f>LN('2.ΤΙΜΕΣ ΚΛΕΙΣΙΜΑΤΟΣ'!J64/'2.ΤΙΜΕΣ ΚΛΕΙΣΙΜΑΤΟΣ'!J63)</f>
        <v>-1.2455887016287245E-3</v>
      </c>
      <c r="K63" s="43">
        <f>LN('2.ΤΙΜΕΣ ΚΛΕΙΣΙΜΑΤΟΣ'!K64/'2.ΤΙΜΕΣ ΚΛΕΙΣΙΜΑΤΟΣ'!K63)</f>
        <v>4.4508153018307059E-2</v>
      </c>
      <c r="L63" s="43">
        <f>LN('2.ΤΙΜΕΣ ΚΛΕΙΣΙΜΑΤΟΣ'!L64/'2.ΤΙΜΕΣ ΚΛΕΙΣΙΜΑΤΟΣ'!L63)</f>
        <v>1.8546163592486644E-2</v>
      </c>
      <c r="M63" s="43">
        <f>LN('2.ΤΙΜΕΣ ΚΛΕΙΣΙΜΑΤΟΣ'!M64/'2.ΤΙΜΕΣ ΚΛΕΙΣΙΜΑΤΟΣ'!M63)</f>
        <v>2.5317807984290001E-2</v>
      </c>
      <c r="N63" s="43">
        <f>LN('2.ΤΙΜΕΣ ΚΛΕΙΣΙΜΑΤΟΣ'!N64/'2.ΤΙΜΕΣ ΚΛΕΙΣΙΜΑΤΟΣ'!N63)</f>
        <v>0</v>
      </c>
      <c r="O63" s="43">
        <f>LN('2.ΤΙΜΕΣ ΚΛΕΙΣΙΜΑΤΟΣ'!O64/'2.ΤΙΜΕΣ ΚΛΕΙΣΙΜΑΤΟΣ'!O63)</f>
        <v>5.4421903026850363E-3</v>
      </c>
      <c r="P63" s="43">
        <f>LN('2.ΤΙΜΕΣ ΚΛΕΙΣΙΜΑΤΟΣ'!P64/'2.ΤΙΜΕΣ ΚΛΕΙΣΙΜΑΤΟΣ'!P63)</f>
        <v>1.240051319845501E-2</v>
      </c>
      <c r="Q63" s="43">
        <f>LN('2.ΤΙΜΕΣ ΚΛΕΙΣΙΜΑΤΟΣ'!Q64/'2.ΤΙΜΕΣ ΚΛΕΙΣΙΜΑΤΟΣ'!Q63)</f>
        <v>1.0389703849135868E-2</v>
      </c>
      <c r="R63" s="43">
        <f>LN('2.ΤΙΜΕΣ ΚΛΕΙΣΙΜΑΤΟΣ'!R64/'2.ΤΙΜΕΣ ΚΛΕΙΣΙΜΑΤΟΣ'!R63)</f>
        <v>5.356584246809553E-2</v>
      </c>
      <c r="S63" s="43">
        <f>LN('2.ΤΙΜΕΣ ΚΛΕΙΣΙΜΑΤΟΣ'!S64/'2.ΤΙΜΕΣ ΚΛΕΙΣΙΜΑΤΟΣ'!S63)</f>
        <v>-9.0396095777250211E-3</v>
      </c>
      <c r="T63" s="43">
        <f>LN('2.ΤΙΜΕΣ ΚΛΕΙΣΙΜΑΤΟΣ'!T64/'2.ΤΙΜΕΣ ΚΛΕΙΣΙΜΑΤΟΣ'!T63)</f>
        <v>5.803846819800269E-3</v>
      </c>
      <c r="U63" s="43">
        <f>LN('2.ΤΙΜΕΣ ΚΛΕΙΣΙΜΑΤΟΣ'!U64/'2.ΤΙΜΕΣ ΚΛΕΙΣΙΜΑΤΟΣ'!U63)</f>
        <v>1.2004946096823621E-2</v>
      </c>
      <c r="V63" s="43">
        <f>LN('2.ΤΙΜΕΣ ΚΛΕΙΣΙΜΑΤΟΣ'!V64/'2.ΤΙΜΕΣ ΚΛΕΙΣΙΜΑΤΟΣ'!V63)</f>
        <v>9.0498355199178562E-3</v>
      </c>
      <c r="W63" s="43">
        <f>LN('2.ΤΙΜΕΣ ΚΛΕΙΣΙΜΑΤΟΣ'!W64/'2.ΤΙΜΕΣ ΚΛΕΙΣΙΜΑΤΟΣ'!W63)</f>
        <v>2.4509816191401607E-3</v>
      </c>
      <c r="X63" s="43">
        <f>LN('2.ΤΙΜΕΣ ΚΛΕΙΣΙΜΑΤΟΣ'!X64/'2.ΤΙΜΕΣ ΚΛΕΙΣΙΜΑΤΟΣ'!X63)</f>
        <v>2.0356541638259701E-2</v>
      </c>
      <c r="Y63" s="43">
        <f>LN('2.ΤΙΜΕΣ ΚΛΕΙΣΙΜΑΤΟΣ'!Y64/'2.ΤΙΜΕΣ ΚΛΕΙΣΙΜΑΤΟΣ'!Y63)</f>
        <v>2.0202707317519469E-2</v>
      </c>
      <c r="Z63" s="43">
        <f>LN('2.ΤΙΜΕΣ ΚΛΕΙΣΙΜΑΤΟΣ'!Z64/'2.ΤΙΜΕΣ ΚΛΕΙΣΙΜΑΤΟΣ'!Z63)</f>
        <v>6.6666913581892974E-3</v>
      </c>
      <c r="AA63" s="43">
        <f>LN('2.ΤΙΜΕΣ ΚΛΕΙΣΙΜΑΤΟΣ'!AA64/'2.ΤΙΜΕΣ ΚΛΕΙΣΙΜΑΤΟΣ'!AA63)</f>
        <v>9.8847592325419249E-3</v>
      </c>
      <c r="AB63" s="43">
        <f>LN('2.ΤΙΜΕΣ ΚΛΕΙΣΙΜΑΤΟΣ'!AB64/'2.ΤΙΜΕΣ ΚΛΕΙΣΙΜΑΤΟΣ'!AB63)</f>
        <v>2.2989518224698781E-2</v>
      </c>
      <c r="AC63" s="43">
        <f>LN('2.ΤΙΜΕΣ ΚΛΕΙΣΙΜΑΤΟΣ'!AC64/'2.ΤΙΜΕΣ ΚΛΕΙΣΙΜΑΤΟΣ'!AC63)</f>
        <v>-3.3198069409595861E-2</v>
      </c>
      <c r="AD63" s="43">
        <f>LN('2.ΤΙΜΕΣ ΚΛΕΙΣΙΜΑΤΟΣ'!AD64/'2.ΤΙΜΕΣ ΚΛΕΙΣΙΜΑΤΟΣ'!AD63)</f>
        <v>1.2903404835908001E-2</v>
      </c>
      <c r="AE63" s="43">
        <f>LN('2.ΤΙΜΕΣ ΚΛΕΙΣΙΜΑΤΟΣ'!AE64/'2.ΤΙΜΕΣ ΚΛΕΙΣΙΜΑΤΟΣ'!AE63)</f>
        <v>2.0979790469194466E-2</v>
      </c>
      <c r="AF63" s="43">
        <f>LN('2.ΤΙΜΕΣ ΚΛΕΙΣΙΜΑΤΟΣ'!AF64/'2.ΤΙΜΕΣ ΚΛΕΙΣΙΜΑΤΟΣ'!AF63)</f>
        <v>1.5649771667127815E-2</v>
      </c>
      <c r="AG63" s="43">
        <f>LN('2.ΤΙΜΕΣ ΚΛΕΙΣΙΜΑΤΟΣ'!AG64/'2.ΤΙΜΕΣ ΚΛΕΙΣΙΜΑΤΟΣ'!AG63)</f>
        <v>2.3905520853554386E-2</v>
      </c>
      <c r="AH63" s="43">
        <f>LN('2.ΤΙΜΕΣ ΚΛΕΙΣΙΜΑΤΟΣ'!AH64/'2.ΤΙΜΕΣ ΚΛΕΙΣΙΜΑΤΟΣ'!AH63)</f>
        <v>1.4947961435873148E-2</v>
      </c>
      <c r="AI63" s="43">
        <f>LN('2.ΤΙΜΕΣ ΚΛΕΙΣΙΜΑΤΟΣ'!AI64/'2.ΤΙΜΕΣ ΚΛΕΙΣΙΜΑΤΟΣ'!AI63)</f>
        <v>1.639380977567657E-2</v>
      </c>
      <c r="AJ63" s="43">
        <f>LN('2.ΤΙΜΕΣ ΚΛΕΙΣΙΜΑΤΟΣ'!AJ64/'2.ΤΙΜΕΣ ΚΛΕΙΣΙΜΑΤΟΣ'!AJ63)</f>
        <v>-1.3730192811902131E-2</v>
      </c>
      <c r="AK63" s="43">
        <f>LN('2.ΤΙΜΕΣ ΚΛΕΙΣΙΜΑΤΟΣ'!AK64/'2.ΤΙΜΕΣ ΚΛΕΙΣΙΜΑΤΟΣ'!AK63)</f>
        <v>4.7961722634930135E-3</v>
      </c>
      <c r="AL63" s="43">
        <f>LN('2.ΤΙΜΕΣ ΚΛΕΙΣΙΜΑΤΟΣ'!AL64/'2.ΤΙΜΕΣ ΚΛΕΙΣΙΜΑΤΟΣ'!AL63)</f>
        <v>7.5223421237587532E-2</v>
      </c>
      <c r="AM63" s="43">
        <f>LN('2.ΤΙΜΕΣ ΚΛΕΙΣΙΜΑΤΟΣ'!AM64/'2.ΤΙΜΕΣ ΚΛΕΙΣΙΜΑΤΟΣ'!AM63)</f>
        <v>1.1560822401076006E-2</v>
      </c>
      <c r="AN63" s="43">
        <f>LN('2.ΤΙΜΕΣ ΚΛΕΙΣΙΜΑΤΟΣ'!AN64/'2.ΤΙΜΕΣ ΚΛΕΙΣΙΜΑΤΟΣ'!AN63)</f>
        <v>5.3802705992976194E-2</v>
      </c>
      <c r="AO63" s="43">
        <f>LN('2.ΤΙΜΕΣ ΚΛΕΙΣΙΜΑΤΟΣ'!AO64/'2.ΤΙΜΕΣ ΚΛΕΙΣΙΜΑΤΟΣ'!AO63)</f>
        <v>1.242251999855711E-2</v>
      </c>
      <c r="AP63" s="43">
        <f>LN('2.ΤΙΜΕΣ ΚΛΕΙΣΙΜΑΤΟΣ'!AP64/'2.ΤΙΜΕΣ ΚΛΕΙΣΙΜΑΤΟΣ'!AP63)</f>
        <v>-1.9473696714579613E-2</v>
      </c>
      <c r="AQ63" s="43">
        <f>LN('2.ΤΙΜΕΣ ΚΛΕΙΣΙΜΑΤΟΣ'!AQ64/'2.ΤΙΜΕΣ ΚΛΕΙΣΙΜΑΤΟΣ'!AQ63)</f>
        <v>5.5350095083164901E-2</v>
      </c>
      <c r="AR63" s="43">
        <f>LN('2.ΤΙΜΕΣ ΚΛΕΙΣΙΜΑΤΟΣ'!AR64/'2.ΤΙΜΕΣ ΚΛΕΙΣΙΜΑΤΟΣ'!AR63)</f>
        <v>6.9686693160934355E-3</v>
      </c>
      <c r="AS63" s="43">
        <f>LN('2.ΤΙΜΕΣ ΚΛΕΙΣΙΜΑΤΟΣ'!AS64/'2.ΤΙΜΕΣ ΚΛΕΙΣΙΜΑΤΟΣ'!AS63)</f>
        <v>3.0666798392972323E-2</v>
      </c>
      <c r="AT63" s="43">
        <f>LN('2.ΤΙΜΕΣ ΚΛΕΙΣΙΜΑΤΟΣ'!AT64/'2.ΤΙΜΕΣ ΚΛΕΙΣΙΜΑΤΟΣ'!AT63)</f>
        <v>9.6143860552902347E-2</v>
      </c>
      <c r="AU63" s="43">
        <f>LN('2.ΤΙΜΕΣ ΚΛΕΙΣΙΜΑΤΟΣ'!AU64/'2.ΤΙΜΕΣ ΚΛΕΙΣΙΜΑΤΟΣ'!AU63)</f>
        <v>6.7705065672107071E-3</v>
      </c>
    </row>
    <row r="64" spans="1:47">
      <c r="A64" s="41">
        <v>43648</v>
      </c>
      <c r="B64" s="43">
        <f>LN('2.ΤΙΜΕΣ ΚΛΕΙΣΙΜΑΤΟΣ'!B65/'2.ΤΙΜΕΣ ΚΛΕΙΣΙΜΑΤΟΣ'!B64)</f>
        <v>5.5401803756153509E-3</v>
      </c>
      <c r="C64" s="43">
        <f>LN('2.ΤΙΜΕΣ ΚΛΕΙΣΙΜΑΤΟΣ'!C65/'2.ΤΙΜΕΣ ΚΛΕΙΣΙΜΑΤΟΣ'!C64)</f>
        <v>5.4158739730326378E-3</v>
      </c>
      <c r="D64" s="43">
        <f>LN('2.ΤΙΜΕΣ ΚΛΕΙΣΙΜΑΤΟΣ'!D65/'2.ΤΙΜΕΣ ΚΛΕΙΣΙΜΑΤΟΣ'!D64)</f>
        <v>5.0932166738162921E-3</v>
      </c>
      <c r="E64" s="43">
        <f>LN('2.ΤΙΜΕΣ ΚΛΕΙΣΙΜΑΤΟΣ'!E65/'2.ΤΙΜΕΣ ΚΛΕΙΣΙΜΑΤΟΣ'!E64)</f>
        <v>0</v>
      </c>
      <c r="F64" s="43">
        <f>LN('2.ΤΙΜΕΣ ΚΛΕΙΣΙΜΑΤΟΣ'!F65/'2.ΤΙΜΕΣ ΚΛΕΙΣΙΜΑΤΟΣ'!F64)</f>
        <v>-1.3318731840281315E-2</v>
      </c>
      <c r="G64" s="43">
        <f>LN('2.ΤΙΜΕΣ ΚΛΕΙΣΙΜΑΤΟΣ'!G65/'2.ΤΙΜΕΣ ΚΛΕΙΣΙΜΑΤΟΣ'!G64)</f>
        <v>0</v>
      </c>
      <c r="H64" s="43">
        <f>LN('2.ΤΙΜΕΣ ΚΛΕΙΣΙΜΑΤΟΣ'!H65/'2.ΤΙΜΕΣ ΚΛΕΙΣΙΜΑΤΟΣ'!H64)</f>
        <v>4.3010818993907017E-3</v>
      </c>
      <c r="I64" s="43">
        <f>LN('2.ΤΙΜΕΣ ΚΛΕΙΣΙΜΑΤΟΣ'!I65/'2.ΤΙΜΕΣ ΚΛΕΙΣΙΜΑΤΟΣ'!I64)</f>
        <v>-5.6980211146377786E-3</v>
      </c>
      <c r="J64" s="43">
        <f>LN('2.ΤΙΜΕΣ ΚΛΕΙΣΙΜΑΤΟΣ'!J65/'2.ΤΙΜΕΣ ΚΛΕΙΣΙΜΑΤΟΣ'!J64)</f>
        <v>-1.8872441025764342E-2</v>
      </c>
      <c r="K64" s="43">
        <f>LN('2.ΤΙΜΕΣ ΚΛΕΙΣΙΜΑΤΟΣ'!K65/'2.ΤΙΜΕΣ ΚΛΕΙΣΙΜΑΤΟΣ'!K64)</f>
        <v>-3.1627723190590855E-3</v>
      </c>
      <c r="L64" s="43">
        <f>LN('2.ΤΙΜΕΣ ΚΛΕΙΣΙΜΑΤΟΣ'!L65/'2.ΤΙΜΕΣ ΚΛΕΙΣΙΜΑΤΟΣ'!L64)</f>
        <v>-2.9055710514144131E-3</v>
      </c>
      <c r="M64" s="43">
        <f>LN('2.ΤΙΜΕΣ ΚΛΕΙΣΙΜΑΤΟΣ'!M65/'2.ΤΙΜΕΣ ΚΛΕΙΣΙΜΑΤΟΣ'!M64)</f>
        <v>1.1357184639274286E-3</v>
      </c>
      <c r="N64" s="43">
        <f>LN('2.ΤΙΜΕΣ ΚΛΕΙΣΙΜΑΤΟΣ'!N65/'2.ΤΙΜΕΣ ΚΛΕΙΣΙΜΑΤΟΣ'!N64)</f>
        <v>1.4467595116118576E-3</v>
      </c>
      <c r="O64" s="43">
        <f>LN('2.ΤΙΜΕΣ ΚΛΕΙΣΙΜΑΤΟΣ'!O65/'2.ΤΙΜΕΣ ΚΛΕΙΣΙΜΑΤΟΣ'!O64)</f>
        <v>-2.7173929765000266E-3</v>
      </c>
      <c r="P64" s="43">
        <f>LN('2.ΤΙΜΕΣ ΚΛΕΙΣΙΜΑΤΟΣ'!P65/'2.ΤΙΜΕΣ ΚΛΕΙΣΙΜΑΤΟΣ'!P64)</f>
        <v>3.5149421074445919E-3</v>
      </c>
      <c r="Q64" s="43">
        <f>LN('2.ΤΙΜΕΣ ΚΛΕΙΣΙΜΑΤΟΣ'!Q65/'2.ΤΙΜΕΣ ΚΛΕΙΣΙΜΑΤΟΣ'!Q64)</f>
        <v>-1.1696039763191298E-2</v>
      </c>
      <c r="R64" s="43">
        <f>LN('2.ΤΙΜΕΣ ΚΛΕΙΣΙΜΑΤΟΣ'!R65/'2.ΤΙΜΕΣ ΚΛΕΙΣΙΜΑΤΟΣ'!R64)</f>
        <v>1.7893121514049377E-2</v>
      </c>
      <c r="S64" s="43">
        <f>LN('2.ΤΙΜΕΣ ΚΛΕΙΣΙΜΑΤΟΣ'!S65/'2.ΤΙΜΕΣ ΚΛΕΙΣΙΜΑΤΟΣ'!S64)</f>
        <v>-1.9484857132123914E-2</v>
      </c>
      <c r="T64" s="43">
        <f>LN('2.ΤΙΜΕΣ ΚΛΕΙΣΙΜΑΤΟΣ'!T65/'2.ΤΙΜΕΣ ΚΛΕΙΣΙΜΑΤΟΣ'!T64)</f>
        <v>1.8349138668196617E-2</v>
      </c>
      <c r="U64" s="43">
        <f>LN('2.ΤΙΜΕΣ ΚΛΕΙΣΙΜΑΤΟΣ'!U65/'2.ΤΙΜΕΣ ΚΛΕΙΣΙΜΑΤΟΣ'!U64)</f>
        <v>-1.6847570572611357E-2</v>
      </c>
      <c r="V64" s="43">
        <f>LN('2.ΤΙΜΕΣ ΚΛΕΙΣΙΜΑΤΟΣ'!V65/'2.ΤΙΜΕΣ ΚΛΕΙΣΙΜΑΤΟΣ'!V64)</f>
        <v>1.3423020332140771E-2</v>
      </c>
      <c r="W64" s="43">
        <f>LN('2.ΤΙΜΕΣ ΚΛΕΙΣΙΜΑΤΟΣ'!W65/'2.ΤΙΜΕΣ ΚΛΕΙΣΙΜΑΤΟΣ'!W64)</f>
        <v>0</v>
      </c>
      <c r="X64" s="43">
        <f>LN('2.ΤΙΜΕΣ ΚΛΕΙΣΙΜΑΤΟΣ'!X65/'2.ΤΙΜΕΣ ΚΛΕΙΣΙΜΑΤΟΣ'!X64)</f>
        <v>-2.6184073489020319E-3</v>
      </c>
      <c r="Y64" s="43">
        <f>LN('2.ΤΙΜΕΣ ΚΛΕΙΣΙΜΑΤΟΣ'!Y65/'2.ΤΙΜΕΣ ΚΛΕΙΣΙΜΑΤΟΣ'!Y64)</f>
        <v>0</v>
      </c>
      <c r="Z64" s="43">
        <f>LN('2.ΤΙΜΕΣ ΚΛΕΙΣΙΜΑΤΟΣ'!Z65/'2.ΤΙΜΕΣ ΚΛΕΙΣΙΜΑΤΟΣ'!Z64)</f>
        <v>2.9462032730316067E-2</v>
      </c>
      <c r="AA64" s="43">
        <f>LN('2.ΤΙΜΕΣ ΚΛΕΙΣΙΜΑΤΟΣ'!AA65/'2.ΤΙΜΕΣ ΚΛΕΙΣΙΜΑΤΟΣ'!AA64)</f>
        <v>-6.578971098042511E-3</v>
      </c>
      <c r="AB64" s="43">
        <f>LN('2.ΤΙΜΕΣ ΚΛΕΙΣΙΜΑΤΟΣ'!AB65/'2.ΤΙΜΕΣ ΚΛΕΙΣΙΜΑΤΟΣ'!AB64)</f>
        <v>2.2472855852058576E-2</v>
      </c>
      <c r="AC64" s="43">
        <f>LN('2.ΤΙΜΕΣ ΚΛΕΙΣΙΜΑΤΟΣ'!AC65/'2.ΤΙΜΕΣ ΚΛΕΙΣΙΜΑΤΟΣ'!AC64)</f>
        <v>2.8089906110549518E-3</v>
      </c>
      <c r="AD64" s="43">
        <f>LN('2.ΤΙΜΕΣ ΚΛΕΙΣΙΜΑΤΟΣ'!AD65/'2.ΤΙΜΕΣ ΚΛΕΙΣΙΜΑΤΟΣ'!AD64)</f>
        <v>-9.0148710962154269E-3</v>
      </c>
      <c r="AE64" s="43">
        <f>LN('2.ΤΙΜΕΣ ΚΛΕΙΣΙΜΑΤΟΣ'!AE65/'2.ΤΙΜΕΣ ΚΛΕΙΣΙΜΑΤΟΣ'!AE64)</f>
        <v>-2.8072018778686376E-2</v>
      </c>
      <c r="AF64" s="43">
        <f>LN('2.ΤΙΜΕΣ ΚΛΕΙΣΙΜΑΤΟΣ'!AF65/'2.ΤΙΜΕΣ ΚΛΕΙΣΙΜΑΤΟΣ'!AF64)</f>
        <v>6.1919702479209804E-3</v>
      </c>
      <c r="AG64" s="43">
        <f>LN('2.ΤΙΜΕΣ ΚΛΕΙΣΙΜΑΤΟΣ'!AG65/'2.ΤΙΜΕΣ ΚΛΕΙΣΙΜΑΤΟΣ'!AG64)</f>
        <v>-2.9972273535791846E-2</v>
      </c>
      <c r="AH64" s="43">
        <f>LN('2.ΤΙΜΕΣ ΚΛΕΙΣΙΜΑΤΟΣ'!AH65/'2.ΤΙΜΕΣ ΚΛΕΙΣΙΜΑΤΟΣ'!AH64)</f>
        <v>-2.2279994363129116E-3</v>
      </c>
      <c r="AI64" s="43">
        <f>LN('2.ΤΙΜΕΣ ΚΛΕΙΣΙΜΑΤΟΣ'!AI65/'2.ΤΙΜΕΣ ΚΛΕΙΣΙΜΑΤΟΣ'!AI64)</f>
        <v>-1.6393809775676497E-2</v>
      </c>
      <c r="AJ64" s="43">
        <f>LN('2.ΤΙΜΕΣ ΚΛΕΙΣΙΜΑΤΟΣ'!AJ65/'2.ΤΙΜΕΣ ΚΛΕΙΣΙΜΑΤΟΣ'!AJ64)</f>
        <v>9.1743762760412295E-3</v>
      </c>
      <c r="AK64" s="43">
        <f>LN('2.ΤΙΜΕΣ ΚΛΕΙΣΙΜΑΤΟΣ'!AK65/'2.ΤΙΜΕΣ ΚΛΕΙΣΙΜΑΤΟΣ'!AK64)</f>
        <v>-4.7961722634929441E-3</v>
      </c>
      <c r="AL64" s="43">
        <f>LN('2.ΤΙΜΕΣ ΚΛΕΙΣΙΜΑΤΟΣ'!AL65/'2.ΤΙΜΕΣ ΚΛΕΙΣΙΜΑΤΟΣ'!AL64)</f>
        <v>-7.2727593290798087E-3</v>
      </c>
      <c r="AM64" s="43">
        <f>LN('2.ΤΙΜΕΣ ΚΛΕΙΣΙΜΑΤΟΣ'!AM65/'2.ΤΙΜΕΣ ΚΛΕΙΣΙΜΑΤΟΣ'!AM64)</f>
        <v>-1.1560822401075971E-2</v>
      </c>
      <c r="AN64" s="43">
        <f>LN('2.ΤΙΜΕΣ ΚΛΕΙΣΙΜΑΤΟΣ'!AN65/'2.ΤΙΜΕΣ ΚΛΕΙΣΙΜΑΤΟΣ'!AN64)</f>
        <v>-2.6539555234612263E-2</v>
      </c>
      <c r="AO64" s="43">
        <f>LN('2.ΤΙΜΕΣ ΚΛΕΙΣΙΜΑΤΟΣ'!AO65/'2.ΤΙΜΕΣ ΚΛΕΙΣΙΜΑΤΟΣ'!AO64)</f>
        <v>2.1374859584733393E-2</v>
      </c>
      <c r="AP64" s="43">
        <f>LN('2.ΤΙΜΕΣ ΚΛΕΙΣΙΜΑΤΟΣ'!AP65/'2.ΤΙΜΕΣ ΚΛΕΙΣΙΜΑΤΟΣ'!AP64)</f>
        <v>-2.6074422836682886E-2</v>
      </c>
      <c r="AQ64" s="43">
        <f>LN('2.ΤΙΜΕΣ ΚΛΕΙΣΙΜΑΤΟΣ'!AQ65/'2.ΤΙΜΕΣ ΚΛΕΙΣΙΜΑΤΟΣ'!AQ64)</f>
        <v>0</v>
      </c>
      <c r="AR64" s="43">
        <f>LN('2.ΤΙΜΕΣ ΚΛΕΙΣΙΜΑΤΟΣ'!AR65/'2.ΤΙΜΕΣ ΚΛΕΙΣΙΜΑΤΟΣ'!AR64)</f>
        <v>-1.0471299867295366E-2</v>
      </c>
      <c r="AS64" s="43">
        <f>LN('2.ΤΙΜΕΣ ΚΛΕΙΣΙΜΑΤΟΣ'!AS65/'2.ΤΙΜΕΣ ΚΛΕΙΣΙΜΑΤΟΣ'!AS64)</f>
        <v>-2.7212563524884815E-2</v>
      </c>
      <c r="AT64" s="43">
        <f>LN('2.ΤΙΜΕΣ ΚΛΕΙΣΙΜΑΤΟΣ'!AT65/'2.ΤΙΜΕΣ ΚΛΕΙΣΙΜΑΤΟΣ'!AT64)</f>
        <v>2.061928720273561E-2</v>
      </c>
      <c r="AU64" s="43">
        <f>LN('2.ΤΙΜΕΣ ΚΛΕΙΣΙΜΑΤΟΣ'!AU65/'2.ΤΙΜΕΣ ΚΛΕΙΣΙΜΑΤΟΣ'!AU64)</f>
        <v>1.0292477923153343E-4</v>
      </c>
    </row>
    <row r="65" spans="1:47">
      <c r="A65" s="41">
        <v>43649</v>
      </c>
      <c r="B65" s="43">
        <f>LN('2.ΤΙΜΕΣ ΚΛΕΙΣΙΜΑΤΟΣ'!B66/'2.ΤΙΜΕΣ ΚΛΕΙΣΙΜΑΤΟΣ'!B65)</f>
        <v>2.0150365150949052E-2</v>
      </c>
      <c r="C65" s="43">
        <f>LN('2.ΤΙΜΕΣ ΚΛΕΙΣΙΜΑΤΟΣ'!C66/'2.ΤΙΜΕΣ ΚΛΕΙΣΙΜΑΤΟΣ'!C65)</f>
        <v>7.7130740422382677E-4</v>
      </c>
      <c r="D65" s="43">
        <f>LN('2.ΤΙΜΕΣ ΚΛΕΙΣΙΜΑΤΟΣ'!D66/'2.ΤΙΜΕΣ ΚΛΕΙΣΙΜΑΤΟΣ'!D65)</f>
        <v>1.5025745307095039E-2</v>
      </c>
      <c r="E65" s="43">
        <f>LN('2.ΤΙΜΕΣ ΚΛΕΙΣΙΜΑΤΟΣ'!E66/'2.ΤΙΜΕΣ ΚΛΕΙΣΙΜΑΤΟΣ'!E65)</f>
        <v>2.0086758566737511E-2</v>
      </c>
      <c r="F65" s="43">
        <f>LN('2.ΤΙΜΕΣ ΚΛΕΙΣΙΜΑΤΟΣ'!F66/'2.ΤΙΜΕΣ ΚΛΕΙΣΙΜΑΤΟΣ'!F65)</f>
        <v>1.66208812360405E-2</v>
      </c>
      <c r="G65" s="43">
        <f>LN('2.ΤΙΜΕΣ ΚΛΕΙΣΙΜΑΤΟΣ'!G66/'2.ΤΙΜΕΣ ΚΛΕΙΣΙΜΑΤΟΣ'!G65)</f>
        <v>6.8886609951853157E-3</v>
      </c>
      <c r="H65" s="43">
        <f>LN('2.ΤΙΜΕΣ ΚΛΕΙΣΙΜΑΤΟΣ'!H66/'2.ΤΙΜΕΣ ΚΛΕΙΣΙΜΑΤΟΣ'!H65)</f>
        <v>2.9600469776290682E-2</v>
      </c>
      <c r="I65" s="43">
        <f>LN('2.ΤΙΜΕΣ ΚΛΕΙΣΙΜΑΤΟΣ'!I66/'2.ΤΙΜΕΣ ΚΛΕΙΣΙΜΑΤΟΣ'!I65)</f>
        <v>2.8170876966696439E-2</v>
      </c>
      <c r="J65" s="43">
        <f>LN('2.ΤΙΜΕΣ ΚΛΕΙΣΙΜΑΤΟΣ'!J66/'2.ΤΙΜΕΣ ΚΛΕΙΣΙΜΑΤΟΣ'!J65)</f>
        <v>2.0118029727393016E-2</v>
      </c>
      <c r="K65" s="43">
        <f>LN('2.ΤΙΜΕΣ ΚΛΕΙΣΙΜΑΤΟΣ'!K66/'2.ΤΙΜΕΣ ΚΛΕΙΣΙΜΑΤΟΣ'!K65)</f>
        <v>-1.0187334629423242E-3</v>
      </c>
      <c r="L65" s="43">
        <f>LN('2.ΤΙΜΕΣ ΚΛΕΙΣΙΜΑΤΟΣ'!L66/'2.ΤΙΜΕΣ ΚΛΕΙΣΙΜΑΤΟΣ'!L65)</f>
        <v>2.6795861584446488E-2</v>
      </c>
      <c r="M65" s="43">
        <f>LN('2.ΤΙΜΕΣ ΚΛΕΙΣΙΜΑΤΟΣ'!M66/'2.ΤΙΜΕΣ ΚΛΕΙΣΙΜΑΤΟΣ'!M65)</f>
        <v>2.7981680106799849E-2</v>
      </c>
      <c r="N65" s="43">
        <f>LN('2.ΤΙΜΕΣ ΚΛΕΙΣΙΜΑΤΟΣ'!N66/'2.ΤΙΜΕΣ ΚΛΕΙΣΙΜΑΤΟΣ'!N65)</f>
        <v>8.4935369882308039E-3</v>
      </c>
      <c r="O65" s="43">
        <f>LN('2.ΤΙΜΕΣ ΚΛΕΙΣΙΜΑΤΟΣ'!O66/'2.ΤΙΜΕΣ ΚΛΕΙΣΙΜΑΤΟΣ'!O65)</f>
        <v>3.3447934067540125E-2</v>
      </c>
      <c r="P65" s="43">
        <f>LN('2.ΤΙΜΕΣ ΚΛΕΙΣΙΜΑΤΟΣ'!P66/'2.ΤΙΜΕΣ ΚΛΕΙΣΙΜΑΤΟΣ'!P65)</f>
        <v>-1.7559267022649199E-3</v>
      </c>
      <c r="Q65" s="43">
        <f>LN('2.ΤΙΜΕΣ ΚΛΕΙΣΙΜΑΤΟΣ'!Q66/'2.ΤΙΜΕΣ ΚΛΕΙΣΙΜΑΤΟΣ'!Q65)</f>
        <v>1.9418085857101516E-2</v>
      </c>
      <c r="R65" s="43">
        <f>LN('2.ΤΙΜΕΣ ΚΛΕΙΣΙΜΑΤΟΣ'!R66/'2.ΤΙΜΕΣ ΚΛΕΙΣΙΜΑΤΟΣ'!R65)</f>
        <v>0.14040427191228466</v>
      </c>
      <c r="S65" s="43">
        <f>LN('2.ΤΙΜΕΣ ΚΛΕΙΣΙΜΑΤΟΣ'!S66/'2.ΤΙΜΕΣ ΚΛΕΙΣΙΜΑΤΟΣ'!S65)</f>
        <v>2.061928720273561E-2</v>
      </c>
      <c r="T65" s="43">
        <f>LN('2.ΤΙΜΕΣ ΚΛΕΙΣΙΜΑΤΟΣ'!T66/'2.ΤΙΜΕΣ ΚΛΕΙΣΙΜΑΤΟΣ'!T65)</f>
        <v>0</v>
      </c>
      <c r="U65" s="43">
        <f>LN('2.ΤΙΜΕΣ ΚΛΕΙΣΙΜΑΤΟΣ'!U66/'2.ΤΙΜΕΣ ΚΛΕΙΣΙΜΑΤΟΣ'!U65)</f>
        <v>2.871010588243136E-2</v>
      </c>
      <c r="V65" s="43">
        <f>LN('2.ΤΙΜΕΣ ΚΛΕΙΣΙΜΑΤΟΣ'!V66/'2.ΤΙΜΕΣ ΚΛΕΙΣΙΜΑΤΟΣ'!V65)</f>
        <v>2.1978906718775167E-2</v>
      </c>
      <c r="W65" s="43">
        <f>LN('2.ΤΙΜΕΣ ΚΛΕΙΣΙΜΑΤΟΣ'!W66/'2.ΤΙΜΕΣ ΚΛΕΙΣΙΜΑΤΟΣ'!W65)</f>
        <v>2.0594307498743795E-2</v>
      </c>
      <c r="X65" s="43">
        <f>LN('2.ΤΙΜΕΣ ΚΛΕΙΣΙΜΑΤΟΣ'!X66/'2.ΤΙΜΕΣ ΚΛΕΙΣΙΜΑΤΟΣ'!X65)</f>
        <v>0</v>
      </c>
      <c r="Y65" s="43">
        <f>LN('2.ΤΙΜΕΣ ΚΛΕΙΣΙΜΑΤΟΣ'!Y66/'2.ΤΙΜΕΣ ΚΛΕΙΣΙΜΑΤΟΣ'!Y65)</f>
        <v>1.980262729617973E-2</v>
      </c>
      <c r="Z65" s="43">
        <f>LN('2.ΤΙΜΕΣ ΚΛΕΙΣΙΜΑΤΟΣ'!Z66/'2.ΤΙΜΕΣ ΚΛΕΙΣΙΜΑΤΟΣ'!Z65)</f>
        <v>-6.4725145056174788E-3</v>
      </c>
      <c r="AA65" s="43">
        <f>LN('2.ΤΙΜΕΣ ΚΛΕΙΣΙΜΑΤΟΣ'!AA66/'2.ΤΙΜΕΣ ΚΛΕΙΣΙΜΑΤΟΣ'!AA65)</f>
        <v>0</v>
      </c>
      <c r="AB65" s="43">
        <f>LN('2.ΤΙΜΕΣ ΚΛΕΙΣΙΜΑΤΟΣ'!AB66/'2.ΤΙΜΕΣ ΚΛΕΙΣΙΜΑΤΟΣ'!AB65)</f>
        <v>3.4580333596778902E-2</v>
      </c>
      <c r="AC65" s="43">
        <f>LN('2.ΤΙΜΕΣ ΚΛΕΙΣΙΜΑΤΟΣ'!AC66/'2.ΤΙΜΕΣ ΚΛΕΙΣΙΜΑΤΟΣ'!AC65)</f>
        <v>1.3927801744468804E-2</v>
      </c>
      <c r="AD65" s="43">
        <f>LN('2.ΤΙΜΕΣ ΚΛΕΙΣΙΜΑΤΟΣ'!AD66/'2.ΤΙΜΕΣ ΚΛΕΙΣΙΜΑΤΟΣ'!AD65)</f>
        <v>1.4129971762985855E-2</v>
      </c>
      <c r="AE65" s="43">
        <f>LN('2.ΤΙΜΕΣ ΚΛΕΙΣΙΜΑΤΟΣ'!AE66/'2.ΤΙΜΕΣ ΚΛΕΙΣΙΜΑΤΟΣ'!AE65)</f>
        <v>0</v>
      </c>
      <c r="AF65" s="43">
        <f>LN('2.ΤΙΜΕΣ ΚΛΕΙΣΙΜΑΤΟΣ'!AF66/'2.ΤΙΜΕΣ ΚΛΕΙΣΙΜΑΤΟΣ'!AF65)</f>
        <v>5.0650083456517711E-2</v>
      </c>
      <c r="AG65" s="43">
        <f>LN('2.ΤΙΜΕΣ ΚΛΕΙΣΙΜΑΤΟΣ'!AG66/'2.ΤΙΜΕΣ ΚΛΕΙΣΙΜΑΤΟΣ'!AG65)</f>
        <v>-2.6723070140753508E-2</v>
      </c>
      <c r="AH65" s="43">
        <f>LN('2.ΤΙΜΕΣ ΚΛΕΙΣΙΜΑΤΟΣ'!AH66/'2.ΤΙΜΕΣ ΚΛΕΙΣΙΜΑΤΟΣ'!AH65)</f>
        <v>0</v>
      </c>
      <c r="AI65" s="43">
        <f>LN('2.ΤΙΜΕΣ ΚΛΕΙΣΙΜΑΤΟΣ'!AI66/'2.ΤΙΜΕΣ ΚΛΕΙΣΙΜΑΤΟΣ'!AI65)</f>
        <v>0</v>
      </c>
      <c r="AJ65" s="43">
        <f>LN('2.ΤΙΜΕΣ ΚΛΕΙΣΙΜΑΤΟΣ'!AJ66/'2.ΤΙΜΕΣ ΚΛΕΙΣΙΜΑΤΟΣ'!AJ65)</f>
        <v>7.0513784327658133E-2</v>
      </c>
      <c r="AK65" s="43">
        <f>LN('2.ΤΙΜΕΣ ΚΛΕΙΣΙΜΑΤΟΣ'!AK66/'2.ΤΙΜΕΣ ΚΛΕΙΣΙΜΑΤΟΣ'!AK65)</f>
        <v>2.3754086008107057E-2</v>
      </c>
      <c r="AL65" s="43">
        <f>LN('2.ΤΙΜΕΣ ΚΛΕΙΣΙΜΑΤΟΣ'!AL66/'2.ΤΙΜΕΣ ΚΛΕΙΣΙΜΑΤΟΣ'!AL65)</f>
        <v>-2.9631797606371229E-2</v>
      </c>
      <c r="AM65" s="43">
        <f>LN('2.ΤΙΜΕΣ ΚΛΕΙΣΙΜΑΤΟΣ'!AM66/'2.ΤΙΜΕΣ ΚΛΕΙΣΙΜΑΤΟΣ'!AM65)</f>
        <v>-1.1696039763191187E-2</v>
      </c>
      <c r="AN65" s="43">
        <f>LN('2.ΤΙΜΕΣ ΚΛΕΙΣΙΜΑΤΟΣ'!AN66/'2.ΤΙΜΕΣ ΚΛΕΙΣΙΜΑΤΟΣ'!AN65)</f>
        <v>6.1630875045882307E-2</v>
      </c>
      <c r="AO65" s="43">
        <f>LN('2.ΤΙΜΕΣ ΚΛΕΙΣΙΜΑΤΟΣ'!AO66/'2.ΤΙΜΕΣ ΚΛΕΙΣΙΜΑΤΟΣ'!AO65)</f>
        <v>2.388173200338738E-2</v>
      </c>
      <c r="AP65" s="43">
        <f>LN('2.ΤΙΜΕΣ ΚΛΕΙΣΙΜΑΤΟΣ'!AP66/'2.ΤΙΜΕΣ ΚΛΕΙΣΙΜΑΤΟΣ'!AP65)</f>
        <v>-2.6772542028363523E-2</v>
      </c>
      <c r="AQ65" s="43">
        <f>LN('2.ΤΙΜΕΣ ΚΛΕΙΣΙΜΑΤΟΣ'!AQ66/'2.ΤΙΜΕΣ ΚΛΕΙΣΙΜΑΤΟΣ'!AQ65)</f>
        <v>1.9048194970694411E-2</v>
      </c>
      <c r="AR65" s="43">
        <f>LN('2.ΤΙΜΕΣ ΚΛΕΙΣΙΜΑΤΟΣ'!AR66/'2.ΤΙΜΕΣ ΚΛΕΙΣΙΜΑΤΟΣ'!AR65)</f>
        <v>8.0852096629094775E-2</v>
      </c>
      <c r="AS65" s="43">
        <f>LN('2.ΤΙΜΕΣ ΚΛΕΙΣΙΜΑΤΟΣ'!AS66/'2.ΤΙΜΕΣ ΚΛΕΙΣΙΜΑΤΟΣ'!AS65)</f>
        <v>3.3901551675681416E-2</v>
      </c>
      <c r="AT65" s="43">
        <f>LN('2.ΤΙΜΕΣ ΚΛΕΙΣΙΜΑΤΟΣ'!AT66/'2.ΤΙΜΕΣ ΚΛΕΙΣΙΜΑΤΟΣ'!AT65)</f>
        <v>-2.0429016298002933E-3</v>
      </c>
      <c r="AU65" s="43">
        <f>LN('2.ΤΙΜΕΣ ΚΛΕΙΣΙΜΑΤΟΣ'!AU66/'2.ΤΙΜΕΣ ΚΛΕΙΣΙΜΑΤΟΣ'!AU65)</f>
        <v>1.9074302087765661E-2</v>
      </c>
    </row>
    <row r="66" spans="1:47">
      <c r="A66" s="41">
        <v>43650</v>
      </c>
      <c r="B66" s="43">
        <f>LN('2.ΤΙΜΕΣ ΚΛΕΙΣΙΜΑΤΟΣ'!B67/'2.ΤΙΜΕΣ ΚΛΕΙΣΙΜΑΤΟΣ'!B66)</f>
        <v>-5.4764085409975106E-2</v>
      </c>
      <c r="C66" s="43">
        <f>LN('2.ΤΙΜΕΣ ΚΛΕΙΣΙΜΑΤΟΣ'!C67/'2.ΤΙΜΕΣ ΚΛΕΙΣΙΜΑΤΟΣ'!C66)</f>
        <v>-1.0073700066537508E-2</v>
      </c>
      <c r="D66" s="43">
        <f>LN('2.ΤΙΜΕΣ ΚΛΕΙΣΙΜΑΤΟΣ'!D67/'2.ΤΙΜΕΣ ΚΛΕΙΣΙΜΑΤΟΣ'!D66)</f>
        <v>-1.0059434993177827E-2</v>
      </c>
      <c r="E66" s="43">
        <f>LN('2.ΤΙΜΕΣ ΚΛΕΙΣΙΜΑΤΟΣ'!E67/'2.ΤΙΜΕΣ ΚΛΕΙΣΙΜΑΤΟΣ'!E66)</f>
        <v>2.3583350136085597E-2</v>
      </c>
      <c r="F66" s="43">
        <f>LN('2.ΤΙΜΕΣ ΚΛΕΙΣΙΜΑΤΟΣ'!F67/'2.ΤΙΜΕΣ ΚΛΕΙΣΙΜΑΤΟΣ'!F66)</f>
        <v>-9.9393419025577759E-3</v>
      </c>
      <c r="G66" s="43">
        <f>LN('2.ΤΙΜΕΣ ΚΛΕΙΣΙΜΑΤΟΣ'!G67/'2.ΤΙΜΕΣ ΚΛΕΙΣΙΜΑΤΟΣ'!G66)</f>
        <v>2.0385756924473961E-2</v>
      </c>
      <c r="H66" s="43">
        <f>LN('2.ΤΙΜΕΣ ΚΛΕΙΣΙΜΑΤΟΣ'!H67/'2.ΤΙΜΕΣ ΚΛΕΙΣΙΜΑΤΟΣ'!H66)</f>
        <v>-8.3368074857745312E-4</v>
      </c>
      <c r="I66" s="43">
        <f>LN('2.ΤΙΜΕΣ ΚΛΕΙΣΙΜΑΤΟΣ'!I67/'2.ΤΙΜΕΣ ΚΛΕΙΣΙΜΑΤΟΣ'!I66)</f>
        <v>3.8813467079723751E-3</v>
      </c>
      <c r="J66" s="43">
        <f>LN('2.ΤΙΜΕΣ ΚΛΕΙΣΙΜΑΤΟΣ'!J67/'2.ΤΙΜΕΣ ΚΛΕΙΣΙΜΑΤΟΣ'!J66)</f>
        <v>2.6613648518089904E-2</v>
      </c>
      <c r="K66" s="43">
        <f>LN('2.ΤΙΜΕΣ ΚΛΕΙΣΙΜΑΤΟΣ'!K67/'2.ΤΙΜΕΣ ΚΛΕΙΣΙΜΑΤΟΣ'!K66)</f>
        <v>2.8359609627443307E-2</v>
      </c>
      <c r="L66" s="43">
        <f>LN('2.ΤΙΜΕΣ ΚΛΕΙΣΙΜΑΤΟΣ'!L67/'2.ΤΙΜΕΣ ΚΛΕΙΣΙΜΑΤΟΣ'!L66)</f>
        <v>1.0333581854545398E-2</v>
      </c>
      <c r="M66" s="43">
        <f>LN('2.ΤΙΜΕΣ ΚΛΕΙΣΙΜΑΤΟΣ'!M67/'2.ΤΙΜΕΣ ΚΛΕΙΣΙΜΑΤΟΣ'!M66)</f>
        <v>6.6006840313518724E-3</v>
      </c>
      <c r="N66" s="43">
        <f>LN('2.ΤΙΜΕΣ ΚΛΕΙΣΙΜΑΤΟΣ'!N67/'2.ΤΙΜΕΣ ΚΛΕΙΣΙΜΑΤΟΣ'!N66)</f>
        <v>1.1119145207181796E-2</v>
      </c>
      <c r="O66" s="43">
        <f>LN('2.ΤΙΜΕΣ ΚΛΕΙΣΙΜΑΤΟΣ'!O67/'2.ΤΙΜΕΣ ΚΛΕΙΣΙΜΑΤΟΣ'!O66)</f>
        <v>0</v>
      </c>
      <c r="P66" s="43">
        <f>LN('2.ΤΙΜΕΣ ΚΛΕΙΣΙΜΑΤΟΣ'!P67/'2.ΤΙΜΕΣ ΚΛΕΙΣΙΜΑΤΟΣ'!P66)</f>
        <v>8.7489621932355446E-3</v>
      </c>
      <c r="Q66" s="43">
        <f>LN('2.ΤΙΜΕΣ ΚΛΕΙΣΙΜΑΤΟΣ'!Q67/'2.ΤΙΜΕΣ ΚΛΕΙΣΙΜΑΤΟΣ'!Q66)</f>
        <v>2.2187914975362138E-2</v>
      </c>
      <c r="R66" s="43">
        <f>LN('2.ΤΙΜΕΣ ΚΛΕΙΣΙΜΑΤΟΣ'!R67/'2.ΤΙΜΕΣ ΚΛΕΙΣΙΜΑΤΟΣ'!R66)</f>
        <v>6.3039109910952532E-2</v>
      </c>
      <c r="S66" s="43">
        <f>LN('2.ΤΙΜΕΣ ΚΛΕΙΣΙΜΑΤΟΣ'!S67/'2.ΤΙΜΕΣ ΚΛΕΙΣΙΜΑΤΟΣ'!S66)</f>
        <v>1.9090978464829027E-2</v>
      </c>
      <c r="T66" s="43">
        <f>LN('2.ΤΙΜΕΣ ΚΛΕΙΣΙΜΑΤΟΣ'!T67/'2.ΤΙΜΕΣ ΚΛΕΙΣΙΜΑΤΟΣ'!T66)</f>
        <v>-2.0666636808559222E-2</v>
      </c>
      <c r="U66" s="43">
        <f>LN('2.ΤΙΜΕΣ ΚΛΕΙΣΙΜΑΤΟΣ'!U67/'2.ΤΙΜΕΣ ΚΛΕΙΣΙΜΑΤΟΣ'!U66)</f>
        <v>1.4051753455650287E-2</v>
      </c>
      <c r="V66" s="43">
        <f>LN('2.ΤΙΜΕΣ ΚΛΕΙΣΙΜΑΤΟΣ'!V67/'2.ΤΙΜΕΣ ΚΛΕΙΣΙΜΑΤΟΣ'!V66)</f>
        <v>0</v>
      </c>
      <c r="W66" s="43">
        <f>LN('2.ΤΙΜΕΣ ΚΛΕΙΣΙΜΑΤΟΣ'!W67/'2.ΤΙΜΕΣ ΚΛΕΙΣΙΜΑΤΟΣ'!W66)</f>
        <v>2.3952107259548501E-3</v>
      </c>
      <c r="X66" s="43">
        <f>LN('2.ΤΙΜΕΣ ΚΛΕΙΣΙΜΑΤΟΣ'!X67/'2.ΤΙΜΕΣ ΚΛΕΙΣΙΜΑΤΟΣ'!X66)</f>
        <v>2.6184073489019669E-3</v>
      </c>
      <c r="Y66" s="43">
        <f>LN('2.ΤΙΜΕΣ ΚΛΕΙΣΙΜΑΤΟΣ'!Y67/'2.ΤΙΜΕΣ ΚΛΕΙΣΙΜΑΤΟΣ'!Y66)</f>
        <v>9.7561749453648743E-3</v>
      </c>
      <c r="Z66" s="43">
        <f>LN('2.ΤΙΜΕΣ ΚΛΕΙΣΙΜΑΤΟΣ'!Z67/'2.ΤΙΜΕΣ ΚΛΕΙΣΙΜΑΤΟΣ'!Z66)</f>
        <v>-2.6317308317373417E-2</v>
      </c>
      <c r="AA66" s="43">
        <f>LN('2.ΤΙΜΕΣ ΚΛΕΙΣΙΜΑΤΟΣ'!AA67/'2.ΤΙΜΕΣ ΚΛΕΙΣΙΜΑΤΟΣ'!AA66)</f>
        <v>-9.9503308531679793E-3</v>
      </c>
      <c r="AB66" s="43">
        <f>LN('2.ΤΙΜΕΣ ΚΛΕΙΣΙΜΑΤΟΣ'!AB67/'2.ΤΙΜΕΣ ΚΛΕΙΣΙΜΑΤΟΣ'!AB66)</f>
        <v>8.9047783429596853E-3</v>
      </c>
      <c r="AC66" s="43">
        <f>LN('2.ΤΙΜΕΣ ΚΛΕΙΣΙΜΑΤΟΣ'!AC67/'2.ΤΙΜΕΣ ΚΛΕΙΣΙΜΑΤΟΣ'!AC66)</f>
        <v>2.7624326959100796E-3</v>
      </c>
      <c r="AD66" s="43">
        <f>LN('2.ΤΙΜΕΣ ΚΛΕΙΣΙΜΑΤΟΣ'!AD67/'2.ΤΙΜΕΣ ΚΛΕΙΣΙΜΑΤΟΣ'!AD66)</f>
        <v>-7.6824961720162819E-3</v>
      </c>
      <c r="AE66" s="43">
        <f>LN('2.ΤΙΜΕΣ ΚΛΕΙΣΙΜΑΤΟΣ'!AE67/'2.ΤΙΜΕΣ ΚΛΕΙΣΙΜΑΤΟΣ'!AE66)</f>
        <v>3.5524016043677006E-3</v>
      </c>
      <c r="AF66" s="43">
        <f>LN('2.ΤΙΜΕΣ ΚΛΕΙΣΙΜΑΤΟΣ'!AF67/'2.ΤΙΜΕΣ ΚΛΕΙΣΙΜΑΤΟΣ'!AF66)</f>
        <v>0</v>
      </c>
      <c r="AG66" s="43">
        <f>LN('2.ΤΙΜΕΣ ΚΛΕΙΣΙΜΑΤΟΣ'!AG67/'2.ΤΙΜΕΣ ΚΛΕΙΣΙΜΑΤΟΣ'!AG66)</f>
        <v>-3.3901551675681228E-2</v>
      </c>
      <c r="AH66" s="43">
        <f>LN('2.ΤΙΜΕΣ ΚΛΕΙΣΙΜΑΤΟΣ'!AH67/'2.ΤΙΜΕΣ ΚΛΕΙΣΙΜΑΤΟΣ'!AH66)</f>
        <v>9.6190160827020529E-3</v>
      </c>
      <c r="AI66" s="43">
        <f>LN('2.ΤΙΜΕΣ ΚΛΕΙΣΙΜΑΤΟΣ'!AI67/'2.ΤΙΜΕΣ ΚΛΕΙΣΙΜΑΤΟΣ'!AI66)</f>
        <v>8.2304991365154435E-3</v>
      </c>
      <c r="AJ66" s="43">
        <f>LN('2.ΤΙΜΕΣ ΚΛΕΙΣΙΜΑΤΟΣ'!AJ67/'2.ΤΙΜΕΣ ΚΛΕΙΣΙΜΑΤΟΣ'!AJ66)</f>
        <v>-5.2413742684040282E-2</v>
      </c>
      <c r="AK66" s="43">
        <f>LN('2.ΤΙΜΕΣ ΚΛΕΙΣΙΜΑΤΟΣ'!AK67/'2.ΤΙΜΕΣ ΚΛΕΙΣΙΜΑΤΟΣ'!AK66)</f>
        <v>4.5879605750693657E-2</v>
      </c>
      <c r="AL66" s="43">
        <f>LN('2.ΤΙΜΕΣ ΚΛΕΙΣΙΜΑΤΟΣ'!AL67/'2.ΤΙΜΕΣ ΚΛΕΙΣΙΜΑΤΟΣ'!AL66)</f>
        <v>8.6384614198820431E-2</v>
      </c>
      <c r="AM66" s="43">
        <f>LN('2.ΤΙΜΕΣ ΚΛΕΙΣΙΜΑΤΟΣ'!AM67/'2.ΤΙΜΕΣ ΚΛΕΙΣΙΜΑΤΟΣ'!AM66)</f>
        <v>9.367750003600241E-3</v>
      </c>
      <c r="AN66" s="43">
        <f>LN('2.ΤΙΜΕΣ ΚΛΕΙΣΙΜΑΤΟΣ'!AN67/'2.ΤΙΜΕΣ ΚΛΕΙΣΙΜΑΤΟΣ'!AN66)</f>
        <v>8.1632954496871163E-2</v>
      </c>
      <c r="AO66" s="43">
        <f>LN('2.ΤΙΜΕΣ ΚΛΕΙΣΙΜΑΤΟΣ'!AO67/'2.ΤΙΜΕΣ ΚΛΕΙΣΙΜΑΤΟΣ'!AO66)</f>
        <v>-5.9171770280885072E-3</v>
      </c>
      <c r="AP66" s="43">
        <f>LN('2.ΤΙΜΕΣ ΚΛΕΙΣΙΜΑΤΟΣ'!AP67/'2.ΤΙΜΕΣ ΚΛΕΙΣΙΜΑΤΟΣ'!AP66)</f>
        <v>2.6772542028363641E-2</v>
      </c>
      <c r="AQ66" s="43">
        <f>LN('2.ΤΙΜΕΣ ΚΛΕΙΣΙΜΑΤΟΣ'!AQ67/'2.ΤΙΜΕΣ ΚΛΕΙΣΙΜΑΤΟΣ'!AQ66)</f>
        <v>0</v>
      </c>
      <c r="AR66" s="43">
        <f>LN('2.ΤΙΜΕΣ ΚΛΕΙΣΙΜΑΤΟΣ'!AR67/'2.ΤΙΜΕΣ ΚΛΕΙΣΙΜΑΤΟΣ'!AR66)</f>
        <v>-5.3168667880678096E-2</v>
      </c>
      <c r="AS66" s="43">
        <f>LN('2.ΤΙΜΕΣ ΚΛΕΙΣΙΜΑΤΟΣ'!AS67/'2.ΤΙΜΕΣ ΚΛΕΙΣΙΜΑΤΟΣ'!AS66)</f>
        <v>-2.3609865639133736E-2</v>
      </c>
      <c r="AT66" s="43">
        <f>LN('2.ΤΙΜΕΣ ΚΛΕΙΣΙΜΑΤΟΣ'!AT67/'2.ΤΙΜΕΣ ΚΛΕΙΣΙΜΑΤΟΣ'!AT66)</f>
        <v>6.7218974590050981E-2</v>
      </c>
      <c r="AU66" s="43">
        <f>LN('2.ΤΙΜΕΣ ΚΛΕΙΣΙΜΑΤΟΣ'!AU67/'2.ΤΙΜΕΣ ΚΛΕΙΣΙΜΑΤΟΣ'!AU66)</f>
        <v>1.8270987288228038E-3</v>
      </c>
    </row>
    <row r="67" spans="1:47">
      <c r="A67" s="41">
        <v>43651</v>
      </c>
      <c r="B67" s="43">
        <f>LN('2.ΤΙΜΕΣ ΚΛΕΙΣΙΜΑΤΟΣ'!B68/'2.ΤΙΜΕΣ ΚΛΕΙΣΙΜΑΤΟΣ'!B67)</f>
        <v>-2.3143542098703573E-2</v>
      </c>
      <c r="C67" s="43">
        <f>LN('2.ΤΙΜΕΣ ΚΛΕΙΣΙΜΑΤΟΣ'!C68/'2.ΤΙΜΕΣ ΚΛΕΙΣΙΜΑΤΟΣ'!C67)</f>
        <v>-1.4117881545784932E-2</v>
      </c>
      <c r="D67" s="43">
        <f>LN('2.ΤΙΜΕΣ ΚΛΕΙΣΙΜΑΤΟΣ'!D68/'2.ΤΙΜΕΣ ΚΛΕΙΣΙΜΑΤΟΣ'!D67)</f>
        <v>1.5051458139595646E-2</v>
      </c>
      <c r="E67" s="43">
        <f>LN('2.ΤΙΜΕΣ ΚΛΕΙΣΙΜΑΤΟΣ'!E68/'2.ΤΙΜΕΣ ΚΛΕΙΣΙΜΑΤΟΣ'!E67)</f>
        <v>4.2374617655711717E-2</v>
      </c>
      <c r="F67" s="43">
        <f>LN('2.ΤΙΜΕΣ ΚΛΕΙΣΙΜΑΤΟΣ'!F68/'2.ΤΙΜΕΣ ΚΛΕΙΣΙΜΑΤΟΣ'!F67)</f>
        <v>9.9393419025577048E-3</v>
      </c>
      <c r="G67" s="43">
        <f>LN('2.ΤΙΜΕΣ ΚΛΕΙΣΙΜΑΤΟΣ'!G68/'2.ΤΙΜΕΣ ΚΛΕΙΣΙΜΑΤΟΣ'!G67)</f>
        <v>-2.2446698538238618E-3</v>
      </c>
      <c r="H67" s="43">
        <f>LN('2.ΤΙΜΕΣ ΚΛΕΙΣΙΜΑΤΟΣ'!H68/'2.ΤΙΜΕΣ ΚΛΕΙΣΙΜΑΤΟΣ'!H67)</f>
        <v>0</v>
      </c>
      <c r="I67" s="43">
        <f>LN('2.ΤΙΜΕΣ ΚΛΕΙΣΙΜΑΤΟΣ'!I68/'2.ΤΙΜΕΣ ΚΛΕΙΣΙΜΑΤΟΣ'!I67)</f>
        <v>2.081126588239899E-2</v>
      </c>
      <c r="J67" s="43">
        <f>LN('2.ΤΙΜΕΣ ΚΛΕΙΣΙΜΑΤΟΣ'!J68/'2.ΤΙΜΕΣ ΚΛΕΙΣΙΜΑΤΟΣ'!J67)</f>
        <v>2.0181641562371953E-3</v>
      </c>
      <c r="K67" s="43">
        <f>LN('2.ΤΙΜΕΣ ΚΛΕΙΣΙΜΑΤΟΣ'!K68/'2.ΤΙΜΕΣ ΚΛΕΙΣΙΜΑΤΟΣ'!K67)</f>
        <v>2.3499775915898382E-2</v>
      </c>
      <c r="L67" s="43">
        <f>LN('2.ΤΙΜΕΣ ΚΛΕΙΣΙΜΑΤΟΣ'!L68/'2.ΤΙΜΕΣ ΚΛΕΙΣΙΜΑΤΟΣ'!L67)</f>
        <v>0</v>
      </c>
      <c r="M67" s="43">
        <f>LN('2.ΤΙΜΕΣ ΚΛΕΙΣΙΜΑΤΟΣ'!M68/'2.ΤΙΜΕΣ ΚΛΕΙΣΙΜΑΤΟΣ'!M67)</f>
        <v>5.4674821821336156E-3</v>
      </c>
      <c r="N67" s="43">
        <f>LN('2.ΤΙΜΕΣ ΚΛΕΙΣΙΜΑΤΟΣ'!N68/'2.ΤΙΜΕΣ ΚΛΕΙΣΙΜΑΤΟΣ'!N67)</f>
        <v>1.9374465355458802E-2</v>
      </c>
      <c r="O67" s="43">
        <f>LN('2.ΤΙΜΕΣ ΚΛΕΙΣΙΜΑΤΟΣ'!O68/'2.ΤΙΜΕΣ ΚΛΕΙΣΙΜΑΤΟΣ'!O67)</f>
        <v>-1.0582109330536972E-2</v>
      </c>
      <c r="P67" s="43">
        <f>LN('2.ΤΙΜΕΣ ΚΛΕΙΣΙΜΑΤΟΣ'!P68/'2.ΤΙΜΕΣ ΚΛΕΙΣΙΜΑΤΟΣ'!P67)</f>
        <v>-8.7489621932354249E-3</v>
      </c>
      <c r="Q67" s="43">
        <f>LN('2.ΤΙΜΕΣ ΚΛΕΙΣΙΜΑΤΟΣ'!Q68/'2.ΤΙΜΕΣ ΚΛΕΙΣΙΜΑΤΟΣ'!Q67)</f>
        <v>1.5552413007485003E-2</v>
      </c>
      <c r="R67" s="43">
        <f>LN('2.ΤΙΜΕΣ ΚΛΕΙΣΙΜΑΤΟΣ'!R68/'2.ΤΙΜΕΣ ΚΛΕΙΣΙΜΑΤΟΣ'!R67)</f>
        <v>-7.2610242370470535E-3</v>
      </c>
      <c r="S67" s="43">
        <f>LN('2.ΤΙΜΕΣ ΚΛΕΙΣΙΜΑΤΟΣ'!S68/'2.ΤΙΜΕΣ ΚΛΕΙΣΙΜΑΤΟΣ'!S67)</f>
        <v>-1.909097846482891E-2</v>
      </c>
      <c r="T67" s="43">
        <f>LN('2.ΤΙΜΕΣ ΚΛΕΙΣΙΜΑΤΟΣ'!T68/'2.ΤΙΜΕΣ ΚΛΕΙΣΙΜΑΤΟΣ'!T67)</f>
        <v>2.317498140362704E-3</v>
      </c>
      <c r="U67" s="43">
        <f>LN('2.ΤΙΜΕΣ ΚΛΕΙΣΙΜΑΤΟΣ'!U68/'2.ΤΙΜΕΣ ΚΛΕΙΣΙΜΑΤΟΣ'!U67)</f>
        <v>0</v>
      </c>
      <c r="V67" s="43">
        <f>LN('2.ΤΙΜΕΣ ΚΛΕΙΣΙΜΑΤΟΣ'!V68/'2.ΤΙΜΕΣ ΚΛΕΙΣΙΜΑΤΟΣ'!V67)</f>
        <v>0</v>
      </c>
      <c r="W67" s="43">
        <f>LN('2.ΤΙΜΕΣ ΚΛΕΙΣΙΜΑΤΟΣ'!W68/'2.ΤΙΜΕΣ ΚΛΕΙΣΙΜΑΤΟΣ'!W67)</f>
        <v>3.5820933825046557E-3</v>
      </c>
      <c r="X67" s="43">
        <f>LN('2.ΤΙΜΕΣ ΚΛΕΙΣΙΜΑΤΟΣ'!X68/'2.ΤΙΜΕΣ ΚΛΕΙΣΙΜΑΤΟΣ'!X67)</f>
        <v>-1.0048782092194938E-2</v>
      </c>
      <c r="Y67" s="43">
        <f>LN('2.ΤΙΜΕΣ ΚΛΕΙΣΙΜΑΤΟΣ'!Y68/'2.ΤΙΜΕΣ ΚΛΕΙΣΙΜΑΤΟΣ'!Y67)</f>
        <v>3.8759738446929397E-3</v>
      </c>
      <c r="Z67" s="43">
        <f>LN('2.ΤΙΜΕΣ ΚΛΕΙΣΙΜΑΤΟΣ'!Z68/'2.ΤΙΜΕΣ ΚΛΕΙΣΙΜΑΤΟΣ'!Z67)</f>
        <v>-1.6807118316381289E-2</v>
      </c>
      <c r="AA67" s="43">
        <f>LN('2.ΤΙΜΕΣ ΚΛΕΙΣΙΜΑΤΟΣ'!AA68/'2.ΤΙΜΕΣ ΚΛΕΙΣΙΜΑΤΟΣ'!AA67)</f>
        <v>9.950330853168092E-3</v>
      </c>
      <c r="AB67" s="43">
        <f>LN('2.ΤΙΜΕΣ ΚΛΕΙΣΙΜΑΤΟΣ'!AB68/'2.ΤΙΜΕΣ ΚΛΕΙΣΙΜΑΤΟΣ'!AB67)</f>
        <v>1.4084739881739023E-2</v>
      </c>
      <c r="AC67" s="43">
        <f>LN('2.ΤΙΜΕΣ ΚΛΕΙΣΙΜΑΤΟΣ'!AC68/'2.ΤΙΜΕΣ ΚΛΕΙΣΙΜΑΤΟΣ'!AC67)</f>
        <v>-2.0906684819313712E-2</v>
      </c>
      <c r="AD67" s="43">
        <f>LN('2.ΤΙΜΕΣ ΚΛΕΙΣΙΜΑΤΟΣ'!AD68/'2.ΤΙΜΕΣ ΚΛΕΙΣΙΜΑΤΟΣ'!AD67)</f>
        <v>-9.0381506150621471E-3</v>
      </c>
      <c r="AE67" s="43">
        <f>LN('2.ΤΙΜΕΣ ΚΛΕΙΣΙΜΑΤΟΣ'!AE68/'2.ΤΙΜΕΣ ΚΛΕΙΣΙΜΑΤΟΣ'!AE67)</f>
        <v>2.1053409197832263E-2</v>
      </c>
      <c r="AF67" s="43">
        <f>LN('2.ΤΙΜΕΣ ΚΛΕΙΣΙΜΑΤΟΣ'!AF68/'2.ΤΙΜΕΣ ΚΛΕΙΣΙΜΑΤΟΣ'!AF67)</f>
        <v>2.1766276481954505E-2</v>
      </c>
      <c r="AG67" s="43">
        <f>LN('2.ΤΙΜΕΣ ΚΛΕΙΣΙΜΑΤΟΣ'!AG68/'2.ΤΙΜΕΣ ΚΛΕΙΣΙΜΑΤΟΣ'!AG67)</f>
        <v>2.5533302005164626E-2</v>
      </c>
      <c r="AH67" s="43">
        <f>LN('2.ΤΙΜΕΣ ΚΛΕΙΣΙΜΑΤΟΣ'!AH68/'2.ΤΙΜΕΣ ΚΛΕΙΣΙΜΑΤΟΣ'!AH67)</f>
        <v>3.6751235778911644E-3</v>
      </c>
      <c r="AI67" s="43">
        <f>LN('2.ΤΙΜΕΣ ΚΛΕΙΣΙΜΑΤΟΣ'!AI68/'2.ΤΙΜΕΣ ΚΛΕΙΣΙΜΑΤΟΣ'!AI67)</f>
        <v>0</v>
      </c>
      <c r="AJ67" s="43">
        <f>LN('2.ΤΙΜΕΣ ΚΛΕΙΣΙΜΑΤΟΣ'!AJ68/'2.ΤΙΜΕΣ ΚΛΕΙΣΙΜΑΤΟΣ'!AJ67)</f>
        <v>0</v>
      </c>
      <c r="AK67" s="43">
        <f>LN('2.ΤΙΜΕΣ ΚΛΕΙΣΙΜΑΤΟΣ'!AK68/'2.ΤΙΜΕΣ ΚΛΕΙΣΙΜΑΤΟΣ'!AK67)</f>
        <v>2.6550232094120964E-2</v>
      </c>
      <c r="AL67" s="43">
        <f>LN('2.ΤΙΜΕΣ ΚΛΕΙΣΙΜΑΤΟΣ'!AL68/'2.ΤΙΜΕΣ ΚΛΕΙΣΙΜΑΤΟΣ'!AL67)</f>
        <v>-1.388911216066715E-2</v>
      </c>
      <c r="AM67" s="43">
        <f>LN('2.ΤΙΜΕΣ ΚΛΕΙΣΙΜΑΤΟΣ'!AM68/'2.ΤΙΜΕΣ ΚΛΕΙΣΙΜΑΤΟΣ'!AM67)</f>
        <v>-4.6729056993924821E-3</v>
      </c>
      <c r="AN67" s="43">
        <f>LN('2.ΤΙΜΕΣ ΚΛΕΙΣΙΜΑΤΟΣ'!AN68/'2.ΤΙΜΕΣ ΚΛΕΙΣΙΜΑΤΟΣ'!AN67)</f>
        <v>0</v>
      </c>
      <c r="AO67" s="43">
        <f>LN('2.ΤΙΜΕΣ ΚΛΕΙΣΙΜΑΤΟΣ'!AO68/'2.ΤΙΜΕΣ ΚΛΕΙΣΙΜΑΤΟΣ'!AO67)</f>
        <v>2.6355844705362456E-2</v>
      </c>
      <c r="AP67" s="43">
        <f>LN('2.ΤΙΜΕΣ ΚΛΕΙΣΙΜΑΤΟΣ'!AP68/'2.ΤΙΜΕΣ ΚΛΕΙΣΙΜΑΤΟΣ'!AP67)</f>
        <v>1.7361036311117444E-2</v>
      </c>
      <c r="AQ67" s="43">
        <f>LN('2.ΤΙΜΕΣ ΚΛΕΙΣΙΜΑΤΟΣ'!AQ68/'2.ΤΙΜΕΣ ΚΛΕΙΣΙΜΑΤΟΣ'!AQ67)</f>
        <v>-6.7309652776124884E-2</v>
      </c>
      <c r="AR67" s="43">
        <f>LN('2.ΤΙΜΕΣ ΚΛΕΙΣΙΜΑΤΟΣ'!AR68/'2.ΤΙΜΕΣ ΚΛΕΙΣΙΜΑΤΟΣ'!AR67)</f>
        <v>-3.4725711373829744E-2</v>
      </c>
      <c r="AS67" s="43">
        <f>LN('2.ΤΙΜΕΣ ΚΛΕΙΣΙΜΑΤΟΣ'!AS68/'2.ΤΙΜΕΣ ΚΛΕΙΣΙΜΑΤΟΣ'!AS67)</f>
        <v>-3.1198370855861395E-2</v>
      </c>
      <c r="AT67" s="43">
        <f>LN('2.ΤΙΜΕΣ ΚΛΕΙΣΙΜΑΤΟΣ'!AT68/'2.ΤΙΜΕΣ ΚΛΕΙΣΙΜΑΤΟΣ'!AT67)</f>
        <v>-3.5023034789563104E-2</v>
      </c>
      <c r="AU67" s="43">
        <f>LN('2.ΤΙΜΕΣ ΚΛΕΙΣΙΜΑΤΟΣ'!AU68/'2.ΤΙΜΕΣ ΚΛΕΙΣΙΜΑΤΟΣ'!AU67)</f>
        <v>1.9243684613906901E-3</v>
      </c>
    </row>
    <row r="68" spans="1:47">
      <c r="A68" s="41">
        <v>43654</v>
      </c>
      <c r="B68" s="43">
        <f>LN('2.ΤΙΜΕΣ ΚΛΕΙΣΙΜΑΤΟΣ'!B69/'2.ΤΙΜΕΣ ΚΛΕΙΣΙΜΑΤΟΣ'!B68)</f>
        <v>-1.1152531950475003E-2</v>
      </c>
      <c r="C68" s="43">
        <f>LN('2.ΤΙΜΕΣ ΚΛΕΙΣΙΜΑΤΟΣ'!C69/'2.ΤΙΜΕΣ ΚΛΕΙΣΙΜΑΤΟΣ'!C68)</f>
        <v>7.8957761701758207E-4</v>
      </c>
      <c r="D68" s="43">
        <f>LN('2.ΤΙΜΕΣ ΚΛΕΙΣΙΜΑΤΟΣ'!D69/'2.ΤΙΜΕΣ ΚΛΕΙΣΙΜΑΤΟΣ'!D68)</f>
        <v>0</v>
      </c>
      <c r="E68" s="43">
        <f>LN('2.ΤΙΜΕΣ ΚΛΕΙΣΙΜΑΤΟΣ'!E69/'2.ΤΙΜΕΣ ΚΛΕΙΣΙΜΑΤΟΣ'!E68)</f>
        <v>-2.969178980740304E-2</v>
      </c>
      <c r="F68" s="43">
        <f>LN('2.ΤΙΜΕΣ ΚΛΕΙΣΙΜΑΤΟΣ'!F69/'2.ΤΙΜΕΣ ΚΛΕΙΣΙΜΑΤΟΣ'!F68)</f>
        <v>-5.5096558109694726E-3</v>
      </c>
      <c r="G68" s="43">
        <f>LN('2.ΤΙΜΕΣ ΚΛΕΙΣΙΜΑΤΟΣ'!G69/'2.ΤΙΜΕΣ ΚΛΕΙΣΙΜΑΤΟΣ'!G68)</f>
        <v>-5.1884835369011686E-2</v>
      </c>
      <c r="H68" s="43">
        <f>LN('2.ΤΙΜΕΣ ΚΛΕΙΣΙΜΑΤΟΣ'!H69/'2.ΤΙΜΕΣ ΚΛΕΙΣΙΜΑΤΟΣ'!H68)</f>
        <v>-1.0058760417846238E-2</v>
      </c>
      <c r="I68" s="43">
        <f>LN('2.ΤΙΜΕΣ ΚΛΕΙΣΙΜΑΤΟΣ'!I69/'2.ΤΙΜΕΣ ΚΛΕΙΣΙΜΑΤΟΣ'!I68)</f>
        <v>-7.0154986667128869E-2</v>
      </c>
      <c r="J68" s="43">
        <f>LN('2.ΤΙΜΕΣ ΚΛΕΙΣΙΜΑΤΟΣ'!J69/'2.ΤΙΜΕΣ ΚΛΕΙΣΙΜΑΤΟΣ'!J68)</f>
        <v>-5.9818495210910219E-2</v>
      </c>
      <c r="K68" s="43">
        <f>LN('2.ΤΙΜΕΣ ΚΛΕΙΣΙΜΑΤΟΣ'!K69/'2.ΤΙΜΕΣ ΚΛΕΙΣΙΜΑΤΟΣ'!K68)</f>
        <v>-1.320508418656844E-2</v>
      </c>
      <c r="L68" s="43">
        <f>LN('2.ΤΙΜΕΣ ΚΛΕΙΣΙΜΑΤΟΣ'!L69/'2.ΤΙΜΕΣ ΚΛΕΙΣΙΜΑΤΟΣ'!L68)</f>
        <v>4.6620131058113714E-3</v>
      </c>
      <c r="M68" s="43">
        <f>LN('2.ΤΙΜΕΣ ΚΛΕΙΣΙΜΑΤΟΣ'!M69/'2.ΤΙΜΕΣ ΚΛΕΙΣΙΜΑΤΟΣ'!M68)</f>
        <v>-1.9824437784844544E-2</v>
      </c>
      <c r="N68" s="43">
        <f>LN('2.ΤΙΜΕΣ ΚΛΕΙΣΙΜΑΤΟΣ'!N69/'2.ΤΙΜΕΣ ΚΛΕΙΣΙΜΑΤΟΣ'!N68)</f>
        <v>5.4080420234956794E-3</v>
      </c>
      <c r="O68" s="43">
        <f>LN('2.ΤΙΜΕΣ ΚΛΕΙΣΙΜΑΤΟΣ'!O69/'2.ΤΙΜΕΣ ΚΛΕΙΣΙΜΑΤΟΣ'!O68)</f>
        <v>-1.3306721857050613E-3</v>
      </c>
      <c r="P68" s="43">
        <f>LN('2.ΤΙΜΕΣ ΚΛΕΙΣΙΜΑΤΟΣ'!P69/'2.ΤΙΜΕΣ ΚΛΕΙΣΙΜΑΤΟΣ'!P68)</f>
        <v>1.9147669414134073E-2</v>
      </c>
      <c r="Q68" s="43">
        <f>LN('2.ΤΙΜΕΣ ΚΛΕΙΣΙΜΑΤΟΣ'!Q69/'2.ΤΙΜΕΣ ΚΛΕΙΣΙΜΑΤΟΣ'!Q68)</f>
        <v>-7.3633251043453751E-2</v>
      </c>
      <c r="R68" s="43">
        <f>LN('2.ΤΙΜΕΣ ΚΛΕΙΣΙΜΑΤΟΣ'!R69/'2.ΤΙΜΕΣ ΚΛΕΙΣΙΜΑΤΟΣ'!R68)</f>
        <v>-3.2924784696466501E-2</v>
      </c>
      <c r="S68" s="43">
        <f>LN('2.ΤΙΜΕΣ ΚΛΕΙΣΙΜΑΤΟΣ'!S69/'2.ΤΙΜΕΣ ΚΛΕΙΣΙΜΑΤΟΣ'!S68)</f>
        <v>1.4631662268064049E-2</v>
      </c>
      <c r="T68" s="43">
        <f>LN('2.ΤΙΜΕΣ ΚΛΕΙΣΙΜΑΤΟΣ'!T69/'2.ΤΙΜΕΣ ΚΛΕΙΣΙΜΑΤΟΣ'!T68)</f>
        <v>-1.8692133012152522E-2</v>
      </c>
      <c r="U68" s="43">
        <f>LN('2.ΤΙΜΕΣ ΚΛΕΙΣΙΜΑΤΟΣ'!U69/'2.ΤΙΜΕΣ ΚΛΕΙΣΙΜΑΤΟΣ'!U68)</f>
        <v>-1.4051753455650302E-2</v>
      </c>
      <c r="V68" s="43">
        <f>LN('2.ΤΙΜΕΣ ΚΛΕΙΣΙΜΑΤΟΣ'!V69/'2.ΤΙΜΕΣ ΚΛΕΙΣΙΜΑΤΟΣ'!V68)</f>
        <v>-2.1762794225955173E-3</v>
      </c>
      <c r="W68" s="43">
        <f>LN('2.ΤΙΜΕΣ ΚΛΕΙΣΙΜΑΤΟΣ'!W69/'2.ΤΙΜΕΣ ΚΛΕΙΣΙΜΑΤΟΣ'!W68)</f>
        <v>-1.4406011443514964E-2</v>
      </c>
      <c r="X68" s="43">
        <f>LN('2.ΤΙΜΕΣ ΚΛΕΙΣΙΜΑΤΟΣ'!X69/'2.ΤΙΜΕΣ ΚΛΕΙΣΙΜΑΤΟΣ'!X68)</f>
        <v>-1.0307759546064761E-2</v>
      </c>
      <c r="Y68" s="43">
        <f>LN('2.ΤΙΜΕΣ ΚΛΕΙΣΙΜΑΤΟΣ'!Y69/'2.ΤΙΜΕΣ ΚΛΕΙΣΙΜΑΤΟΣ'!Y68)</f>
        <v>-1.9531870917245842E-2</v>
      </c>
      <c r="Z68" s="43">
        <f>LN('2.ΤΙΜΕΣ ΚΛΕΙΣΙΜΑΤΟΣ'!Z69/'2.ΤΙΜΕΣ ΚΛΕΙΣΙΜΑΤΟΣ'!Z68)</f>
        <v>0</v>
      </c>
      <c r="AA68" s="43">
        <f>LN('2.ΤΙΜΕΣ ΚΛΕΙΣΙΜΑΤΟΣ'!AA69/'2.ΤΙΜΕΣ ΚΛΕΙΣΙΜΑΤΟΣ'!AA68)</f>
        <v>-3.3057881344994329E-3</v>
      </c>
      <c r="AB68" s="43">
        <f>LN('2.ΤΙΜΕΣ ΚΛΕΙΣΙΜΑΤΟΣ'!AB69/'2.ΤΙΜΕΣ ΚΛΕΙΣΙΜΑΤΟΣ'!AB68)</f>
        <v>1.3889112160667093E-2</v>
      </c>
      <c r="AC68" s="43">
        <f>LN('2.ΤΙΜΕΣ ΚΛΕΙΣΙΜΑΤΟΣ'!AC69/'2.ΤΙΜΕΣ ΚΛΕΙΣΙΜΑΤΟΣ'!AC68)</f>
        <v>-7.067167223092443E-3</v>
      </c>
      <c r="AD68" s="43">
        <f>LN('2.ΤΙΜΕΣ ΚΛΕΙΣΙΜΑΤΟΣ'!AD69/'2.ΤΙΜΕΣ ΚΛΕΙΣΙΜΑΤΟΣ'!AD68)</f>
        <v>-2.761516703297338E-2</v>
      </c>
      <c r="AE68" s="43">
        <f>LN('2.ΤΙΜΕΣ ΚΛΕΙΣΙΜΑΤΟΣ'!AE69/'2.ΤΙΜΕΣ ΚΛΕΙΣΙΜΑΤΟΣ'!AE68)</f>
        <v>-2.1053409197832381E-2</v>
      </c>
      <c r="AF68" s="43">
        <f>LN('2.ΤΙΜΕΣ ΚΛΕΙΣΙΜΑΤΟΣ'!AF69/'2.ΤΙΜΕΣ ΚΛΕΙΣΙΜΑΤΟΣ'!AF68)</f>
        <v>-1.6888218028521515E-2</v>
      </c>
      <c r="AG68" s="43">
        <f>LN('2.ΤΙΜΕΣ ΚΛΕΙΣΙΜΑΤΟΣ'!AG69/'2.ΤΙΜΕΣ ΚΛΕΙΣΙΜΑΤΟΣ'!AG68)</f>
        <v>-6.5098902211355822E-2</v>
      </c>
      <c r="AH68" s="43">
        <f>LN('2.ΤΙΜΕΣ ΚΛΕΙΣΙΜΑΤΟΣ'!AH69/'2.ΤΙΜΕΣ ΚΛΕΙΣΙΜΑΤΟΣ'!AH68)</f>
        <v>-1.4782235173295107E-2</v>
      </c>
      <c r="AI68" s="43">
        <f>LN('2.ΤΙΜΕΣ ΚΛΕΙΣΙΜΑΤΟΣ'!AI69/'2.ΤΙΜΕΣ ΚΛΕΙΣΙΜΑΤΟΣ'!AI68)</f>
        <v>0</v>
      </c>
      <c r="AJ68" s="43">
        <f>LN('2.ΤΙΜΕΣ ΚΛΕΙΣΙΜΑΤΟΣ'!AJ69/'2.ΤΙΜΕΣ ΚΛΕΙΣΙΜΑΤΟΣ'!AJ68)</f>
        <v>-3.1893363775953733E-2</v>
      </c>
      <c r="AK68" s="43">
        <f>LN('2.ΤΙΜΕΣ ΚΛΕΙΣΙΜΑΤΟΣ'!AK69/'2.ΤΙΜΕΣ ΚΛΕΙΣΙΜΑΤΟΣ'!AK68)</f>
        <v>-2.6550232094120954E-2</v>
      </c>
      <c r="AL68" s="43">
        <f>LN('2.ΤΙΜΕΣ ΚΛΕΙΣΙΜΑΤΟΣ'!AL69/'2.ΤΙΜΕΣ ΚΛΕΙΣΙΜΑΤΟΣ'!AL68)</f>
        <v>-5.0189744523855162E-2</v>
      </c>
      <c r="AM68" s="43">
        <f>LN('2.ΤΙΜΕΣ ΚΛΕΙΣΙΜΑΤΟΣ'!AM69/'2.ΤΙΜΕΣ ΚΛΕΙΣΙΜΑΤΟΣ'!AM68)</f>
        <v>4.6729056993924231E-3</v>
      </c>
      <c r="AN68" s="43">
        <f>LN('2.ΤΙΜΕΣ ΚΛΕΙΣΙΜΑΤΟΣ'!AN69/'2.ΤΙΜΕΣ ΚΛΕΙΣΙΜΑΤΟΣ'!AN68)</f>
        <v>1.8888284520205859E-2</v>
      </c>
      <c r="AO68" s="43">
        <f>LN('2.ΤΙΜΕΣ ΚΛΕΙΣΙΜΑΤΟΣ'!AO69/'2.ΤΙΜΕΣ ΚΛΕΙΣΙΜΑΤΟΣ'!AO68)</f>
        <v>-2.8943580263644146E-3</v>
      </c>
      <c r="AP68" s="43">
        <f>LN('2.ΤΙΜΕΣ ΚΛΕΙΣΙΜΑΤΟΣ'!AP69/'2.ΤΙΜΕΣ ΚΛΕΙΣΙΜΑΤΟΣ'!AP68)</f>
        <v>0</v>
      </c>
      <c r="AQ68" s="43">
        <f>LN('2.ΤΙΜΕΣ ΚΛΕΙΣΙΜΑΤΟΣ'!AQ69/'2.ΤΙΜΕΣ ΚΛΕΙΣΙΜΑΤΟΣ'!AQ68)</f>
        <v>-4.01494995386227E-2</v>
      </c>
      <c r="AR68" s="43">
        <f>LN('2.ΤΙΜΕΣ ΚΛΕΙΣΙΜΑΤΟΣ'!AR69/'2.ΤΙΜΕΣ ΚΛΕΙΣΙΜΑΤΟΣ'!AR68)</f>
        <v>7.1580803762984146E-2</v>
      </c>
      <c r="AS68" s="43">
        <f>LN('2.ΤΙΜΕΣ ΚΛΕΙΣΙΜΑΤΟΣ'!AS69/'2.ΤΙΜΕΣ ΚΛΕΙΣΙΜΑΤΟΣ'!AS68)</f>
        <v>2.7779564107075671E-2</v>
      </c>
      <c r="AT68" s="43">
        <f>LN('2.ΤΙΜΕΣ ΚΛΕΙΣΙΜΑΤΟΣ'!AT69/'2.ΤΙΜΕΣ ΚΛΕΙΣΙΜΑΤΟΣ'!AT68)</f>
        <v>-4.6614315224759562E-2</v>
      </c>
      <c r="AU68" s="43">
        <f>LN('2.ΤΙΜΕΣ ΚΛΕΙΣΙΜΑΤΟΣ'!AU69/'2.ΤΙΜΕΣ ΚΛΕΙΣΙΜΑΤΟΣ'!AU68)</f>
        <v>-1.860356107016746E-2</v>
      </c>
    </row>
    <row r="69" spans="1:47">
      <c r="A69" s="41">
        <v>43655</v>
      </c>
      <c r="B69" s="43">
        <f>LN('2.ΤΙΜΕΣ ΚΛΕΙΣΙΜΑΤΟΣ'!B70/'2.ΤΙΜΕΣ ΚΛΕΙΣΙΜΑΤΟΣ'!B69)</f>
        <v>-2.2048137221762614E-2</v>
      </c>
      <c r="C69" s="43">
        <f>LN('2.ΤΙΜΕΣ ΚΛΕΙΣΙΜΑΤΟΣ'!C70/'2.ΤΙΜΕΣ ΚΛΕΙΣΙΜΑΤΟΣ'!C69)</f>
        <v>-2.6390975855805909E-2</v>
      </c>
      <c r="D69" s="43">
        <f>LN('2.ΤΙΜΕΣ ΚΛΕΙΣΙΜΑΤΟΣ'!D70/'2.ΤΙΜΕΣ ΚΛΕΙΣΙΜΑΤΟΣ'!D69)</f>
        <v>-4.1066854028148858E-2</v>
      </c>
      <c r="E69" s="43">
        <f>LN('2.ΤΙΜΕΣ ΚΛΕΙΣΙΜΑΤΟΣ'!E70/'2.ΤΙΜΕΣ ΚΛΕΙΣΙΜΑΤΟΣ'!E69)</f>
        <v>-5.8093581028915854E-2</v>
      </c>
      <c r="F69" s="43">
        <f>LN('2.ΤΙΜΕΣ ΚΛΕΙΣΙΜΑΤΟΣ'!F70/'2.ΤΙΜΕΣ ΚΛΕΙΣΙΜΑΤΟΣ'!F69)</f>
        <v>-2.1217993094845324E-2</v>
      </c>
      <c r="G69" s="43">
        <f>LN('2.ΤΙΜΕΣ ΚΛΕΙΣΙΜΑΤΟΣ'!G70/'2.ΤΙΜΕΣ ΚΛΕΙΣΙΜΑΤΟΣ'!G69)</f>
        <v>-5.222801949065925E-2</v>
      </c>
      <c r="H69" s="43">
        <f>LN('2.ΤΙΜΕΣ ΚΛΕΙΣΙΜΑΤΟΣ'!H70/'2.ΤΙΜΕΣ ΚΛΕΙΣΙΜΑΤΟΣ'!H69)</f>
        <v>-4.6560133581661625E-2</v>
      </c>
      <c r="I69" s="43">
        <f>LN('2.ΤΙΜΕΣ ΚΛΕΙΣΙΜΑΤΟΣ'!I70/'2.ΤΙΜΕΣ ΚΛΕΙΣΙΜΑΤΟΣ'!I69)</f>
        <v>-7.2320661579626008E-2</v>
      </c>
      <c r="J69" s="43">
        <f>LN('2.ΤΙΜΕΣ ΚΛΕΙΣΙΜΑΤΟΣ'!J70/'2.ΤΙΜΕΣ ΚΛΕΙΣΙΜΑΤΟΣ'!J69)</f>
        <v>-4.6887010562248733E-2</v>
      </c>
      <c r="K69" s="43">
        <f>LN('2.ΤΙΜΕΣ ΚΛΕΙΣΙΜΑΤΟΣ'!K70/'2.ΤΙΜΕΣ ΚΛΕΙΣΙΜΑΤΟΣ'!K69)</f>
        <v>-7.2282527636871485E-2</v>
      </c>
      <c r="L69" s="43">
        <f>LN('2.ΤΙΜΕΣ ΚΛΕΙΣΙΜΑΤΟΣ'!L70/'2.ΤΙΜΕΣ ΚΛΕΙΣΙΜΑΤΟΣ'!L69)</f>
        <v>-3.7919234862293726E-2</v>
      </c>
      <c r="M69" s="43">
        <f>LN('2.ΤΙΜΕΣ ΚΛΕΙΣΙΜΑΤΟΣ'!M70/'2.ΤΙΜΕΣ ΚΛΕΙΣΙΜΑΤΟΣ'!M69)</f>
        <v>-3.0493610562640629E-2</v>
      </c>
      <c r="N69" s="43">
        <f>LN('2.ΤΙΜΕΣ ΚΛΕΙΣΙΜΑΤΟΣ'!N70/'2.ΤΙΜΕΣ ΚΛΕΙΣΙΜΑΤΟΣ'!N69)</f>
        <v>-4.4395189574367194E-2</v>
      </c>
      <c r="O69" s="43">
        <f>LN('2.ΤΙΜΕΣ ΚΛΕΙΣΙΜΑΤΟΣ'!O70/'2.ΤΙΜΕΣ ΚΛΕΙΣΙΜΑΤΟΣ'!O69)</f>
        <v>-3.6614259378418314E-2</v>
      </c>
      <c r="P69" s="43">
        <f>LN('2.ΤΙΜΕΣ ΚΛΕΙΣΙΜΑΤΟΣ'!P70/'2.ΤΙΜΕΣ ΚΛΕΙΣΙΜΑΤΟΣ'!P69)</f>
        <v>-4.0462863613180911E-2</v>
      </c>
      <c r="Q69" s="43">
        <f>LN('2.ΤΙΜΕΣ ΚΛΕΙΣΙΜΑΤΟΣ'!Q70/'2.ΤΙΜΕΣ ΚΛΕΙΣΙΜΑΤΟΣ'!Q69)</f>
        <v>-0.10868830575050085</v>
      </c>
      <c r="R69" s="43">
        <f>LN('2.ΤΙΜΕΣ ΚΛΕΙΣΙΜΑΤΟΣ'!R70/'2.ΤΙΜΕΣ ΚΛΕΙΣΙΜΑΤΟΣ'!R69)</f>
        <v>-7.1985989555083355E-2</v>
      </c>
      <c r="S69" s="43">
        <f>LN('2.ΤΙΜΕΣ ΚΛΕΙΣΙΜΑΤΟΣ'!S70/'2.ΤΙΜΕΣ ΚΛΕΙΣΙΜΑΤΟΣ'!S69)</f>
        <v>-5.1587368790493117E-2</v>
      </c>
      <c r="T69" s="43">
        <f>LN('2.ΤΙΜΕΣ ΚΛΕΙΣΙΜΑΤΟΣ'!T70/'2.ΤΙΜΕΣ ΚΛΕΙΣΙΜΑΤΟΣ'!T69)</f>
        <v>-3.479655193883377E-2</v>
      </c>
      <c r="U69" s="43">
        <f>LN('2.ΤΙΜΕΣ ΚΛΕΙΣΙΜΑΤΟΣ'!U70/'2.ΤΙΜΕΣ ΚΛΕΙΣΙΜΑΤΟΣ'!U69)</f>
        <v>-3.3576295533604437E-2</v>
      </c>
      <c r="V69" s="43">
        <f>LN('2.ΤΙΜΕΣ ΚΛΕΙΣΙΜΑΤΟΣ'!V70/'2.ΤΙΜΕΣ ΚΛΕΙΣΙΜΑΤΟΣ'!V69)</f>
        <v>-3.0975927894304905E-2</v>
      </c>
      <c r="W69" s="43">
        <f>LN('2.ΤΙΜΕΣ ΚΛΕΙΣΙΜΑΤΟΣ'!W70/'2.ΤΙΜΕΣ ΚΛΕΙΣΙΜΑΤΟΣ'!W69)</f>
        <v>-2.0770447357206887E-2</v>
      </c>
      <c r="X69" s="43">
        <f>LN('2.ΤΙΜΕΣ ΚΛΕΙΣΙΜΑΤΟΣ'!X70/'2.ΤΙΜΕΣ ΚΛΕΙΣΙΜΑΤΟΣ'!X69)</f>
        <v>-2.8664382887567206E-2</v>
      </c>
      <c r="Y69" s="43">
        <f>LN('2.ΤΙΜΕΣ ΚΛΕΙΣΙΜΑΤΟΣ'!Y70/'2.ΤΙΜΕΣ ΚΛΕΙΣΙΜΑΤΟΣ'!Y69)</f>
        <v>-4.7459688697834165E-2</v>
      </c>
      <c r="Z69" s="43">
        <f>LN('2.ΤΙΜΕΣ ΚΛΕΙΣΙΜΑΤΟΣ'!Z70/'2.ΤΙΜΕΣ ΚΛΕΙΣΙΜΑΤΟΣ'!Z69)</f>
        <v>-3.3955890011382718E-3</v>
      </c>
      <c r="AA69" s="43">
        <f>LN('2.ΤΙΜΕΣ ΚΛΕΙΣΙΜΑΤΟΣ'!AA70/'2.ΤΙΜΕΣ ΚΛΕΙΣΙΜΑΤΟΣ'!AA69)</f>
        <v>-1.6694878572169992E-2</v>
      </c>
      <c r="AB69" s="43">
        <f>LN('2.ΤΙΜΕΣ ΚΛΕΙΣΙΜΑΤΟΣ'!AB70/'2.ΤΙΜΕΣ ΚΛΕΙΣΙΜΑΤΟΣ'!AB69)</f>
        <v>-5.3109825313948408E-2</v>
      </c>
      <c r="AC69" s="43">
        <f>LN('2.ΤΙΜΕΣ ΚΛΕΙΣΙΜΑΤΟΣ'!AC70/'2.ΤΙΜΕΣ ΚΛΕΙΣΙΜΑΤΟΣ'!AC69)</f>
        <v>-1.2848142477849024E-2</v>
      </c>
      <c r="AD69" s="43">
        <f>LN('2.ΤΙΜΕΣ ΚΛΕΙΣΙΜΑΤΟΣ'!AD70/'2.ΤΙΜΕΣ ΚΛΕΙΣΙΜΑΤΟΣ'!AD69)</f>
        <v>-4.3603637482132022E-2</v>
      </c>
      <c r="AE69" s="43">
        <f>LN('2.ΤΙΜΕΣ ΚΛΕΙΣΙΜΑΤΟΣ'!AE70/'2.ΤΙΜΕΣ ΚΛΕΙΣΙΜΑΤΟΣ'!AE69)</f>
        <v>-7.3562567177016605E-2</v>
      </c>
      <c r="AF69" s="43">
        <f>LN('2.ΤΙΜΕΣ ΚΛΕΙΣΙΜΑΤΟΣ'!AF70/'2.ΤΙΜΕΣ ΚΛΕΙΣΙΜΑΤΟΣ'!AF69)</f>
        <v>-6.2755845031403898E-2</v>
      </c>
      <c r="AG69" s="43">
        <f>LN('2.ΤΙΜΕΣ ΚΛΕΙΣΙΜΑΤΟΣ'!AG70/'2.ΤΙΜΕΣ ΚΛΕΙΣΙΜΑΤΟΣ'!AG69)</f>
        <v>-0.2059161177552134</v>
      </c>
      <c r="AH69" s="43">
        <f>LN('2.ΤΙΜΕΣ ΚΛΕΙΣΙΜΑΤΟΣ'!AH70/'2.ΤΙΜΕΣ ΚΛΕΙΣΙΜΑΤΟΣ'!AH69)</f>
        <v>-4.8045839609574682E-2</v>
      </c>
      <c r="AI69" s="43">
        <f>LN('2.ΤΙΜΕΣ ΚΛΕΙΣΙΜΑΤΟΣ'!AI70/'2.ΤΙΜΕΣ ΚΛΕΙΣΙΜΑΤΟΣ'!AI69)</f>
        <v>-8.23049913651548E-3</v>
      </c>
      <c r="AJ69" s="43">
        <f>LN('2.ΤΙΜΕΣ ΚΛΕΙΣΙΜΑΤΟΣ'!AJ70/'2.ΤΙΜΕΣ ΚΛΕΙΣΙΜΑΤΟΣ'!AJ69)</f>
        <v>-1.3986241974739952E-2</v>
      </c>
      <c r="AK69" s="43">
        <f>LN('2.ΤΙΜΕΣ ΚΛΕΙΣΙΜΑΤΟΣ'!AK70/'2.ΤΙΜΕΣ ΚΛΕΙΣΙΜΑΤΟΣ'!AK69)</f>
        <v>-3.1893363775953733E-2</v>
      </c>
      <c r="AL69" s="43">
        <f>LN('2.ΤΙΜΕΣ ΚΛΕΙΣΙΜΑΤΟΣ'!AL70/'2.ΤΙΜΕΣ ΚΛΕΙΣΙΜΑΤΟΣ'!AL69)</f>
        <v>-0.10047053036363462</v>
      </c>
      <c r="AM69" s="43">
        <f>LN('2.ΤΙΜΕΣ ΚΛΕΙΣΙΜΑΤΟΣ'!AM70/'2.ΤΙΜΕΣ ΚΛΕΙΣΙΜΑΤΟΣ'!AM69)</f>
        <v>-2.1202207650602937E-2</v>
      </c>
      <c r="AN69" s="43">
        <f>LN('2.ΤΙΜΕΣ ΚΛΕΙΣΙΜΑΤΟΣ'!AN70/'2.ΤΙΜΕΣ ΚΛΕΙΣΙΜΑΤΟΣ'!AN69)</f>
        <v>-0.11674407452396433</v>
      </c>
      <c r="AO69" s="43">
        <f>LN('2.ΤΙΜΕΣ ΚΛΕΙΣΙΜΑΤΟΣ'!AO70/'2.ΤΙΜΕΣ ΚΛΕΙΣΙΜΑΤΟΣ'!AO69)</f>
        <v>-3.8409448114871299E-2</v>
      </c>
      <c r="AP69" s="43">
        <f>LN('2.ΤΙΜΕΣ ΚΛΕΙΣΙΜΑΤΟΣ'!AP70/'2.ΤΙΜΕΣ ΚΛΕΙΣΙΜΑΤΟΣ'!AP69)</f>
        <v>-4.108943595825279E-2</v>
      </c>
      <c r="AQ69" s="43">
        <f>LN('2.ΤΙΜΕΣ ΚΛΕΙΣΙΜΑΤΟΣ'!AQ70/'2.ΤΙΜΕΣ ΚΛΕΙΣΙΜΑΤΟΣ'!AQ69)</f>
        <v>-5.0630091091439122E-2</v>
      </c>
      <c r="AR69" s="43">
        <f>LN('2.ΤΙΜΕΣ ΚΛΕΙΣΙΜΑΤΟΣ'!AR70/'2.ΤΙΜΕΣ ΚΛΕΙΣΙΜΑΤΟΣ'!AR69)</f>
        <v>-4.1987695615674572E-2</v>
      </c>
      <c r="AS69" s="43">
        <f>LN('2.ΤΙΜΕΣ ΚΛΕΙΣΙΜΑΤΟΣ'!AS70/'2.ΤΙΜΕΣ ΚΛΕΙΣΙΜΑΤΟΣ'!AS69)</f>
        <v>3.4188067487856823E-3</v>
      </c>
      <c r="AT69" s="43">
        <f>LN('2.ΤΙΜΕΣ ΚΛΕΙΣΙΜΑΤΟΣ'!AT70/'2.ΤΙΜΕΣ ΚΛΕΙΣΙΜΑΤΟΣ'!AT69)</f>
        <v>-6.8696531286234847E-2</v>
      </c>
      <c r="AU69" s="43">
        <f>LN('2.ΤΙΜΕΣ ΚΛΕΙΣΙΜΑΤΟΣ'!AU70/'2.ΤΙΜΕΣ ΚΛΕΙΣΙΜΑΤΟΣ'!AU69)</f>
        <v>-4.374806700187972E-2</v>
      </c>
    </row>
    <row r="70" spans="1:47">
      <c r="A70" s="41">
        <v>43656</v>
      </c>
      <c r="B70" s="43">
        <f>LN('2.ΤΙΜΕΣ ΚΛΕΙΣΙΜΑΤΟΣ'!B71/'2.ΤΙΜΕΣ ΚΛΕΙΣΙΜΑΤΟΣ'!B70)</f>
        <v>-1.2820688429061434E-2</v>
      </c>
      <c r="C70" s="43">
        <f>LN('2.ΤΙΜΕΣ ΚΛΕΙΣΙΜΑΤΟΣ'!C71/'2.ΤΙΜΕΣ ΚΛΕΙΣΙΜΑΤΟΣ'!C70)</f>
        <v>9.6774948820654381E-3</v>
      </c>
      <c r="D70" s="43">
        <f>LN('2.ΤΙΜΕΣ ΚΛΕΙΣΙΜΑΤΟΣ'!D71/'2.ΤΙΜΕΣ ΚΛΕΙΣΙΜΑΤΟΣ'!D70)</f>
        <v>8.7815017541132689E-3</v>
      </c>
      <c r="E70" s="43">
        <f>LN('2.ΤΙΜΕΣ ΚΛΕΙΣΙΜΑΤΟΣ'!E71/'2.ΤΙΜΕΣ ΚΛΕΙΣΙΜΑΤΟΣ'!E70)</f>
        <v>1.2694919481248944E-2</v>
      </c>
      <c r="F70" s="43">
        <f>LN('2.ΤΙΜΕΣ ΚΛΕΙΣΙΜΑΤΟΣ'!F71/'2.ΤΙΜΕΣ ΚΛΕΙΣΙΜΑΤΟΣ'!F70)</f>
        <v>3.111362084906925E-2</v>
      </c>
      <c r="G70" s="43">
        <f>LN('2.ΤΙΜΕΣ ΚΛΕΙΣΙΜΑΤΟΣ'!G71/'2.ΤΙΜΕΣ ΚΛΕΙΣΙΜΑΤΟΣ'!G70)</f>
        <v>3.431709292412894E-2</v>
      </c>
      <c r="H70" s="43">
        <f>LN('2.ΤΙΜΕΣ ΚΛΕΙΣΙΜΑΤΟΣ'!H71/'2.ΤΙΜΕΣ ΚΛΕΙΣΙΜΑΤΟΣ'!H70)</f>
        <v>3.9797639509364574E-2</v>
      </c>
      <c r="I70" s="43">
        <f>LN('2.ΤΙΜΕΣ ΚΛΕΙΣΙΜΑΤΟΣ'!I71/'2.ΤΙΜΕΣ ΚΛΕΙΣΙΜΑΤΟΣ'!I70)</f>
        <v>4.1621674690819448E-2</v>
      </c>
      <c r="J70" s="43">
        <f>LN('2.ΤΙΜΕΣ ΚΛΕΙΣΙΜΑΤΟΣ'!J71/'2.ΤΙΜΕΣ ΚΛΕΙΣΙΜΑΤΟΣ'!J70)</f>
        <v>4.4315213173877377E-2</v>
      </c>
      <c r="K70" s="43">
        <f>LN('2.ΤΙΜΕΣ ΚΛΕΙΣΙΜΑΤΟΣ'!K71/'2.ΤΙΜΕΣ ΚΛΕΙΣΙΜΑΤΟΣ'!K70)</f>
        <v>3.0452180053129167E-2</v>
      </c>
      <c r="L70" s="43">
        <f>LN('2.ΤΙΜΕΣ ΚΛΕΙΣΙΜΑΤΟΣ'!L71/'2.ΤΙΜΕΣ ΚΛΕΙΣΙΜΑΤΟΣ'!L70)</f>
        <v>2.5752496102414549E-2</v>
      </c>
      <c r="M70" s="43">
        <f>LN('2.ΤΙΜΕΣ ΚΛΕΙΣΙΜΑΤΟΣ'!M71/'2.ΤΙΜΕΣ ΚΛΕΙΣΙΜΑΤΟΣ'!M70)</f>
        <v>2.4916351264534418E-2</v>
      </c>
      <c r="N70" s="43">
        <f>LN('2.ΤΙΜΕΣ ΚΛΕΙΣΙΜΑΤΟΣ'!N71/'2.ΤΙΜΕΣ ΚΛΕΙΣΙΜΑΤΟΣ'!N70)</f>
        <v>4.3011297850596979E-2</v>
      </c>
      <c r="O70" s="43">
        <f>LN('2.ΤΙΜΕΣ ΚΛΕΙΣΙΜΑΤΟΣ'!O71/'2.ΤΙΜΕΣ ΚΛΕΙΣΙΜΑΤΟΣ'!O70)</f>
        <v>2.1858793812499017E-2</v>
      </c>
      <c r="P70" s="43">
        <f>LN('2.ΤΙΜΕΣ ΚΛΕΙΣΙΜΑΤΟΣ'!P71/'2.ΤΙΜΕΣ ΚΛΕΙΣΙΜΑΤΟΣ'!P70)</f>
        <v>4.3905207804153856E-2</v>
      </c>
      <c r="Q70" s="43">
        <f>LN('2.ΤΙΜΕΣ ΚΛΕΙΣΙΜΑΤΟΣ'!Q71/'2.ΤΙΜΕΣ ΚΛΕΙΣΙΜΑΤΟΣ'!Q70)</f>
        <v>7.3525792137807786E-2</v>
      </c>
      <c r="R70" s="43">
        <f>LN('2.ΤΙΜΕΣ ΚΛΕΙΣΙΜΑΤΟΣ'!R71/'2.ΤΙΜΕΣ ΚΛΕΙΣΙΜΑΤΟΣ'!R70)</f>
        <v>6.020134138683457E-2</v>
      </c>
      <c r="S70" s="43">
        <f>LN('2.ΤΙΜΕΣ ΚΛΕΙΣΙΜΑΤΟΣ'!S71/'2.ΤΙΜΕΣ ΚΛΕΙΣΙΜΑΤΟΣ'!S70)</f>
        <v>2.3501773449534514E-3</v>
      </c>
      <c r="T70" s="43">
        <f>LN('2.ΤΙΜΕΣ ΚΛΕΙΣΙΜΑΤΟΣ'!T71/'2.ΤΙΜΕΣ ΚΛΕΙΣΙΜΑΤΟΣ'!T70)</f>
        <v>2.6507576119878754E-2</v>
      </c>
      <c r="U70" s="43">
        <f>LN('2.ΤΙΜΕΣ ΚΛΕΙΣΙΜΑΤΟΣ'!U71/'2.ΤΙΜΕΣ ΚΛΕΙΣΙΜΑΤΟΣ'!U70)</f>
        <v>2.4097551579060524E-2</v>
      </c>
      <c r="V70" s="43">
        <f>LN('2.ΤΙΜΕΣ ΚΛΕΙΣΙΜΑΤΟΣ'!V71/'2.ΤΙΜΕΣ ΚΛΕΙΣΙΜΑΤΟΣ'!V70)</f>
        <v>8.9486055760140144E-3</v>
      </c>
      <c r="W70" s="43">
        <f>LN('2.ΤΙΜΕΣ ΚΛΕΙΣΙΜΑΤΟΣ'!W71/'2.ΤΙΜΕΣ ΚΛΕΙΣΙΜΑΤΟΣ'!W70)</f>
        <v>3.6968618813262026E-3</v>
      </c>
      <c r="X70" s="43">
        <f>LN('2.ΤΙΜΕΣ ΚΛΕΙΣΙΜΑΤΟΣ'!X71/'2.ΤΙΜΕΣ ΚΛΕΙΣΙΜΑΤΟΣ'!X70)</f>
        <v>3.3831543840160253E-2</v>
      </c>
      <c r="Y70" s="43">
        <f>LN('2.ΤΙΜΕΣ ΚΛΕΙΣΙΜΑΤΟΣ'!Y71/'2.ΤΙΜΕΣ ΚΛΕΙΣΙΜΑΤΟΣ'!Y70)</f>
        <v>2.7538711203279748E-2</v>
      </c>
      <c r="Z70" s="43">
        <f>LN('2.ΤΙΜΕΣ ΚΛΕΙΣΙΜΑΤΟΣ'!Z71/'2.ΤΙΜΕΣ ΚΛΕΙΣΙΜΑΤΟΣ'!Z70)</f>
        <v>0</v>
      </c>
      <c r="AA70" s="43">
        <f>LN('2.ΤΙΜΕΣ ΚΛΕΙΣΙΜΑΤΟΣ'!AA71/'2.ΤΙΜΕΣ ΚΛΕΙΣΙΜΑΤΟΣ'!AA70)</f>
        <v>1.0050335853501286E-2</v>
      </c>
      <c r="AB70" s="43">
        <f>LN('2.ΤΙΜΕΣ ΚΛΕΙΣΙΜΑΤΟΣ'!AB71/'2.ΤΙΜΕΣ ΚΛΕΙΣΙΜΑΤΟΣ'!AB70)</f>
        <v>7.2464085207672533E-3</v>
      </c>
      <c r="AC70" s="43">
        <f>LN('2.ΤΙΜΕΣ ΚΛΕΙΣΙΜΑΤΟΣ'!AC71/'2.ΤΙΜΕΣ ΚΛΕΙΣΙΜΑΤΟΣ'!AC70)</f>
        <v>-4.3196611445163961E-3</v>
      </c>
      <c r="AD70" s="43">
        <f>LN('2.ΤΙΜΕΣ ΚΛΕΙΣΙΜΑΤΟΣ'!AD71/'2.ΤΙΜΕΣ ΚΛΕΙΣΙΜΑΤΟΣ'!AD70)</f>
        <v>1.2456908485295216E-2</v>
      </c>
      <c r="AE70" s="43">
        <f>LN('2.ΤΙΜΕΣ ΚΛΕΙΣΙΜΑΤΟΣ'!AE71/'2.ΤΙΜΕΣ ΚΛΕΙΣΙΜΑΤΟΣ'!AE70)</f>
        <v>-1.151644206155918E-2</v>
      </c>
      <c r="AF70" s="43">
        <f>LN('2.ΤΙΜΕΣ ΚΛΕΙΣΙΜΑΤΟΣ'!AF71/'2.ΤΙΜΕΣ ΚΛΕΙΣΙΜΑΤΟΣ'!AF70)</f>
        <v>3.562717764315125E-2</v>
      </c>
      <c r="AG70" s="43">
        <f>LN('2.ΤΙΜΕΣ ΚΛΕΙΣΙΜΑΤΟΣ'!AG71/'2.ΤΙΜΕΣ ΚΛΕΙΣΙΜΑΤΟΣ'!AG70)</f>
        <v>0.1693823744227573</v>
      </c>
      <c r="AH70" s="43">
        <f>LN('2.ΤΙΜΕΣ ΚΛΕΙΣΙΜΑΤΟΣ'!AH71/'2.ΤΙΜΕΣ ΚΛΕΙΣΙΜΑΤΟΣ'!AH70)</f>
        <v>-3.9138993211364406E-3</v>
      </c>
      <c r="AI70" s="43">
        <f>LN('2.ΤΙΜΕΣ ΚΛΕΙΣΙΜΑΤΟΣ'!AI71/'2.ΤΙΜΕΣ ΚΛΕΙΣΙΜΑΤΟΣ'!AI70)</f>
        <v>1.639380977567657E-2</v>
      </c>
      <c r="AJ70" s="43">
        <f>LN('2.ΤΙΜΕΣ ΚΛΕΙΣΙΜΑΤΟΣ'!AJ71/'2.ΤΙΜΕΣ ΚΛΕΙΣΙΜΑΤΟΣ'!AJ70)</f>
        <v>4.6838493124264375E-3</v>
      </c>
      <c r="AK70" s="43">
        <f>LN('2.ΤΙΜΕΣ ΚΛΕΙΣΙΜΑΤΟΣ'!AK71/'2.ΤΙΜΕΣ ΚΛΕΙΣΙΜΑΤΟΣ'!AK70)</f>
        <v>2.7398974188114562E-2</v>
      </c>
      <c r="AL70" s="43">
        <f>LN('2.ΤΙΜΕΣ ΚΛΕΙΣΙΜΑΤΟΣ'!AL71/'2.ΤΙΜΕΣ ΚΛΕΙΣΙΜΑΤΟΣ'!AL70)</f>
        <v>7.0617567213953417E-2</v>
      </c>
      <c r="AM70" s="43">
        <f>LN('2.ΤΙΜΕΣ ΚΛΕΙΣΙΜΑΤΟΣ'!AM71/'2.ΤΙΜΕΣ ΚΛΕΙΣΙΜΑΤΟΣ'!AM70)</f>
        <v>1.4184634991956381E-2</v>
      </c>
      <c r="AN70" s="43">
        <f>LN('2.ΤΙΜΕΣ ΚΛΕΙΣΙΜΑΤΟΣ'!AN71/'2.ΤΙΜΕΣ ΚΛΕΙΣΙΜΑΤΟΣ'!AN70)</f>
        <v>3.444657446333893E-2</v>
      </c>
      <c r="AO70" s="43">
        <f>LN('2.ΤΙΜΕΣ ΚΛΕΙΣΙΜΑΤΟΣ'!AO71/'2.ΤΙΜΕΣ ΚΛΕΙΣΙΜΑΤΟΣ'!AO70)</f>
        <v>-1.212136053234485E-2</v>
      </c>
      <c r="AP70" s="43">
        <f>LN('2.ΤΙΜΕΣ ΚΛΕΙΣΙΜΑΤΟΣ'!AP71/'2.ΤΙΜΕΣ ΚΛΕΙΣΙΜΑΤΟΣ'!AP70)</f>
        <v>3.0349036951538896E-3</v>
      </c>
      <c r="AQ70" s="43">
        <f>LN('2.ΤΙΜΕΣ ΚΛΕΙΣΙΜΑΤΟΣ'!AQ71/'2.ΤΙΜΕΣ ΚΛΕΙΣΙΜΑΤΟΣ'!AQ70)</f>
        <v>6.7297143576650786E-2</v>
      </c>
      <c r="AR70" s="43">
        <f>LN('2.ΤΙΜΕΣ ΚΛΕΙΣΙΜΑΤΟΣ'!AR71/'2.ΤΙΜΕΣ ΚΛΕΙΣΙΜΑΤΟΣ'!AR70)</f>
        <v>4.8545096161833792E-2</v>
      </c>
      <c r="AS70" s="43">
        <f>LN('2.ΤΙΜΕΣ ΚΛΕΙΣΙΜΑΤΟΣ'!AS71/'2.ΤΙΜΕΣ ΚΛΕΙΣΙΜΑΤΟΣ'!AS70)</f>
        <v>3.0254408357802343E-2</v>
      </c>
      <c r="AT70" s="43">
        <f>LN('2.ΤΙΜΕΣ ΚΛΕΙΣΙΜΑΤΟΣ'!AT71/'2.ΤΙΜΕΣ ΚΛΕΙΣΙΜΑΤΟΣ'!AT70)</f>
        <v>8.3114906710506586E-2</v>
      </c>
      <c r="AU70" s="43">
        <f>LN('2.ΤΙΜΕΣ ΚΛΕΙΣΙΜΑΤΟΣ'!AU71/'2.ΤΙΜΕΣ ΚΛΕΙΣΙΜΑΤΟΣ'!AU70)</f>
        <v>2.4664176535657452E-2</v>
      </c>
    </row>
    <row r="71" spans="1:47">
      <c r="A71" s="41">
        <v>43657</v>
      </c>
      <c r="B71" s="43">
        <f>LN('2.ΤΙΜΕΣ ΚΛΕΙΣΙΜΑΤΟΣ'!B72/'2.ΤΙΜΕΣ ΚΛΕΙΣΙΜΑΤΟΣ'!B71)</f>
        <v>-6.453694964236418E-4</v>
      </c>
      <c r="C71" s="43">
        <f>LN('2.ΤΙΜΕΣ ΚΛΕΙΣΙΜΑΤΟΣ'!C72/'2.ΤΙΜΕΣ ΚΛΕΙΣΙΜΑΤΟΣ'!C71)</f>
        <v>4.0048111195124915E-3</v>
      </c>
      <c r="D71" s="43">
        <f>LN('2.ΤΙΜΕΣ ΚΛΕΙΣΙΜΑΤΟΣ'!D72/'2.ΤΙΜΕΣ ΚΛΕΙΣΙΜΑΤΟΣ'!D71)</f>
        <v>-1.7640801973017428E-2</v>
      </c>
      <c r="E71" s="43">
        <f>LN('2.ΤΙΜΕΣ ΚΛΕΙΣΙΜΑΤΟΣ'!E72/'2.ΤΙΜΕΣ ΚΛΕΙΣΙΜΑΤΟΣ'!E71)</f>
        <v>2.9380644393219961E-2</v>
      </c>
      <c r="F71" s="43">
        <f>LN('2.ΤΙΜΕΣ ΚΛΕΙΣΙΜΑΤΟΣ'!F72/'2.ΤΙΜΕΣ ΚΛΕΙΣΙΜΑΤΟΣ'!F71)</f>
        <v>1.0881500187534207E-2</v>
      </c>
      <c r="G71" s="43">
        <f>LN('2.ΤΙΜΕΣ ΚΛΕΙΣΙΜΑΤΟΣ'!G72/'2.ΤΙΜΕΣ ΚΛΕΙΣΙΜΑΤΟΣ'!G71)</f>
        <v>-8.469500113573834E-3</v>
      </c>
      <c r="H71" s="43">
        <f>LN('2.ΤΙΜΕΣ ΚΛΕΙΣΙΜΑΤΟΣ'!H72/'2.ΤΙΜΕΣ ΚΛΕΙΣΙΜΑΤΟΣ'!H71)</f>
        <v>-5.1020518838953985E-3</v>
      </c>
      <c r="I71" s="43">
        <f>LN('2.ΤΙΜΕΣ ΚΛΕΙΣΙΜΑΤΟΣ'!I72/'2.ΤΙΜΕΣ ΚΛΕΙΣΙΜΑΤΟΣ'!I71)</f>
        <v>-2.6117488154854158E-2</v>
      </c>
      <c r="J71" s="43">
        <f>LN('2.ΤΙΜΕΣ ΚΛΕΙΣΙΜΑΤΟΣ'!J72/'2.ΤΙΜΕΣ ΚΛΕΙΣΙΜΑΤΟΣ'!J71)</f>
        <v>-3.8499942927641084E-2</v>
      </c>
      <c r="K71" s="43">
        <f>LN('2.ΤΙΜΕΣ ΚΛΕΙΣΙΜΑΤΟΣ'!K72/'2.ΤΙΜΕΣ ΚΛΕΙΣΙΜΑΤΟΣ'!K71)</f>
        <v>3.176046226968929E-3</v>
      </c>
      <c r="L71" s="43">
        <f>LN('2.ΤΙΜΕΣ ΚΛΕΙΣΙΜΑΤΟΣ'!L72/'2.ΤΙΜΕΣ ΚΛΕΙΣΙΜΑΤΟΣ'!L71)</f>
        <v>1.5880763456250571E-2</v>
      </c>
      <c r="M71" s="43">
        <f>LN('2.ΤΙΜΕΣ ΚΛΕΙΣΙΜΑΤΟΣ'!M72/'2.ΤΙΜΕΣ ΚΛΕΙΣΙΜΑΤΟΣ'!M71)</f>
        <v>7.7994824348238895E-3</v>
      </c>
      <c r="N71" s="43">
        <f>LN('2.ΤΙΜΕΣ ΚΛΕΙΣΙΜΑΤΟΣ'!N72/'2.ΤΙΜΕΣ ΚΛΕΙΣΙΜΑΤΟΣ'!N71)</f>
        <v>0</v>
      </c>
      <c r="O71" s="43">
        <f>LN('2.ΤΙΜΕΣ ΚΛΕΙΣΙΜΑΤΟΣ'!O72/'2.ΤΙΜΕΣ ΚΛΕΙΣΙΜΑΤΟΣ'!O71)</f>
        <v>1.6086137751624225E-2</v>
      </c>
      <c r="P71" s="43">
        <f>LN('2.ΤΙΜΕΣ ΚΛΕΙΣΙΜΑΤΟΣ'!P72/'2.ΤΙΜΕΣ ΚΛΕΙΣΙΜΑΤΟΣ'!P71)</f>
        <v>6.3249030307699405E-2</v>
      </c>
      <c r="Q71" s="43">
        <f>LN('2.ΤΙΜΕΣ ΚΛΕΙΣΙΜΑΤΟΣ'!Q72/'2.ΤΙΜΕΣ ΚΛΕΙΣΙΜΑΤΟΣ'!Q71)</f>
        <v>-1.3774106860950602E-3</v>
      </c>
      <c r="R71" s="43">
        <f>LN('2.ΤΙΜΕΣ ΚΛΕΙΣΙΜΑΤΟΣ'!R72/'2.ΤΙΜΕΣ ΚΛΕΙΣΙΜΑΤΟΣ'!R71)</f>
        <v>-9.3577884055605631E-3</v>
      </c>
      <c r="S71" s="43">
        <f>LN('2.ΤΙΜΕΣ ΚΛΕΙΣΙΜΑΤΟΣ'!S72/'2.ΤΙΜΕΣ ΚΛΕΙΣΙΜΑΤΟΣ'!S71)</f>
        <v>-7.0671672230923311E-3</v>
      </c>
      <c r="T71" s="43">
        <f>LN('2.ΤΙΜΕΣ ΚΛΕΙΣΙΜΑΤΟΣ'!T72/'2.ΤΙΜΕΣ ΚΛΕΙΣΙΜΑΤΟΣ'!T71)</f>
        <v>-9.5580178061053563E-3</v>
      </c>
      <c r="U71" s="43">
        <f>LN('2.ΤΙΜΕΣ ΚΛΕΙΣΙΜΑΤΟΣ'!U72/'2.ΤΙΜΕΣ ΚΛΕΙΣΙΜΑΤΟΣ'!U71)</f>
        <v>9.4787439545437387E-3</v>
      </c>
      <c r="V71" s="43">
        <f>LN('2.ΤΙΜΕΣ ΚΛΕΙΣΙΜΑΤΟΣ'!V72/'2.ΤΙΜΕΣ ΚΛΕΙΣΙΜΑΤΟΣ'!V71)</f>
        <v>2.2027322318290909E-2</v>
      </c>
      <c r="W71" s="43">
        <f>LN('2.ΤΙΜΕΣ ΚΛΕΙΣΙΜΑΤΟΣ'!W72/'2.ΤΙΜΕΣ ΚΛΕΙΣΙΜΑΤΟΣ'!W71)</f>
        <v>1.3439420361661146E-2</v>
      </c>
      <c r="X71" s="43">
        <f>LN('2.ΤΙΜΕΣ ΚΛΕΙΣΙΜΑΤΟΣ'!X72/'2.ΤΙΜΕΣ ΚΛΕΙΣΙΜΑΤΟΣ'!X71)</f>
        <v>-2.6585362440748215E-3</v>
      </c>
      <c r="Y71" s="43">
        <f>LN('2.ΤΙΜΕΣ ΚΛΕΙΣΙΜΑΤΟΣ'!Y72/'2.ΤΙΜΕΣ ΚΛΕΙΣΙΜΑΤΟΣ'!Y71)</f>
        <v>-4.0322635279383401E-3</v>
      </c>
      <c r="Z71" s="43">
        <f>LN('2.ΤΙΜΕΣ ΚΛΕΙΣΙΜΑΤΟΣ'!Z72/'2.ΤΙΜΕΣ ΚΛΕΙΣΙΜΑΤΟΣ'!Z71)</f>
        <v>-3.4071583216141975E-3</v>
      </c>
      <c r="AA71" s="43">
        <f>LN('2.ΤΙΜΕΣ ΚΛΕΙΣΙΜΑΤΟΣ'!AA72/'2.ΤΙΜΕΣ ΚΛΕΙΣΙΜΑΤΟΣ'!AA71)</f>
        <v>-6.688988150796652E-3</v>
      </c>
      <c r="AB71" s="43">
        <f>LN('2.ΤΙΜΕΣ ΚΛΕΙΣΙΜΑΤΟΣ'!AB72/'2.ΤΙΜΕΣ ΚΛΕΙΣΙΜΑΤΟΣ'!AB71)</f>
        <v>1.077209698191104E-2</v>
      </c>
      <c r="AC71" s="43">
        <f>LN('2.ΤΙΜΕΣ ΚΛΕΙΣΙΜΑΤΟΣ'!AC72/'2.ΤΙΜΕΣ ΚΛΕΙΣΙΜΑΤΟΣ'!AC71)</f>
        <v>2.8818463748889502E-3</v>
      </c>
      <c r="AD71" s="43">
        <f>LN('2.ΤΙΜΕΣ ΚΛΕΙΣΙΜΑΤΟΣ'!AD72/'2.ΤΙΜΕΣ ΚΛΕΙΣΙΜΑΤΟΣ'!AD71)</f>
        <v>-4.1350851478029905E-3</v>
      </c>
      <c r="AE71" s="43">
        <f>LN('2.ΤΙΜΕΣ ΚΛΕΙΣΙΜΑΤΟΣ'!AE72/'2.ΤΙΜΕΣ ΚΛΕΙΣΙΜΑΤΟΣ'!AE71)</f>
        <v>3.0420596700711719E-2</v>
      </c>
      <c r="AF71" s="43">
        <f>LN('2.ΤΙΜΕΣ ΚΛΕΙΣΙΜΑΤΟΣ'!AF72/'2.ΤΙΜΕΣ ΚΛΕΙΣΙΜΑΤΟΣ'!AF71)</f>
        <v>2.9558802241544429E-2</v>
      </c>
      <c r="AG71" s="43">
        <f>LN('2.ΤΙΜΕΣ ΚΛΕΙΣΙΜΑΤΟΣ'!AG72/'2.ΤΙΜΕΣ ΚΛΕΙΣΙΜΑΤΟΣ'!AG71)</f>
        <v>-2.3282897595911845E-3</v>
      </c>
      <c r="AH71" s="43">
        <f>LN('2.ΤΙΜΕΣ ΚΛΕΙΣΙΜΑΤΟΣ'!AH72/'2.ΤΙΜΕΣ ΚΛΕΙΣΙΜΑΤΟΣ'!AH71)</f>
        <v>-7.874056430905883E-3</v>
      </c>
      <c r="AI71" s="43">
        <f>LN('2.ΤΙΜΕΣ ΚΛΕΙΣΙΜΑΤΟΣ'!AI72/'2.ΤΙΜΕΣ ΚΛΕΙΣΙΜΑΤΟΣ'!AI71)</f>
        <v>0</v>
      </c>
      <c r="AJ71" s="43">
        <f>LN('2.ΤΙΜΕΣ ΚΛΕΙΣΙΜΑΤΟΣ'!AJ72/'2.ΤΙΜΕΣ ΚΛΕΙΣΙΜΑΤΟΣ'!AJ71)</f>
        <v>-4.6838493124264262E-3</v>
      </c>
      <c r="AK71" s="43">
        <f>LN('2.ΤΙΜΕΣ ΚΛΕΙΣΙΜΑΤΟΣ'!AK72/'2.ΤΙΜΕΣ ΚΛΕΙΣΙΜΑΤΟΣ'!AK71)</f>
        <v>4.4943895878392674E-3</v>
      </c>
      <c r="AL71" s="43">
        <f>LN('2.ΤΙΜΕΣ ΚΛΕΙΣΙΜΑΤΟΣ'!AL72/'2.ΤΙΜΕΣ ΚΛΕΙΣΙΜΑΤΟΣ'!AL71)</f>
        <v>-3.8614836127779661E-2</v>
      </c>
      <c r="AM71" s="43">
        <f>LN('2.ΤΙΜΕΣ ΚΛΕΙΣΙΜΑΤΟΣ'!AM72/'2.ΤΙΜΕΣ ΚΛΕΙΣΙΜΑΤΟΣ'!AM71)</f>
        <v>-1.41846349919563E-2</v>
      </c>
      <c r="AN71" s="43">
        <f>LN('2.ΤΙΜΕΣ ΚΛΕΙΣΙΜΑΤΟΣ'!AN72/'2.ΤΙΜΕΣ ΚΛΕΙΣΙΜΑΤΟΣ'!AN71)</f>
        <v>4.5045121211045079E-3</v>
      </c>
      <c r="AO71" s="43">
        <f>LN('2.ΤΙΜΕΣ ΚΛΕΙΣΙΜΑΤΟΣ'!AO72/'2.ΤΙΜΕΣ ΚΛΕΙΣΙΜΑΤΟΣ'!AO71)</f>
        <v>2.1116923440922829E-2</v>
      </c>
      <c r="AP71" s="43">
        <f>LN('2.ΤΙΜΕΣ ΚΛΕΙΣΙΜΑΤΟΣ'!AP72/'2.ΤΙΜΕΣ ΚΛΕΙΣΙΜΑΤΟΣ'!AP71)</f>
        <v>0</v>
      </c>
      <c r="AQ71" s="43">
        <f>LN('2.ΤΙΜΕΣ ΚΛΕΙΣΙΜΑΤΟΣ'!AQ72/'2.ΤΙΜΕΣ ΚΛΕΙΣΙΜΑΤΟΣ'!AQ71)</f>
        <v>1.6393809775676352E-2</v>
      </c>
      <c r="AR71" s="43">
        <f>LN('2.ΤΙΜΕΣ ΚΛΕΙΣΙΜΑΤΟΣ'!AR72/'2.ΤΙΜΕΣ ΚΛΕΙΣΙΜΑΤΟΣ'!AR71)</f>
        <v>8.9051777615902467E-2</v>
      </c>
      <c r="AS71" s="43">
        <f>LN('2.ΤΙΜΕΣ ΚΛΕΙΣΙΜΑΤΟΣ'!AS72/'2.ΤΙΜΕΣ ΚΛΕΙΣΙΜΑΤΟΣ'!AS71)</f>
        <v>8.8665637085656307E-2</v>
      </c>
      <c r="AT71" s="43">
        <f>LN('2.ΤΙΜΕΣ ΚΛΕΙΣΙΜΑΤΟΣ'!AT72/'2.ΤΙΜΕΣ ΚΛΕΙΣΙΜΑΤΟΣ'!AT71)</f>
        <v>-1.8576385572935419E-2</v>
      </c>
      <c r="AU71" s="43">
        <f>LN('2.ΤΙΜΕΣ ΚΛΕΙΣΙΜΑΤΟΣ'!AU72/'2.ΤΙΜΕΣ ΚΛΕΙΣΙΜΑΤΟΣ'!AU71)</f>
        <v>2.0406987196778365E-3</v>
      </c>
    </row>
    <row r="72" spans="1:47">
      <c r="A72" s="41">
        <v>43658</v>
      </c>
      <c r="B72" s="43">
        <f>LN('2.ΤΙΜΕΣ ΚΛΕΙΣΙΜΑΤΟΣ'!B73/'2.ΤΙΜΕΣ ΚΛΕΙΣΙΜΑΤΟΣ'!B72)</f>
        <v>-9.4049663570776893E-3</v>
      </c>
      <c r="C72" s="43">
        <f>LN('2.ΤΙΜΕΣ ΚΛΕΙΣΙΜΑΤΟΣ'!C73/'2.ΤΙΜΕΣ ΚΛΕΙΣΙΜΑΤΟΣ'!C72)</f>
        <v>-7.9968017056429011E-4</v>
      </c>
      <c r="D72" s="43">
        <f>LN('2.ΤΙΜΕΣ ΚΛΕΙΣΙΜΑΤΟΣ'!D73/'2.ΤΙΜΕΣ ΚΛΕΙΣΙΜΑΤΟΣ'!D72)</f>
        <v>1.4034223794001554E-2</v>
      </c>
      <c r="E72" s="43">
        <f>LN('2.ΤΙΜΕΣ ΚΛΕΙΣΙΜΑΤΟΣ'!E73/'2.ΤΙΜΕΣ ΚΛΕΙΣΙΜΑΤΟΣ'!E72)</f>
        <v>-1.4017611079311347E-2</v>
      </c>
      <c r="F72" s="43">
        <f>LN('2.ΤΙΜΕΣ ΚΛΕΙΣΙΜΑΤΟΣ'!F73/'2.ΤΙΜΕΣ ΚΛΕΙΣΙΜΑΤΟΣ'!F72)</f>
        <v>-4.3384015985982417E-3</v>
      </c>
      <c r="G72" s="43">
        <f>LN('2.ΤΙΜΕΣ ΚΛΕΙΣΙΜΑΤΟΣ'!G73/'2.ΤΙΜΕΣ ΚΛΕΙΣΙΜΑΤΟΣ'!G72)</f>
        <v>-1.4688146561656788E-2</v>
      </c>
      <c r="H72" s="43">
        <f>LN('2.ΤΙΜΕΣ ΚΛΕΙΣΙΜΑΤΟΣ'!H73/'2.ΤΙΜΕΣ ΚΛΕΙΣΙΜΑΤΟΣ'!H72)</f>
        <v>1.7035779247838289E-3</v>
      </c>
      <c r="I72" s="43">
        <f>LN('2.ΤΙΜΕΣ ΚΛΕΙΣΙΜΑΤΟΣ'!I73/'2.ΤΙΜΕΣ ΚΛΕΙΣΙΜΑΤΟΣ'!I72)</f>
        <v>-1.8634079544892983E-2</v>
      </c>
      <c r="J72" s="43">
        <f>LN('2.ΤΙΜΕΣ ΚΛΕΙΣΙΜΑΤΟΣ'!J73/'2.ΤΙΜΕΣ ΚΛΕΙΣΙΜΑΤΟΣ'!J72)</f>
        <v>-3.2641157097600043E-2</v>
      </c>
      <c r="K72" s="43">
        <f>LN('2.ΤΙΜΕΣ ΚΛΕΙΣΙΜΑΤΟΣ'!K73/'2.ΤΙΜΕΣ ΚΛΕΙΣΙΜΑΤΟΣ'!K72)</f>
        <v>0</v>
      </c>
      <c r="L72" s="43">
        <f>LN('2.ΤΙΜΕΣ ΚΛΕΙΣΙΜΑΤΟΣ'!L73/'2.ΤΙΜΕΣ ΚΛΕΙΣΙΜΑΤΟΣ'!L72)</f>
        <v>-1.024694573799444E-2</v>
      </c>
      <c r="M72" s="43">
        <f>LN('2.ΤΙΜΕΣ ΚΛΕΙΣΙΜΑΤΟΣ'!M73/'2.ΤΙΜΕΣ ΚΛΕΙΣΙΜΑΤΟΣ'!M72)</f>
        <v>8.839836569141021E-3</v>
      </c>
      <c r="N72" s="43">
        <f>LN('2.ΤΙΜΕΣ ΚΛΕΙΣΙΜΑΤΟΣ'!N73/'2.ΤΙΜΕΣ ΚΛΕΙΣΙΜΑΤΟΣ'!N72)</f>
        <v>-5.4155516651534534E-3</v>
      </c>
      <c r="O72" s="43">
        <f>LN('2.ΤΙΜΕΣ ΚΛΕΙΣΙΜΑΤΟΣ'!O73/'2.ΤΙΜΕΣ ΚΛΕΙΣΙΜΑΤΟΣ'!O72)</f>
        <v>1.0582109330537008E-2</v>
      </c>
      <c r="P72" s="43">
        <f>LN('2.ΤΙΜΕΣ ΚΛΕΙΣΙΜΑΤΟΣ'!P73/'2.ΤΙΜΕΣ ΚΛΕΙΣΙΜΑΤΟΣ'!P72)</f>
        <v>8.0321716972642527E-3</v>
      </c>
      <c r="Q72" s="43">
        <f>LN('2.ΤΙΜΕΣ ΚΛΕΙΣΙΜΑΤΟΣ'!Q73/'2.ΤΙΜΕΣ ΚΛΕΙΣΙΜΑΤΟΣ'!Q72)</f>
        <v>-5.1619801310584121E-2</v>
      </c>
      <c r="R72" s="43">
        <f>LN('2.ΤΙΜΕΣ ΚΛΕΙΣΙΜΑΤΟΣ'!R73/'2.ΤΙΜΕΣ ΚΛΕΙΣΙΜΑΤΟΣ'!R72)</f>
        <v>-3.7444513752025482E-2</v>
      </c>
      <c r="S72" s="43">
        <f>LN('2.ΤΙΜΕΣ ΚΛΕΙΣΙΜΑΤΟΣ'!S73/'2.ΤΙΜΕΣ ΚΛΕΙΣΙΜΑΤΟΣ'!S72)</f>
        <v>4.9577875907681319E-2</v>
      </c>
      <c r="T72" s="43">
        <f>LN('2.ΤΙΜΕΣ ΚΛΕΙΣΙΜΑΤΟΣ'!T73/'2.ΤΙΜΕΣ ΚΛΕΙΣΙΜΑΤΟΣ'!T72)</f>
        <v>-4.813487031547826E-3</v>
      </c>
      <c r="U72" s="43">
        <f>LN('2.ΤΙΜΕΣ ΚΛΕΙΣΙΜΑΤΟΣ'!U73/'2.ΤΙΜΕΣ ΚΛΕΙΣΙΜΑΤΟΣ'!U72)</f>
        <v>-3.8466280827796052E-2</v>
      </c>
      <c r="V72" s="43">
        <f>LN('2.ΤΙΜΕΣ ΚΛΕΙΣΙΜΑΤΟΣ'!V73/'2.ΤΙΜΕΣ ΚΛΕΙΣΙΜΑΤΟΣ'!V72)</f>
        <v>0</v>
      </c>
      <c r="W72" s="43">
        <f>LN('2.ΤΙΜΕΣ ΚΛΕΙΣΙΜΑΤΟΣ'!W73/'2.ΤΙΜΕΣ ΚΛΕΙΣΙΜΑΤΟΣ'!W72)</f>
        <v>1.2128564252092296E-3</v>
      </c>
      <c r="X72" s="43">
        <f>LN('2.ΤΙΜΕΣ ΚΛΕΙΣΙΜΑΤΟΣ'!X73/'2.ΤΙΜΕΣ ΚΛΕΙΣΙΜΑΤΟΣ'!X72)</f>
        <v>1.0282065970372234E-2</v>
      </c>
      <c r="Y72" s="43">
        <f>LN('2.ΤΙΜΕΣ ΚΛΕΙΣΙΜΑΤΟΣ'!Y73/'2.ΤΙΜΕΣ ΚΛΕΙΣΙΜΑΤΟΣ'!Y72)</f>
        <v>0</v>
      </c>
      <c r="Z72" s="43">
        <f>LN('2.ΤΙΜΕΣ ΚΛΕΙΣΙΜΑΤΟΣ'!Z73/'2.ΤΙΜΕΣ ΚΛΕΙΣΙΜΑΤΟΣ'!Z72)</f>
        <v>2.0270964373618985E-2</v>
      </c>
      <c r="AA72" s="43">
        <f>LN('2.ΤΙΜΕΣ ΚΛΕΙΣΙΜΑΤΟΣ'!AA73/'2.ΤΙΜΕΣ ΚΛΕΙΣΙΜΑΤΟΣ'!AA72)</f>
        <v>-1.0118130165584554E-2</v>
      </c>
      <c r="AB72" s="43">
        <f>LN('2.ΤΙΜΕΣ ΚΛΕΙΣΙΜΑΤΟΣ'!AB73/'2.ΤΙΜΕΣ ΚΛΕΙΣΙΜΑΤΟΣ'!AB72)</f>
        <v>3.5650661644961446E-3</v>
      </c>
      <c r="AC72" s="43">
        <f>LN('2.ΤΙΜΕΣ ΚΛΕΙΣΙΜΑΤΟΣ'!AC73/'2.ΤΙΜΕΣ ΚΛΕΙΣΙΜΑΤΟΣ'!AC72)</f>
        <v>-7.2202479734870201E-3</v>
      </c>
      <c r="AD72" s="43">
        <f>LN('2.ΤΙΜΕΣ ΚΛΕΙΣΙΜΑΤΟΣ'!AD73/'2.ΤΙΜΕΣ ΚΛΕΙΣΙΜΑΤΟΣ'!AD72)</f>
        <v>-5.5401803756153561E-3</v>
      </c>
      <c r="AE72" s="43">
        <f>LN('2.ΤΙΜΕΣ ΚΛΕΙΣΙΜΑΤΟΣ'!AE73/'2.ΤΙΜΕΣ ΚΛΕΙΣΙΜΑΤΟΣ'!AE72)</f>
        <v>1.4870162479451407E-2</v>
      </c>
      <c r="AF72" s="43">
        <f>LN('2.ΤΙΜΕΣ ΚΛΕΙΣΙΜΑΤΟΣ'!AF73/'2.ΤΙΜΕΣ ΚΛΕΙΣΙΜΑΤΟΣ'!AF72)</f>
        <v>1.4458083175229917E-2</v>
      </c>
      <c r="AG72" s="43">
        <f>LN('2.ΤΙΜΕΣ ΚΛΕΙΣΙΜΑΤΟΣ'!AG73/'2.ΤΙΜΕΣ ΚΛΕΙΣΙΜΑΤΟΣ'!AG72)</f>
        <v>-4.7741762885215318E-2</v>
      </c>
      <c r="AH72" s="43">
        <f>LN('2.ΤΙΜΕΣ ΚΛΕΙΣΙΜΑΤΟΣ'!AH73/'2.ΤΙΜΕΣ ΚΛΕΙΣΙΜΑΤΟΣ'!AH72)</f>
        <v>-9.5314462655523655E-3</v>
      </c>
      <c r="AI72" s="43">
        <f>LN('2.ΤΙΜΕΣ ΚΛΕΙΣΙΜΑΤΟΣ'!AI73/'2.ΤΙΜΕΣ ΚΛΕΙΣΙΜΑΤΟΣ'!AI72)</f>
        <v>0</v>
      </c>
      <c r="AJ72" s="43">
        <f>LN('2.ΤΙΜΕΣ ΚΛΕΙΣΙΜΑΤΟΣ'!AJ73/'2.ΤΙΜΕΣ ΚΛΕΙΣΙΜΑΤΟΣ'!AJ72)</f>
        <v>9.345862418237599E-3</v>
      </c>
      <c r="AK72" s="43">
        <f>LN('2.ΤΙΜΕΣ ΚΛΕΙΣΙΜΑΤΟΣ'!AK73/'2.ΤΙΜΕΣ ΚΛΕΙΣΙΜΑΤΟΣ'!AK72)</f>
        <v>0</v>
      </c>
      <c r="AL72" s="43">
        <f>LN('2.ΤΙΜΕΣ ΚΛΕΙΣΙΜΑΤΟΣ'!AL73/'2.ΤΙΜΕΣ ΚΛΕΙΣΙΜΑΤΟΣ'!AL72)</f>
        <v>-7.9051795071132611E-3</v>
      </c>
      <c r="AM72" s="43">
        <f>LN('2.ΤΙΜΕΣ ΚΛΕΙΣΙΜΑΤΟΣ'!AM73/'2.ΤΙΜΕΣ ΚΛΕΙΣΙΜΑΤΟΣ'!AM72)</f>
        <v>4.7506027585977988E-3</v>
      </c>
      <c r="AN72" s="43">
        <f>LN('2.ΤΙΜΕΣ ΚΛΕΙΣΙΜΑΤΟΣ'!AN73/'2.ΤΙΜΕΣ ΚΛΕΙΣΙΜΑΤΟΣ'!AN72)</f>
        <v>2.0022915875107732E-2</v>
      </c>
      <c r="AO72" s="43">
        <f>LN('2.ΤΙΜΕΣ ΚΛΕΙΣΙΜΑΤΟΣ'!AO73/'2.ΤΙΜΕΣ ΚΛΕΙΣΙΜΑΤΟΣ'!AO72)</f>
        <v>8.9153636579523288E-3</v>
      </c>
      <c r="AP72" s="43">
        <f>LN('2.ΤΙΜΕΣ ΚΛΕΙΣΙΜΑΤΟΣ'!AP73/'2.ΤΙΜΕΣ ΚΛΕΙΣΙΜΑΤΟΣ'!AP72)</f>
        <v>4.1549002912872481E-2</v>
      </c>
      <c r="AQ72" s="43">
        <f>LN('2.ΤΙΜΕΣ ΚΛΕΙΣΙΜΑΤΟΣ'!AQ73/'2.ΤΙΜΕΣ ΚΛΕΙΣΙΜΑΤΟΣ'!AQ72)</f>
        <v>-8.1633106391609811E-3</v>
      </c>
      <c r="AR72" s="43">
        <f>LN('2.ΤΙΜΕΣ ΚΛΕΙΣΙΜΑΤΟΣ'!AR73/'2.ΤΙΜΕΣ ΚΛΕΙΣΙΜΑΤΟΣ'!AR72)</f>
        <v>7.4460507840785322E-3</v>
      </c>
      <c r="AS72" s="43">
        <f>LN('2.ΤΙΜΕΣ ΚΛΕΙΣΙΜΑΤΟΣ'!AS73/'2.ΤΙΜΕΣ ΚΛΕΙΣΙΜΑΤΟΣ'!AS72)</f>
        <v>9.0498355199180765E-3</v>
      </c>
      <c r="AT72" s="43">
        <f>LN('2.ΤΙΜΕΣ ΚΛΕΙΣΙΜΑΤΟΣ'!AT73/'2.ΤΙΜΕΣ ΚΛΕΙΣΙΜΑΤΟΣ'!AT72)</f>
        <v>-1.0471299867295366E-2</v>
      </c>
      <c r="AU72" s="43">
        <f>LN('2.ΤΙΜΕΣ ΚΛΕΙΣΙΜΑΤΟΣ'!AU73/'2.ΤΙΜΕΣ ΚΛΕΙΣΙΜΑΤΟΣ'!AU72)</f>
        <v>-5.7850632972207819E-3</v>
      </c>
    </row>
    <row r="73" spans="1:47">
      <c r="A73" s="41">
        <v>43661</v>
      </c>
      <c r="B73" s="43">
        <f>LN('2.ΤΙΜΕΣ ΚΛΕΙΣΙΜΑΤΟΣ'!B74/'2.ΤΙΜΕΣ ΚΛΕΙΣΙΜΑΤΟΣ'!B73)</f>
        <v>-1.5432911787051317E-2</v>
      </c>
      <c r="C73" s="43">
        <f>LN('2.ΤΙΜΕΣ ΚΛΕΙΣΙΜΑΤΟΣ'!C74/'2.ΤΙΜΕΣ ΚΛΕΙΣΙΜΑΤΟΣ'!C73)</f>
        <v>0</v>
      </c>
      <c r="D73" s="43">
        <f>LN('2.ΤΙΜΕΣ ΚΛΕΙΣΙΜΑΤΟΣ'!D74/'2.ΤΙΜΕΣ ΚΛΕΙΣΙΜΑΤΟΣ'!D73)</f>
        <v>2.5774538728946632E-3</v>
      </c>
      <c r="E73" s="43">
        <f>LN('2.ΤΙΜΕΣ ΚΛΕΙΣΙΜΑΤΟΣ'!E74/'2.ΤΙΜΕΣ ΚΛΕΙΣΙΜΑΤΟΣ'!E73)</f>
        <v>1.1787955752042393E-2</v>
      </c>
      <c r="F73" s="43">
        <f>LN('2.ΤΙΜΕΣ ΚΛΕΙΣΙΜΑΤΟΣ'!F74/'2.ΤΙΜΕΣ ΚΛΕΙΣΙΜΑΤΟΣ'!F73)</f>
        <v>-8.7336799687546662E-3</v>
      </c>
      <c r="G73" s="43">
        <f>LN('2.ΤΙΜΕΣ ΚΛΕΙΣΙΜΑΤΟΣ'!G74/'2.ΤΙΜΕΣ ΚΛΕΙΣΙΜΑΤΟΣ'!G73)</f>
        <v>-3.7059955943175358E-3</v>
      </c>
      <c r="H73" s="43">
        <f>LN('2.ΤΙΜΕΣ ΚΛΕΙΣΙΜΑΤΟΣ'!H74/'2.ΤΙΜΕΣ ΚΛΕΙΣΙΜΑΤΟΣ'!H73)</f>
        <v>-1.2848142477849024E-2</v>
      </c>
      <c r="I73" s="43">
        <f>LN('2.ΤΙΜΕΣ ΚΛΕΙΣΙΜΑΤΟΣ'!I74/'2.ΤΙΜΕΣ ΚΛΕΙΣΙΜΑΤΟΣ'!I73)</f>
        <v>3.1298930089277868E-3</v>
      </c>
      <c r="J73" s="43">
        <f>LN('2.ΤΙΜΕΣ ΚΛΕΙΣΙΜΑΤΟΣ'!J74/'2.ΤΙΜΕΣ ΚΛΕΙΣΙΜΑΤΟΣ'!J73)</f>
        <v>-9.2208397496831385E-4</v>
      </c>
      <c r="K73" s="43">
        <f>LN('2.ΤΙΜΕΣ ΚΛΕΙΣΙΜΑΤΟΣ'!K74/'2.ΤΙΜΕΣ ΚΛΕΙΣΙΜΑΤΟΣ'!K73)</f>
        <v>1.2716088748175411E-2</v>
      </c>
      <c r="L73" s="43">
        <f>LN('2.ΤΙΜΕΣ ΚΛΕΙΣΙΜΑΤΟΣ'!L74/'2.ΤΙΜΕΣ ΚΛΕΙΣΙΜΑΤΟΣ'!L73)</f>
        <v>-4.6926411781920644E-3</v>
      </c>
      <c r="M73" s="43">
        <f>LN('2.ΤΙΜΕΣ ΚΛΕΙΣΙΜΑΤΟΣ'!M74/'2.ΤΙΜΕΣ ΚΛΕΙΣΙΜΑΤΟΣ'!M73)</f>
        <v>-4.5001968912086847E-2</v>
      </c>
      <c r="N73" s="43">
        <f>LN('2.ΤΙΜΕΣ ΚΛΕΙΣΙΜΑΤΟΣ'!N74/'2.ΤΙΜΕΣ ΚΛΕΙΣΙΜΑΤΟΣ'!N73)</f>
        <v>-6.8459925079901139E-3</v>
      </c>
      <c r="O73" s="43">
        <f>LN('2.ΤΙΜΕΣ ΚΛΕΙΣΙΜΑΤΟΣ'!O74/'2.ΤΙΜΕΣ ΚΛΕΙΣΙΜΑΤΟΣ'!O73)</f>
        <v>-2.6350476380050023E-3</v>
      </c>
      <c r="P73" s="43">
        <f>LN('2.ΤΙΜΕΣ ΚΛΕΙΣΙΜΑΤΟΣ'!P74/'2.ΤΙΜΕΣ ΚΛΕΙΣΙΜΑΤΟΣ'!P73)</f>
        <v>-3.417745180158651E-2</v>
      </c>
      <c r="Q73" s="43">
        <f>LN('2.ΤΙΜΕΣ ΚΛΕΙΣΙΜΑΤΟΣ'!Q74/'2.ΤΙΜΕΣ ΚΛΕΙΣΙΜΑΤΟΣ'!Q73)</f>
        <v>-3.9220713153281267E-2</v>
      </c>
      <c r="R73" s="43">
        <f>LN('2.ΤΙΜΕΣ ΚΛΕΙΣΙΜΑΤΟΣ'!R74/'2.ΤΙΜΕΣ ΚΛΕΙΣΙΜΑΤΟΣ'!R73)</f>
        <v>-2.4249055253314274E-2</v>
      </c>
      <c r="S73" s="43">
        <f>LN('2.ΤΙΜΕΣ ΚΛΕΙΣΙΜΑΤΟΣ'!S74/'2.ΤΙΜΕΣ ΚΛΕΙΣΙΜΑΤΟΣ'!S73)</f>
        <v>1.3408022094433156E-2</v>
      </c>
      <c r="T73" s="43">
        <f>LN('2.ΤΙΜΕΣ ΚΛΕΙΣΙΜΑΤΟΣ'!T74/'2.ΤΙΜΕΣ ΚΛΕΙΣΙΜΑΤΟΣ'!T73)</f>
        <v>-1.3357818532547874E-2</v>
      </c>
      <c r="U73" s="43">
        <f>LN('2.ΤΙΜΕΣ ΚΛΕΙΣΙΜΑΤΟΣ'!U74/'2.ΤΙΜΕΣ ΚΛΕΙΣΙΜΑΤΟΣ'!U73)</f>
        <v>1.2180418556871013E-2</v>
      </c>
      <c r="V73" s="43">
        <f>LN('2.ΤΙΜΕΣ ΚΛΕΙΣΙΜΑΤΟΣ'!V74/'2.ΤΙΜΕΣ ΚΛΕΙΣΙΜΑΤΟΣ'!V73)</f>
        <v>-4.2275483148238306E-2</v>
      </c>
      <c r="W73" s="43">
        <f>LN('2.ΤΙΜΕΣ ΚΛΕΙΣΙΜΑΤΟΣ'!W74/'2.ΤΙΜΕΣ ΚΛΕΙΣΙΜΑΤΟΣ'!W73)</f>
        <v>-1.2195273093818243E-2</v>
      </c>
      <c r="X73" s="43">
        <f>LN('2.ΤΙΜΕΣ ΚΛΕΙΣΙΜΑΤΟΣ'!X74/'2.ΤΙΜΕΣ ΚΛΕΙΣΙΜΑΤΟΣ'!X73)</f>
        <v>1.0023987087280948E-2</v>
      </c>
      <c r="Y73" s="43">
        <f>LN('2.ΤΙΜΕΣ ΚΛΕΙΣΙΜΑΤΟΣ'!Y74/'2.ΤΙΜΕΣ ΚΛΕΙΣΙΜΑΤΟΣ'!Y73)</f>
        <v>-1.4242356715543216E-2</v>
      </c>
      <c r="Z73" s="43">
        <f>LN('2.ΤΙΜΕΣ ΚΛΕΙΣΙΜΑΤΟΣ'!Z74/'2.ΤΙΜΕΣ ΚΛΕΙΣΙΜΑΤΟΣ'!Z73)</f>
        <v>-6.7114345879868038E-3</v>
      </c>
      <c r="AA73" s="43">
        <f>LN('2.ΤΙΜΕΣ ΚΛΕΙΣΙΜΑΤΟΣ'!AA74/'2.ΤΙΜΕΣ ΚΛΕΙΣΙΜΑΤΟΣ'!AA73)</f>
        <v>-3.3955890011382718E-3</v>
      </c>
      <c r="AB73" s="43">
        <f>LN('2.ΤΙΜΕΣ ΚΛΕΙΣΙΜΑΤΟΣ'!AB74/'2.ΤΙΜΕΣ ΚΛΕΙΣΙΜΑΤΟΣ'!AB73)</f>
        <v>-1.253373614725658E-2</v>
      </c>
      <c r="AC73" s="43">
        <f>LN('2.ΤΙΜΕΣ ΚΛΕΙΣΙΜΑΤΟΣ'!AC74/'2.ΤΙΜΕΣ ΚΛΕΙΣΙΜΑΤΟΣ'!AC73)</f>
        <v>-2.1978906718775115E-2</v>
      </c>
      <c r="AD73" s="43">
        <f>LN('2.ΤΙΜΕΣ ΚΛΕΙΣΙΜΑΤΟΣ'!AD74/'2.ΤΙΜΕΣ ΚΛΕΙΣΙΜΑΤΟΣ'!AD73)</f>
        <v>-2.1053409197832381E-2</v>
      </c>
      <c r="AE73" s="43">
        <f>LN('2.ΤΙΜΕΣ ΚΛΕΙΣΙΜΑΤΟΣ'!AE74/'2.ΤΙΜΕΣ ΚΛΕΙΣΙΜΑΤΟΣ'!AE73)</f>
        <v>7.3529743052587332E-3</v>
      </c>
      <c r="AF73" s="43">
        <f>LN('2.ΤΙΜΕΣ ΚΛΕΙΣΙΜΑΤΟΣ'!AF74/'2.ΤΙΜΕΣ ΚΛΕΙΣΙΜΑΤΟΣ'!AF73)</f>
        <v>-9.6154586994419804E-3</v>
      </c>
      <c r="AG73" s="43">
        <f>LN('2.ΤΙΜΕΣ ΚΛΕΙΣΙΜΑΤΟΣ'!AG74/'2.ΤΙΜΕΣ ΚΛΕΙΣΙΜΑΤΟΣ'!AG73)</f>
        <v>-2.2250608934819692E-2</v>
      </c>
      <c r="AH73" s="43">
        <f>LN('2.ΤΙΜΕΣ ΚΛΕΙΣΙΜΑΤΟΣ'!AH74/'2.ΤΙΜΕΣ ΚΛΕΙΣΙΜΑΤΟΣ'!AH73)</f>
        <v>1.5948966698159737E-3</v>
      </c>
      <c r="AI73" s="43">
        <f>LN('2.ΤΙΜΕΣ ΚΛΕΙΣΙΜΑΤΟΣ'!AI74/'2.ΤΙΜΕΣ ΚΛΕΙΣΙΜΑΤΟΣ'!AI73)</f>
        <v>-8.1633106391610939E-3</v>
      </c>
      <c r="AJ73" s="43">
        <f>LN('2.ΤΙΜΕΣ ΚΛΕΙΣΙΜΑΤΟΣ'!AJ74/'2.ΤΙΜΕΣ ΚΛΕΙΣΙΜΑΤΟΣ'!AJ73)</f>
        <v>4.1008023727377253E-2</v>
      </c>
      <c r="AK73" s="43">
        <f>LN('2.ΤΙΜΕΣ ΚΛΕΙΣΙΜΑΤΟΣ'!AK74/'2.ΤΙΜΕΣ ΚΛΕΙΣΙΜΑΤΟΣ'!AK73)</f>
        <v>4.4742803949211069E-3</v>
      </c>
      <c r="AL73" s="43">
        <f>LN('2.ΤΙΜΕΣ ΚΛΕΙΣΙΜΑΤΟΣ'!AL74/'2.ΤΙΜΕΣ ΚΛΕΙΣΙΜΑΤΟΣ'!AL73)</f>
        <v>-7.9681696491768449E-3</v>
      </c>
      <c r="AM73" s="43">
        <f>LN('2.ΤΙΜΕΣ ΚΛΕΙΣΙΜΑΤΟΣ'!AM74/'2.ΤΙΜΕΣ ΚΛΕΙΣΙΜΑΤΟΣ'!AM73)</f>
        <v>0</v>
      </c>
      <c r="AN73" s="43">
        <f>LN('2.ΤΙΜΕΣ ΚΛΕΙΣΙΜΑΤΟΣ'!AN74/'2.ΤΙΜΕΣ ΚΛΕΙΣΙΜΑΤΟΣ'!AN73)</f>
        <v>3.6760895975069721E-2</v>
      </c>
      <c r="AO73" s="43">
        <f>LN('2.ΤΙΜΕΣ ΚΛΕΙΣΙΜΑΤΟΣ'!AO74/'2.ΤΙΜΕΣ ΚΛΕΙΣΙΜΑΤΟΣ'!AO73)</f>
        <v>-5.9347355198145777E-3</v>
      </c>
      <c r="AP73" s="43">
        <f>LN('2.ΤΙΜΕΣ ΚΛΕΙΣΙΜΑΤΟΣ'!AP74/'2.ΤΙΜΕΣ ΚΛΕΙΣΙΜΑΤΟΣ'!AP73)</f>
        <v>3.709412440624079E-2</v>
      </c>
      <c r="AQ73" s="43">
        <f>LN('2.ΤΙΜΕΣ ΚΛΕΙΣΙΜΑΤΟΣ'!AQ74/'2.ΤΙΜΕΣ ΚΛΕΙΣΙΜΑΤΟΣ'!AQ73)</f>
        <v>2.4292692569044483E-2</v>
      </c>
      <c r="AR73" s="43">
        <f>LN('2.ΤΙΜΕΣ ΚΛΕΙΣΙΜΑΤΟΣ'!AR74/'2.ΤΙΜΕΣ ΚΛΕΙΣΙΜΑΤΟΣ'!AR73)</f>
        <v>2.3461486678997966E-2</v>
      </c>
      <c r="AS73" s="43">
        <f>LN('2.ΤΙΜΕΣ ΚΛΕΙΣΙΜΑΤΟΣ'!AS74/'2.ΤΙΜΕΣ ΚΛΕΙΣΙΜΑΤΟΣ'!AS73)</f>
        <v>3.5401927050916E-2</v>
      </c>
      <c r="AT73" s="43">
        <f>LN('2.ΤΙΜΕΣ ΚΛΕΙΣΙΜΑΤΟΣ'!AT74/'2.ΤΙΜΕΣ ΚΛΕΙΣΙΜΑΤΟΣ'!AT73)</f>
        <v>-1.2712035588361861E-2</v>
      </c>
      <c r="AU73" s="43">
        <f>LN('2.ΤΙΜΕΣ ΚΛΕΙΣΙΜΑΤΟΣ'!AU74/'2.ΤΙΜΕΣ ΚΛΕΙΣΙΜΑΤΟΣ'!AU73)</f>
        <v>-8.2708425834621836E-3</v>
      </c>
    </row>
    <row r="74" spans="1:47">
      <c r="A74" s="41">
        <v>43662</v>
      </c>
      <c r="B74" s="43">
        <f>LN('2.ΤΙΜΕΣ ΚΛΕΙΣΙΜΑΤΟΣ'!B75/'2.ΤΙΜΕΣ ΚΛΕΙΣΙΜΑΤΟΣ'!B74)</f>
        <v>-7.3065751824381393E-3</v>
      </c>
      <c r="C74" s="43">
        <f>LN('2.ΤΙΜΕΣ ΚΛΕΙΣΙΜΑΤΟΣ'!C75/'2.ΤΙΜΕΣ ΚΛΕΙΣΙΜΑΤΟΣ'!C74)</f>
        <v>0</v>
      </c>
      <c r="D74" s="43">
        <f>LN('2.ΤΙΜΕΣ ΚΛΕΙΣΙΜΑΤΟΣ'!D75/'2.ΤΙΜΕΣ ΚΛΕΙΣΙΜΑΤΟΣ'!D74)</f>
        <v>-3.0937427996398075E-3</v>
      </c>
      <c r="E74" s="43">
        <f>LN('2.ΤΙΜΕΣ ΚΛΕΙΣΙΜΑΤΟΣ'!E75/'2.ΤΙΜΕΣ ΚΛΕΙΣΙΜΑΤΟΣ'!E74)</f>
        <v>1.6727073875033088E-3</v>
      </c>
      <c r="F74" s="43">
        <f>LN('2.ΤΙΜΕΣ ΚΛΕΙΣΙΜΑΤΟΣ'!F75/'2.ΤΙΜΕΣ ΚΛΕΙΣΙΜΑΤΟΣ'!F74)</f>
        <v>-4.3956114730379975E-3</v>
      </c>
      <c r="G74" s="43">
        <f>LN('2.ΤΙΜΕΣ ΚΛΕΙΣΙΜΑΤΟΣ'!G75/'2.ΤΙΜΕΣ ΚΛΕΙΣΙΜΑΤΟΣ'!G74)</f>
        <v>4.9382816405825767E-3</v>
      </c>
      <c r="H74" s="43">
        <f>LN('2.ΤΙΜΕΣ ΚΛΕΙΣΙΜΑΤΟΣ'!H75/'2.ΤΙΜΕΣ ΚΛΕΙΣΙΜΑΤΟΣ'!H74)</f>
        <v>-1.7391742711869107E-2</v>
      </c>
      <c r="I74" s="43">
        <f>LN('2.ΤΙΜΕΣ ΚΛΕΙΣΙΜΑΤΟΣ'!I75/'2.ΤΙΜΕΣ ΚΛΕΙΣΙΜΑΤΟΣ'!I74)</f>
        <v>4.9875415110389679E-3</v>
      </c>
      <c r="J74" s="43">
        <f>LN('2.ΤΙΜΕΣ ΚΛΕΙΣΙΜΑΤΟΣ'!J75/'2.ΤΙΜΕΣ ΚΛΕΙΣΙΜΑΤΟΣ'!J74)</f>
        <v>3.4454904083050186E-2</v>
      </c>
      <c r="K74" s="43">
        <f>LN('2.ΤΙΜΕΣ ΚΛΕΙΣΙΜΑΤΟΣ'!K75/'2.ΤΙΜΕΣ ΚΛΕΙΣΙΜΑΤΟΣ'!K74)</f>
        <v>-5.2693658558174402E-3</v>
      </c>
      <c r="L74" s="43">
        <f>LN('2.ΤΙΜΕΣ ΚΛΕΙΣΙΜΑΤΟΣ'!L75/'2.ΤΙΜΕΣ ΚΛΕΙΣΙΜΑΤΟΣ'!L74)</f>
        <v>2.1406122151932709E-2</v>
      </c>
      <c r="M74" s="43">
        <f>LN('2.ΤΙΜΕΣ ΚΛΕΙΣΙΜΑΤΟΣ'!M75/'2.ΤΙΜΕΣ ΚΛΕΙΣΙΜΑΤΟΣ'!M74)</f>
        <v>5.2673239408738332E-2</v>
      </c>
      <c r="N74" s="43">
        <f>LN('2.ΤΙΜΕΣ ΚΛΕΙΣΙΜΑΤΟΣ'!N75/'2.ΤΙΜΕΣ ΚΛΕΙΣΙΜΑΤΟΣ'!N74)</f>
        <v>-2.8078075445228568E-3</v>
      </c>
      <c r="O74" s="43">
        <f>LN('2.ΤΙΜΕΣ ΚΛΕΙΣΙΜΑΤΟΣ'!O75/'2.ΤΙΜΕΣ ΚΛΕΙΣΙΜΑΤΟΣ'!O74)</f>
        <v>6.5746456420853853E-3</v>
      </c>
      <c r="P74" s="43">
        <f>LN('2.ΤΙΜΕΣ ΚΛΕΙΣΙΜΑΤΟΣ'!P75/'2.ΤΙΜΕΣ ΚΛΕΙΣΙΜΑΤΟΣ'!P74)</f>
        <v>-9.9834439841831497E-3</v>
      </c>
      <c r="Q74" s="43">
        <f>LN('2.ΤΙΜΕΣ ΚΛΕΙΣΙΜΑΤΟΣ'!Q75/'2.ΤΙΜΕΣ ΚΛΕΙΣΙΜΑΤΟΣ'!Q74)</f>
        <v>9.0158386816205482E-3</v>
      </c>
      <c r="R74" s="43">
        <f>LN('2.ΤΙΜΕΣ ΚΛΕΙΣΙΜΑΤΟΣ'!R75/'2.ΤΙΜΕΣ ΚΛΕΙΣΙΜΑΤΟΣ'!R74)</f>
        <v>-5.6089466651043585E-2</v>
      </c>
      <c r="S74" s="43">
        <f>LN('2.ΤΙΜΕΣ ΚΛΕΙΣΙΜΑΤΟΣ'!S75/'2.ΤΙΜΕΣ ΚΛΕΙΣΙΜΑΤΟΣ'!S74)</f>
        <v>-1.678830700325705E-2</v>
      </c>
      <c r="T74" s="43">
        <f>LN('2.ΤΙΜΕΣ ΚΛΕΙΣΙΜΑΤΟΣ'!T75/'2.ΤΙΜΕΣ ΚΛΕΙΣΙΜΑΤΟΣ'!T74)</f>
        <v>1.8171305564095581E-2</v>
      </c>
      <c r="U74" s="43">
        <f>LN('2.ΤΙΜΕΣ ΚΛΕΙΣΙΜΑΤΟΣ'!U75/'2.ΤΙΜΕΣ ΚΛΕΙΣΙΜΑΤΟΣ'!U74)</f>
        <v>2.4183808642816527E-3</v>
      </c>
      <c r="V74" s="43">
        <f>LN('2.ΤΙΜΕΣ ΚΛΕΙΣΙΜΑΤΟΣ'!V75/'2.ΤΙΜΕΣ ΚΛΕΙΣΙΜΑΤΟΣ'!V74)</f>
        <v>1.8018505502678212E-2</v>
      </c>
      <c r="W74" s="43">
        <f>LN('2.ΤΙΜΕΣ ΚΛΕΙΣΙΜΑΤΟΣ'!W75/'2.ΤΙΜΕΣ ΚΛΕΙΣΙΜΑΤΟΣ'!W74)</f>
        <v>2.4509816191401607E-3</v>
      </c>
      <c r="X74" s="43">
        <f>LN('2.ΤΙΜΕΣ ΚΛΕΙΣΙΜΑΤΟΣ'!X75/'2.ΤΙΜΕΣ ΚΛΕΙΣΙΜΑΤΟΣ'!X74)</f>
        <v>2.724551757766978E-2</v>
      </c>
      <c r="Y74" s="43">
        <f>LN('2.ΤΙΜΕΣ ΚΛΕΙΣΙΜΑΤΟΣ'!Y75/'2.ΤΙΜΕΣ ΚΛΕΙΣΙΜΑΤΟΣ'!Y74)</f>
        <v>4.0899852515252876E-3</v>
      </c>
      <c r="Z74" s="43">
        <f>LN('2.ΤΙΜΕΣ ΚΛΕΙΣΙΜΑΤΟΣ'!Z75/'2.ΤΙΜΕΣ ΚΛΕΙΣΙΜΑΤΟΣ'!Z74)</f>
        <v>3.3613477027049274E-3</v>
      </c>
      <c r="AA74" s="43">
        <f>LN('2.ΤΙΜΕΣ ΚΛΕΙΣΙΜΑΤΟΣ'!AA75/'2.ΤΙΜΕΣ ΚΛΕΙΣΙΜΑΤΟΣ'!AA74)</f>
        <v>1.3513719166722855E-2</v>
      </c>
      <c r="AB74" s="43">
        <f>LN('2.ΤΙΜΕΣ ΚΛΕΙΣΙΜΑΤΟΣ'!AB75/'2.ΤΙΜΕΣ ΚΛΕΙΣΙΜΑΤΟΣ'!AB74)</f>
        <v>2.3153304974716821E-2</v>
      </c>
      <c r="AC74" s="43">
        <f>LN('2.ΤΙΜΕΣ ΚΛΕΙΣΙΜΑΤΟΣ'!AC75/'2.ΤΙΜΕΣ ΚΛΕΙΣΙΜΑΤΟΣ'!AC74)</f>
        <v>2.7759269634274567E-2</v>
      </c>
      <c r="AD74" s="43">
        <f>LN('2.ΤΙΜΕΣ ΚΛΕΙΣΙΜΑΤΟΣ'!AD75/'2.ΤΙΜΕΣ ΚΛΕΙΣΙΜΑΤΟΣ'!AD74)</f>
        <v>6.1875403718087453E-2</v>
      </c>
      <c r="AE74" s="43">
        <f>LN('2.ΤΙΜΕΣ ΚΛΕΙΣΙΜΑΤΟΣ'!AE75/'2.ΤΙΜΕΣ ΚΛΕΙΣΙΜΑΤΟΣ'!AE74)</f>
        <v>-3.6697288889622902E-3</v>
      </c>
      <c r="AF74" s="43">
        <f>LN('2.ΤΙΜΕΣ ΚΛΕΙΣΙΜΑΤΟΣ'!AF75/'2.ΤΙΜΕΣ ΚΛΕΙΣΙΜΑΤΟΣ'!AF74)</f>
        <v>1.9139340210697506E-2</v>
      </c>
      <c r="AG74" s="43">
        <f>LN('2.ΤΙΜΕΣ ΚΛΕΙΣΙΜΑΤΟΣ'!AG75/'2.ΤΙΜΕΣ ΚΛΕΙΣΙΜΑΤΟΣ'!AG74)</f>
        <v>4.6406372814155626E-2</v>
      </c>
      <c r="AH74" s="43">
        <f>LN('2.ΤΙΜΕΣ ΚΛΕΙΣΙΜΑΤΟΣ'!AH75/'2.ΤΙΜΕΣ ΚΛΕΙΣΙΜΑΤΟΣ'!AH74)</f>
        <v>-4.7923414403063802E-3</v>
      </c>
      <c r="AI74" s="43">
        <f>LN('2.ΤΙΜΕΣ ΚΛΕΙΣΙΜΑΤΟΣ'!AI75/'2.ΤΙΜΕΣ ΚΛΕΙΣΙΜΑΤΟΣ'!AI74)</f>
        <v>0</v>
      </c>
      <c r="AJ74" s="43">
        <f>LN('2.ΤΙΜΕΣ ΚΛΕΙΣΙΜΑΤΟΣ'!AJ75/'2.ΤΙΜΕΣ ΚΛΕΙΣΙΜΑΤΟΣ'!AJ74)</f>
        <v>6.0624621816434632E-2</v>
      </c>
      <c r="AK74" s="43">
        <f>LN('2.ΤΙΜΕΣ ΚΛΕΙΣΙΜΑΤΟΣ'!AK75/'2.ΤΙΜΕΣ ΚΛΕΙΣΙΜΑΤΟΣ'!AK74)</f>
        <v>8.8889474172457739E-3</v>
      </c>
      <c r="AL74" s="43">
        <f>LN('2.ΤΙΜΕΣ ΚΛΕΙΣΙΜΑΤΟΣ'!AL75/'2.ΤΙΜΕΣ ΚΛΕΙΣΙΜΑΤΟΣ'!AL74)</f>
        <v>3.9220713153281329E-2</v>
      </c>
      <c r="AM74" s="43">
        <f>LN('2.ΤΙΜΕΣ ΚΛΕΙΣΙΜΑΤΟΣ'!AM75/'2.ΤΙΜΕΣ ΚΛΕΙΣΙΜΑΤΟΣ'!AM74)</f>
        <v>9.4340322333587145E-3</v>
      </c>
      <c r="AN74" s="43">
        <f>LN('2.ΤΙΜΕΣ ΚΛΕΙΣΙΜΑΤΟΣ'!AN75/'2.ΤΙΜΕΣ ΚΛΕΙΣΙΜΑΤΟΣ'!AN74)</f>
        <v>-8.528836347520323E-3</v>
      </c>
      <c r="AO74" s="43">
        <f>LN('2.ΤΙΜΕΣ ΚΛΕΙΣΙΜΑΤΟΣ'!AO75/'2.ΤΙΜΕΣ ΚΛΕΙΣΙΜΑΤΟΣ'!AO74)</f>
        <v>1.7699577099400857E-2</v>
      </c>
      <c r="AP74" s="43">
        <f>LN('2.ΤΙΜΕΣ ΚΛΕΙΣΙΜΑΤΟΣ'!AP75/'2.ΤΙΜΕΣ ΚΛΕΙΣΙΜΑΤΟΣ'!AP74)</f>
        <v>-1.694955831377332E-2</v>
      </c>
      <c r="AQ74" s="43">
        <f>LN('2.ΤΙΜΕΣ ΚΛΕΙΣΙΜΑΤΟΣ'!AQ75/'2.ΤΙΜΕΣ ΚΛΕΙΣΙΜΑΤΟΣ'!AQ74)</f>
        <v>7.6961041136128394E-2</v>
      </c>
      <c r="AR74" s="43">
        <f>LN('2.ΤΙΜΕΣ ΚΛΕΙΣΙΜΑΤΟΣ'!AR75/'2.ΤΙΜΕΣ ΚΛΕΙΣΙΜΑΤΟΣ'!AR74)</f>
        <v>4.8099794794411378E-2</v>
      </c>
      <c r="AS74" s="43">
        <f>LN('2.ΤΙΜΕΣ ΚΛΕΙΣΙΜΑΤΟΣ'!AS75/'2.ΤΙΜΕΣ ΚΛΕΙΣΙΜΑΤΟΣ'!AS74)</f>
        <v>-5.8139698654198447E-3</v>
      </c>
      <c r="AT74" s="43">
        <f>LN('2.ΤΙΜΕΣ ΚΛΕΙΣΙΜΑΤΟΣ'!AT75/'2.ΤΙΜΕΣ ΚΛΕΙΣΙΜΑΤΟΣ'!AT74)</f>
        <v>2.3183335455657282E-2</v>
      </c>
      <c r="AU74" s="43">
        <f>LN('2.ΤΙΜΕΣ ΚΛΕΙΣΙΜΑΤΟΣ'!AU75/'2.ΤΙΜΕΣ ΚΛΕΙΣΙΜΑΤΟΣ'!AU74)</f>
        <v>5.4241312937332422E-3</v>
      </c>
    </row>
    <row r="75" spans="1:47">
      <c r="A75" s="41">
        <v>43663</v>
      </c>
      <c r="B75" s="43">
        <f>LN('2.ΤΙΜΕΣ ΚΛΕΙΣΙΜΑΤΟΣ'!B76/'2.ΤΙΜΕΣ ΚΛΕΙΣΙΜΑΤΟΣ'!B75)</f>
        <v>2.3716526617316065E-2</v>
      </c>
      <c r="C75" s="43">
        <f>LN('2.ΤΙΜΕΣ ΚΛΕΙΣΙΜΑΤΟΣ'!C76/'2.ΤΙΜΕΣ ΚΛΕΙΣΙΜΑΤΟΣ'!C75)</f>
        <v>-3.2051309489483358E-3</v>
      </c>
      <c r="D75" s="43">
        <f>LN('2.ΤΙΜΕΣ ΚΛΕΙΣΙΜΑΤΟΣ'!D76/'2.ΤΙΜΕΣ ΚΛΕΙΣΙΜΑΤΟΣ'!D75)</f>
        <v>2.3376759907068806E-2</v>
      </c>
      <c r="E75" s="43">
        <f>LN('2.ΤΙΜΕΣ ΚΛΕΙΣΙΜΑΤΟΣ'!E76/'2.ΤΙΜΕΣ ΚΛΕΙΣΙΜΑΤΟΣ'!E75)</f>
        <v>2.7816429618767705E-3</v>
      </c>
      <c r="F75" s="43">
        <f>LN('2.ΤΙΜΕΣ ΚΛΕΙΣΙΜΑΤΟΣ'!F76/'2.ΤΙΜΕΣ ΚΛΕΙΣΙΜΑΤΟΣ'!F75)</f>
        <v>-1.1019284861566439E-3</v>
      </c>
      <c r="G75" s="43">
        <f>LN('2.ΤΙΜΕΣ ΚΛΕΙΣΙΜΑΤΟΣ'!G76/'2.ΤΙΜΕΣ ΚΛΕΙΣΙΜΑΤΟΣ'!G75)</f>
        <v>1.5883046173002933E-2</v>
      </c>
      <c r="H75" s="43">
        <f>LN('2.ΤΙΜΕΣ ΚΛΕΙΣΙΜΑΤΟΣ'!H76/'2.ΤΙΜΕΣ ΚΛΕΙΣΙΜΑΤΟΣ'!H75)</f>
        <v>2.0834086902842053E-2</v>
      </c>
      <c r="I75" s="43">
        <f>LN('2.ΤΙΜΕΣ ΚΛΕΙΣΙΜΑΤΟΣ'!I76/'2.ΤΙΜΕΣ ΚΛΕΙΣΙΜΑΤΟΣ'!I75)</f>
        <v>1.2430082395970227E-3</v>
      </c>
      <c r="J75" s="43">
        <f>LN('2.ΤΙΜΕΣ ΚΛΕΙΣΙΜΑΤΟΣ'!J76/'2.ΤΙΜΕΣ ΚΛΕΙΣΙΜΑΤΟΣ'!J75)</f>
        <v>3.8037372393170024E-2</v>
      </c>
      <c r="K75" s="43">
        <f>LN('2.ΤΙΜΕΣ ΚΛΕΙΣΙΜΑΤΟΣ'!K76/'2.ΤΙΜΕΣ ΚΛΕΙΣΙΜΑΤΟΣ'!K75)</f>
        <v>1.9921642642687778E-2</v>
      </c>
      <c r="L75" s="43">
        <f>LN('2.ΤΙΜΕΣ ΚΛΕΙΣΙΜΑΤΟΣ'!L76/'2.ΤΙΜΕΣ ΚΛΕΙΣΙΜΑΤΟΣ'!L75)</f>
        <v>2.9040153221163649E-2</v>
      </c>
      <c r="M75" s="43">
        <f>LN('2.ΤΙΜΕΣ ΚΛΕΙΣΙΜΑΤΟΣ'!M76/'2.ΤΙΜΕΣ ΚΛΕΙΣΙΜΑΤΟΣ'!M75)</f>
        <v>-2.1857932199802082E-3</v>
      </c>
      <c r="N75" s="43">
        <f>LN('2.ΤΙΜΕΣ ΚΛΕΙΣΙΜΑΤΟΣ'!N76/'2.ΤΙΜΕΣ ΚΛΕΙΣΙΜΑΤΟΣ'!N75)</f>
        <v>1.4048892448386403E-3</v>
      </c>
      <c r="O75" s="43">
        <f>LN('2.ΤΙΜΕΣ ΚΛΕΙΣΙΜΑΤΟΣ'!O76/'2.ΤΙΜΕΣ ΚΛΕΙΣΙΜΑΤΟΣ'!O75)</f>
        <v>-3.9395980040803141E-3</v>
      </c>
      <c r="P75" s="43">
        <f>LN('2.ΤΙΜΕΣ ΚΛΕΙΣΙΜΑΤΟΣ'!P76/'2.ΤΙΜΕΣ ΚΛΕΙΣΙΜΑΤΟΣ'!P75)</f>
        <v>2.8031513855886224E-2</v>
      </c>
      <c r="Q75" s="43">
        <f>LN('2.ΤΙΜΕΣ ΚΛΕΙΣΙΜΑΤΟΣ'!Q76/'2.ΤΙΜΕΣ ΚΛΕΙΣΙΜΑΤΟΣ'!Q75)</f>
        <v>3.382675456281508E-2</v>
      </c>
      <c r="R75" s="43">
        <f>LN('2.ΤΙΜΕΣ ΚΛΕΙΣΙΜΑΤΟΣ'!R76/'2.ΤΙΜΕΣ ΚΛΕΙΣΙΜΑΤΟΣ'!R75)</f>
        <v>4.5120435280469641E-2</v>
      </c>
      <c r="S75" s="43">
        <f>LN('2.ΤΙΜΕΣ ΚΛΕΙΣΙΜΑΤΟΣ'!S76/'2.ΤΙΜΕΣ ΚΛΕΙΣΙΜΑΤΟΣ'!S75)</f>
        <v>1.1223462369849576E-2</v>
      </c>
      <c r="T75" s="43">
        <f>LN('2.ΤΙΜΕΣ ΚΛΕΙΣΙΜΑΤΟΣ'!T76/'2.ΤΙΜΕΣ ΚΛΕΙΣΙΜΑΤΟΣ'!T75)</f>
        <v>2.9570457321119611E-2</v>
      </c>
      <c r="U75" s="43">
        <f>LN('2.ΤΙΜΕΣ ΚΛΕΙΣΙΜΑΤΟΣ'!U76/'2.ΤΙΜΕΣ ΚΛΕΙΣΙΜΑΤΟΣ'!U75)</f>
        <v>1.6766859857067107E-2</v>
      </c>
      <c r="V75" s="43">
        <f>LN('2.ΤΙΜΕΣ ΚΛΕΙΣΙΜΑΤΟΣ'!V76/'2.ΤΙΜΕΣ ΚΛΕΙΣΙΜΑΤΟΣ'!V75)</f>
        <v>1.5504186535965254E-2</v>
      </c>
      <c r="W75" s="43">
        <f>LN('2.ΤΙΜΕΣ ΚΛΕΙΣΙΜΑΤΟΣ'!W76/'2.ΤΙΜΕΣ ΚΛΕΙΣΙΜΑΤΟΣ'!W75)</f>
        <v>-1.2247398958958238E-3</v>
      </c>
      <c r="X75" s="43">
        <f>LN('2.ΤΙΜΕΣ ΚΛΕΙΣΙΜΑΤΟΣ'!X76/'2.ΤΙΜΕΣ ΚΛΕΙΣΙΜΑΤΟΣ'!X75)</f>
        <v>1.4527382675193769E-2</v>
      </c>
      <c r="Y75" s="43">
        <f>LN('2.ΤΙΜΕΣ ΚΛΕΙΣΙΜΑΤΟΣ'!Y76/'2.ΤΙΜΕΣ ΚΛΕΙΣΙΜΑΤΟΣ'!Y75)</f>
        <v>1.6194685919980606E-2</v>
      </c>
      <c r="Z75" s="43">
        <f>LN('2.ΤΙΜΕΣ ΚΛΕΙΣΙΜΑΤΟΣ'!Z76/'2.ΤΙΜΕΣ ΚΛΕΙΣΙΜΑΤΟΣ'!Z75)</f>
        <v>0</v>
      </c>
      <c r="AA75" s="43">
        <f>LN('2.ΤΙΜΕΣ ΚΛΕΙΣΙΜΑΤΟΣ'!AA76/'2.ΤΙΜΕΣ ΚΛΕΙΣΙΜΑΤΟΣ'!AA75)</f>
        <v>6.6889881507967101E-3</v>
      </c>
      <c r="AB75" s="43">
        <f>LN('2.ΤΙΜΕΣ ΚΛΕΙΣΙΜΑΤΟΣ'!AB76/'2.ΤΙΜΕΣ ΚΛΕΙΣΙΜΑΤΟΣ'!AB75)</f>
        <v>-1.4184634991956413E-2</v>
      </c>
      <c r="AC75" s="43">
        <f>LN('2.ΤΙΜΕΣ ΚΛΕΙΣΙΜΑΤΟΣ'!AC76/'2.ΤΙΜΕΣ ΚΛΕΙΣΙΜΑΤΟΣ'!AC75)</f>
        <v>-5.7803629154994252E-3</v>
      </c>
      <c r="AD75" s="43">
        <f>LN('2.ΤΙΜΕΣ ΚΛΕΙΣΙΜΑΤΟΣ'!AD76/'2.ΤΙΜΕΣ ΚΛΕΙΣΙΜΑΤΟΣ'!AD75)</f>
        <v>-8.0321716972642666E-3</v>
      </c>
      <c r="AE75" s="43">
        <f>LN('2.ΤΙΜΕΣ ΚΛΕΙΣΙΜΑΤΟΣ'!AE76/'2.ΤΙΜΕΣ ΚΛΕΙΣΙΜΑΤΟΣ'!AE75)</f>
        <v>7.3260400920728812E-3</v>
      </c>
      <c r="AF75" s="43">
        <f>LN('2.ΤΙΜΕΣ ΚΛΕΙΣΙΜΑΤΟΣ'!AF76/'2.ΤΙΜΕΣ ΚΛΕΙΣΙΜΑΤΟΣ'!AF75)</f>
        <v>-4.7506027585977528E-3</v>
      </c>
      <c r="AG75" s="43">
        <f>LN('2.ΤΙΜΕΣ ΚΛΕΙΣΙΜΑΤΟΣ'!AG76/'2.ΤΙΜΕΣ ΚΛΕΙΣΙΜΑΤΟΣ'!AG75)</f>
        <v>0</v>
      </c>
      <c r="AH75" s="43">
        <f>LN('2.ΤΙΜΕΣ ΚΛΕΙΣΙΜΑΤΟΣ'!AH76/'2.ΤΙΜΕΣ ΚΛΕΙΣΙΜΑΤΟΣ'!AH75)</f>
        <v>4.7923414403064869E-3</v>
      </c>
      <c r="AI75" s="43">
        <f>LN('2.ΤΙΜΕΣ ΚΛΕΙΣΙΜΑΤΟΣ'!AI76/'2.ΤΙΜΕΣ ΚΛΕΙΣΙΜΑΤΟΣ'!AI75)</f>
        <v>8.1633106391610557E-3</v>
      </c>
      <c r="AJ75" s="43">
        <f>LN('2.ΤΙΜΕΣ ΚΛΕΙΣΙΜΑΤΟΣ'!AJ76/'2.ΤΙΜΕΣ ΚΛΕΙΣΙΜΑΤΟΣ'!AJ75)</f>
        <v>0</v>
      </c>
      <c r="AK75" s="43">
        <f>LN('2.ΤΙΜΕΣ ΚΛΕΙΣΙΜΑΤΟΣ'!AK76/'2.ΤΙΜΕΣ ΚΛΕΙΣΙΜΑΤΟΣ'!AK75)</f>
        <v>4.7525141862845482E-2</v>
      </c>
      <c r="AL75" s="43">
        <f>LN('2.ΤΙΜΕΣ ΚΛΕΙΣΙΜΑΤΟΣ'!AL76/'2.ΤΙΜΕΣ ΚΛΕΙΣΙΜΑΤΟΣ'!AL75)</f>
        <v>5.9719234701622277E-2</v>
      </c>
      <c r="AM75" s="43">
        <f>LN('2.ΤΙΜΕΣ ΚΛΕΙΣΙΜΑΤΟΣ'!AM76/'2.ΤΙΜΕΣ ΚΛΕΙΣΙΜΑΤΟΣ'!AM75)</f>
        <v>-9.4340322333586416E-3</v>
      </c>
      <c r="AN75" s="43">
        <f>LN('2.ΤΙΜΕΣ ΚΛΕΙΣΙΜΑΤΟΣ'!AN76/'2.ΤΙΜΕΣ ΚΛΕΙΣΙΜΑΤΟΣ'!AN75)</f>
        <v>3.3687395983675199E-2</v>
      </c>
      <c r="AO75" s="43">
        <f>LN('2.ΤΙΜΕΣ ΚΛΕΙΣΙΜΑΤΟΣ'!AO76/'2.ΤΙΜΕΣ ΚΛΕΙΣΙΜΑΤΟΣ'!AO75)</f>
        <v>8.7336799687546315E-3</v>
      </c>
      <c r="AP75" s="43">
        <f>LN('2.ΤΙΜΕΣ ΚΛΕΙΣΙΜΑΤΟΣ'!AP76/'2.ΤΙΜΕΣ ΚΛΕΙΣΙΜΑΤΟΣ'!AP75)</f>
        <v>7.6749981616560548E-2</v>
      </c>
      <c r="AQ75" s="43">
        <f>LN('2.ΤΙΜΕΣ ΚΛΕΙΣΙΜΑΤΟΣ'!AQ76/'2.ΤΙΜΕΣ ΚΛΕΙΣΙΜΑΤΟΣ'!AQ75)</f>
        <v>7.38010729762246E-3</v>
      </c>
      <c r="AR75" s="43">
        <f>LN('2.ΤΙΜΕΣ ΚΛΕΙΣΙΜΑΤΟΣ'!AR76/'2.ΤΙΜΕΣ ΚΛΕΙΣΙΜΑΤΟΣ'!AR75)</f>
        <v>5.5096558109696998E-3</v>
      </c>
      <c r="AS75" s="43">
        <f>LN('2.ΤΙΜΕΣ ΚΛΕΙΣΙΜΑΤΟΣ'!AS76/'2.ΤΙΜΕΣ ΚΛΕΙΣΙΜΑΤΟΣ'!AS75)</f>
        <v>1.4472032608534469E-2</v>
      </c>
      <c r="AT75" s="43">
        <f>LN('2.ΤΙΜΕΣ ΚΛΕΙΣΙΜΑΤΟΣ'!AT76/'2.ΤΙΜΕΣ ΚΛΕΙΣΙΜΑΤΟΣ'!AT75)</f>
        <v>4.8790164169432049E-2</v>
      </c>
      <c r="AU75" s="43">
        <f>LN('2.ΤΙΜΕΣ ΚΛΕΙΣΙΜΑΤΟΣ'!AU76/'2.ΤΙΜΕΣ ΚΛΕΙΣΙΜΑΤΟΣ'!AU75)</f>
        <v>1.4038004904104853E-2</v>
      </c>
    </row>
    <row r="76" spans="1:47">
      <c r="A76" s="41">
        <v>43664</v>
      </c>
      <c r="B76" s="43">
        <f>LN('2.ΤΙΜΕΣ ΚΛΕΙΣΙΜΑΤΟΣ'!B77/'2.ΤΙΜΕΣ ΚΛΕΙΣΙΜΑΤΟΣ'!B76)</f>
        <v>-2.6075634070808302E-3</v>
      </c>
      <c r="C76" s="43">
        <f>LN('2.ΤΙΜΕΣ ΚΛΕΙΣΙΜΑΤΟΣ'!C77/'2.ΤΙΜΕΣ ΚΛΕΙΣΙΜΑΤΟΣ'!C76)</f>
        <v>2.4048107781791494E-3</v>
      </c>
      <c r="D76" s="43">
        <f>LN('2.ΤΙΜΕΣ ΚΛΕΙΣΙΜΑΤΟΣ'!D77/'2.ΤΙΜΕΣ ΚΛΕΙΣΙΜΑΤΟΣ'!D76)</f>
        <v>-7.4944648939505405E-3</v>
      </c>
      <c r="E76" s="43">
        <f>LN('2.ΤΙΜΕΣ ΚΛΕΙΣΙΜΑΤΟΣ'!E77/'2.ΤΙΜΕΣ ΚΛΕΙΣΙΜΑΤΟΣ'!E76)</f>
        <v>-2.7816429618768026E-3</v>
      </c>
      <c r="F76" s="43">
        <f>LN('2.ΤΙΜΕΣ ΚΛΕΙΣΙΜΑΤΟΣ'!F77/'2.ΤΙΜΕΣ ΚΛΕΙΣΙΜΑΤΟΣ'!F76)</f>
        <v>-1.3318731840281315E-2</v>
      </c>
      <c r="G76" s="43">
        <f>LN('2.ΤΙΜΕΣ ΚΛΕΙΣΙΜΑΤΟΣ'!G77/'2.ΤΙΜΕΣ ΚΛΕΙΣΙΜΑΤΟΣ'!G76)</f>
        <v>2.0396627907645654E-2</v>
      </c>
      <c r="H76" s="43">
        <f>LN('2.ΤΙΜΕΣ ΚΛΕΙΣΙΜΑΤΟΣ'!H77/'2.ΤΙΜΕΣ ΚΛΕΙΣΙΜΑΤΟΣ'!H76)</f>
        <v>-1.9957278429307536E-2</v>
      </c>
      <c r="I76" s="43">
        <f>LN('2.ΤΙΜΕΣ ΚΛΕΙΣΙΜΑΤΟΣ'!I77/'2.ΤΙΜΕΣ ΚΛΕΙΣΙΜΑΤΟΣ'!I76)</f>
        <v>5.5744956991264499E-3</v>
      </c>
      <c r="J76" s="43">
        <f>LN('2.ΤΙΜΕΣ ΚΛΕΙΣΙΜΑΤΟΣ'!J77/'2.ΤΙΜΕΣ ΚΛΕΙΣΙΜΑΤΟΣ'!J76)</f>
        <v>1.2364258983898547E-2</v>
      </c>
      <c r="K76" s="43">
        <f>LN('2.ΤΙΜΕΣ ΚΛΕΙΣΙΜΑΤΟΣ'!K77/'2.ΤΙΜΕΣ ΚΛΕΙΣΙΜΑΤΟΣ'!K76)</f>
        <v>-9.4105316673855095E-3</v>
      </c>
      <c r="L76" s="43">
        <f>LN('2.ΤΙΜΕΣ ΚΛΕΙΣΙΜΑΤΟΣ'!L77/'2.ΤΙΜΕΣ ΚΛΕΙΣΙΜΑΤΟΣ'!L76)</f>
        <v>8.0178603247318299E-3</v>
      </c>
      <c r="M76" s="43">
        <f>LN('2.ΤΙΜΕΣ ΚΛΕΙΣΙΜΑΤΟΣ'!M77/'2.ΤΙΜΕΣ ΚΛΕΙΣΙΜΑΤΟΣ'!M76)</f>
        <v>5.8434040436616201E-2</v>
      </c>
      <c r="N76" s="43">
        <f>LN('2.ΤΙΜΕΣ ΚΛΕΙΣΙΜΑΤΟΣ'!N77/'2.ΤΙΜΕΣ ΚΛΕΙΣΙΜΑΤΟΣ'!N76)</f>
        <v>1.4029182996841668E-3</v>
      </c>
      <c r="O76" s="43">
        <f>LN('2.ΤΙΜΕΣ ΚΛΕΙΣΙΜΑΤΟΣ'!O77/'2.ΤΙΜΕΣ ΚΛΕΙΣΙΜΑΤΟΣ'!O76)</f>
        <v>-1.3166558847467851E-3</v>
      </c>
      <c r="P76" s="43">
        <f>LN('2.ΤΙΜΕΣ ΚΛΕΙΣΙΜΑΤΟΣ'!P77/'2.ΤΙΜΕΣ ΚΛΕΙΣΙΜΑΤΟΣ'!P76)</f>
        <v>-8.1633106391610939E-3</v>
      </c>
      <c r="Q76" s="43">
        <f>LN('2.ΤΙΜΕΣ ΚΛΕΙΣΙΜΑΤΟΣ'!Q77/'2.ΤΙΜΕΣ ΚΛΕΙΣΙΜΑΤΟΣ'!Q76)</f>
        <v>1.2217183938591631E-2</v>
      </c>
      <c r="R76" s="43">
        <f>LN('2.ΤΙΜΕΣ ΚΛΕΙΣΙΜΑΤΟΣ'!R77/'2.ΤΙΜΕΣ ΚΛΕΙΣΙΜΑΤΟΣ'!R76)</f>
        <v>3.3441887222632506E-2</v>
      </c>
      <c r="S76" s="43">
        <f>LN('2.ΤΙΜΕΣ ΚΛΕΙΣΙΜΑΤΟΣ'!S77/'2.ΤΙΜΕΣ ΚΛΕΙΣΙΜΑΤΟΣ'!S76)</f>
        <v>-3.6367644170874833E-2</v>
      </c>
      <c r="T76" s="43">
        <f>LN('2.ΤΙΜΕΣ ΚΛΕΙΣΙΜΑΤΟΣ'!T77/'2.ΤΙΜΕΣ ΚΛΕΙΣΙΜΑΤΟΣ'!T76)</f>
        <v>-5.8445519962832433E-3</v>
      </c>
      <c r="U76" s="43">
        <f>LN('2.ΤΙΜΕΣ ΚΛΕΙΣΙΜΑΤΟΣ'!U77/'2.ΤΙΜΕΣ ΚΛΕΙΣΙΜΑΤΟΣ'!U76)</f>
        <v>1.1806512586989044E-2</v>
      </c>
      <c r="V76" s="43">
        <f>LN('2.ΤΙΜΕΣ ΚΛΕΙΣΙΜΑΤΟΣ'!V77/'2.ΤΙΜΕΣ ΚΛΕΙΣΙΜΑΤΟΣ'!V76)</f>
        <v>1.092907053219023E-2</v>
      </c>
      <c r="W76" s="43">
        <f>LN('2.ΤΙΜΕΣ ΚΛΕΙΣΙΜΑΤΟΣ'!W77/'2.ΤΙΜΕΣ ΚΛΕΙΣΙΜΑΤΟΣ'!W76)</f>
        <v>0</v>
      </c>
      <c r="X76" s="43">
        <f>LN('2.ΤΙΜΕΣ ΚΛΕΙΣΙΜΑΤΟΣ'!X77/'2.ΤΙΜΕΣ ΚΛΕΙΣΙΜΑΤΟΣ'!X76)</f>
        <v>0</v>
      </c>
      <c r="Y76" s="43">
        <f>LN('2.ΤΙΜΕΣ ΚΛΕΙΣΙΜΑΤΟΣ'!Y77/'2.ΤΙΜΕΣ ΚΛΕΙΣΙΜΑΤΟΣ'!Y76)</f>
        <v>-2.0100509280243342E-3</v>
      </c>
      <c r="Z76" s="43">
        <f>LN('2.ΤΙΜΕΣ ΚΛΕΙΣΙΜΑΤΟΣ'!Z77/'2.ΤΙΜΕΣ ΚΛΕΙΣΙΜΑΤΟΣ'!Z76)</f>
        <v>-3.3613477027048832E-3</v>
      </c>
      <c r="AA76" s="43">
        <f>LN('2.ΤΙΜΕΣ ΚΛΕΙΣΙΜΑΤΟΣ'!AA77/'2.ΤΙΜΕΣ ΚΛΕΙΣΙΜΑΤΟΣ'!AA76)</f>
        <v>0</v>
      </c>
      <c r="AB76" s="43">
        <f>LN('2.ΤΙΜΕΣ ΚΛΕΙΣΙΜΑΤΟΣ'!AB77/'2.ΤΙΜΕΣ ΚΛΕΙΣΙΜΑΤΟΣ'!AB76)</f>
        <v>-1.257878220685996E-2</v>
      </c>
      <c r="AC76" s="43">
        <f>LN('2.ΤΙΜΕΣ ΚΛΕΙΣΙΜΑΤΟΣ'!AC77/'2.ΤΙΜΕΣ ΚΛΕΙΣΙΜΑΤΟΣ'!AC76)</f>
        <v>0</v>
      </c>
      <c r="AD76" s="43">
        <f>LN('2.ΤΙΜΕΣ ΚΛΕΙΣΙΜΑΤΟΣ'!AD77/'2.ΤΙΜΕΣ ΚΛΕΙΣΙΜΑΤΟΣ'!AD76)</f>
        <v>-5.3908486348764233E-3</v>
      </c>
      <c r="AE76" s="43">
        <f>LN('2.ΤΙΜΕΣ ΚΛΕΙΣΙΜΑΤΟΣ'!AE77/'2.ΤΙΜΕΣ ΚΛΕΙΣΙΜΑΤΟΣ'!AE76)</f>
        <v>7.2727593290796569E-3</v>
      </c>
      <c r="AF76" s="43">
        <f>LN('2.ΤΙΜΕΣ ΚΛΕΙΣΙΜΑΤΟΣ'!AF77/'2.ΤΙΜΕΣ ΚΛΕΙΣΙΜΑΤΟΣ'!AF76)</f>
        <v>-4.7732787526577709E-3</v>
      </c>
      <c r="AG76" s="43">
        <f>LN('2.ΤΙΜΕΣ ΚΛΕΙΣΙΜΑΤΟΣ'!AG77/'2.ΤΙΜΕΣ ΚΛΕΙΣΙΜΑΤΟΣ'!AG76)</f>
        <v>3.0554668321972667E-2</v>
      </c>
      <c r="AH76" s="43">
        <f>LN('2.ΤΙΜΕΣ ΚΛΕΙΣΙΜΑΤΟΣ'!AH77/'2.ΤΙΜΕΣ ΚΛΕΙΣΙΜΑΤΟΣ'!AH76)</f>
        <v>0</v>
      </c>
      <c r="AI76" s="43">
        <f>LN('2.ΤΙΜΕΣ ΚΛΕΙΣΙΜΑΤΟΣ'!AI77/'2.ΤΙΜΕΣ ΚΛΕΙΣΙΜΑΤΟΣ'!AI76)</f>
        <v>8.0972102326193028E-3</v>
      </c>
      <c r="AJ76" s="43">
        <f>LN('2.ΤΙΜΕΣ ΚΛΕΙΣΙΜΑΤΟΣ'!AJ77/'2.ΤΙΜΕΣ ΚΛΕΙΣΙΜΑΤΟΣ'!AJ76)</f>
        <v>-4.2105325363433824E-3</v>
      </c>
      <c r="AK76" s="43">
        <f>LN('2.ΤΙΜΕΣ ΚΛΕΙΣΙΜΑΤΟΣ'!AK77/'2.ΤΙΜΕΣ ΚΛΕΙΣΙΜΑΤΟΣ'!AK76)</f>
        <v>-1.7021687569430635E-2</v>
      </c>
      <c r="AL76" s="43">
        <f>LN('2.ΤΙΜΕΣ ΚΛΕΙΣΙΜΑΤΟΣ'!AL77/'2.ΤΙΜΕΣ ΚΛΕΙΣΙΜΑΤΟΣ'!AL76)</f>
        <v>-2.197890671877523E-2</v>
      </c>
      <c r="AM76" s="43">
        <f>LN('2.ΤΙΜΕΣ ΚΛΕΙΣΙΜΑΤΟΣ'!AM77/'2.ΤΙΜΕΣ ΚΛΕΙΣΙΜΑΤΟΣ'!AM76)</f>
        <v>-2.155772107497899E-2</v>
      </c>
      <c r="AN76" s="43">
        <f>LN('2.ΤΙΜΕΣ ΚΛΕΙΣΙΜΑΤΟΣ'!AN77/'2.ΤΙΜΕΣ ΚΛΕΙΣΙΜΑΤΟΣ'!AN76)</f>
        <v>4.8494349938610563E-2</v>
      </c>
      <c r="AO76" s="43">
        <f>LN('2.ΤΙΜΕΣ ΚΛΕΙΣΙΜΑΤΟΣ'!AO77/'2.ΤΙΜΕΣ ΚΛΕΙΣΙΜΑΤΟΣ'!AO76)</f>
        <v>4.2559614418795903E-2</v>
      </c>
      <c r="AP76" s="43">
        <f>LN('2.ΤΙΜΕΣ ΚΛΕΙΣΙΜΑΤΟΣ'!AP77/'2.ΤΙΜΕΣ ΚΛΕΙΣΙΜΑΤΟΣ'!AP76)</f>
        <v>-1.0610179112015571E-2</v>
      </c>
      <c r="AQ76" s="43">
        <f>LN('2.ΤΙΜΕΣ ΚΛΕΙΣΙΜΑΤΟΣ'!AQ77/'2.ΤΙΜΕΣ ΚΛΕΙΣΙΜΑΤΟΣ'!AQ76)</f>
        <v>-2.6072240309775129E-2</v>
      </c>
      <c r="AR76" s="43">
        <f>LN('2.ΤΙΜΕΣ ΚΛΕΙΣΙΜΑΤΟΣ'!AR77/'2.ΤΙΜΕΣ ΚΛΕΙΣΙΜΑΤΟΣ'!AR76)</f>
        <v>2.4424552007074794E-2</v>
      </c>
      <c r="AS76" s="43">
        <f>LN('2.ΤΙΜΕΣ ΚΛΕΙΣΙΜΑΤΟΣ'!AS77/'2.ΤΙΜΕΣ ΚΛΕΙΣΙΜΑΤΟΣ'!AS76)</f>
        <v>-1.1560822401075971E-2</v>
      </c>
      <c r="AT76" s="43">
        <f>LN('2.ΤΙΜΕΣ ΚΛΕΙΣΙΜΑΤΟΣ'!AT77/'2.ΤΙΜΕΣ ΚΛΕΙΣΙΜΑΤΟΣ'!AT76)</f>
        <v>-1.8018505502678365E-2</v>
      </c>
      <c r="AU76" s="43">
        <f>LN('2.ΤΙΜΕΣ ΚΛΕΙΣΙΜΑΤΟΣ'!AU77/'2.ΤΙΜΕΣ ΚΛΕΙΣΙΜΑΤΟΣ'!AU76)</f>
        <v>2.956420860475754E-3</v>
      </c>
    </row>
    <row r="77" spans="1:47">
      <c r="A77" s="41">
        <v>43665</v>
      </c>
      <c r="B77" s="43">
        <f>LN('2.ΤΙΜΕΣ ΚΛΕΙΣΙΜΑΤΟΣ'!B78/'2.ΤΙΜΕΣ ΚΛΕΙΣΙΜΑΤΟΣ'!B77)</f>
        <v>-6.5488118789054396E-3</v>
      </c>
      <c r="C77" s="43">
        <f>LN('2.ΤΙΜΕΣ ΚΛΕΙΣΙΜΑΤΟΣ'!C78/'2.ΤΙΜΕΣ ΚΛΕΙΣΙΜΑΤΟΣ'!C77)</f>
        <v>-7.2318515264950889E-3</v>
      </c>
      <c r="D77" s="43">
        <f>LN('2.ΤΙΜΕΣ ΚΛΕΙΣΙΜΑΤΟΣ'!D78/'2.ΤΙΜΕΣ ΚΛΕΙΣΙΜΑΤΟΣ'!D77)</f>
        <v>8.5029361371444061E-3</v>
      </c>
      <c r="E77" s="43">
        <f>LN('2.ΤΙΜΕΣ ΚΛΕΙΣΙΜΑΤΟΣ'!E78/'2.ΤΙΜΕΣ ΚΛΕΙΣΙΜΑΤΟΣ'!E77)</f>
        <v>-8.3916576362482887E-3</v>
      </c>
      <c r="F77" s="43">
        <f>LN('2.ΤΙΜΕΣ ΚΛΕΙΣΙΜΑΤΟΣ'!F78/'2.ΤΙΜΕΣ ΚΛΕΙΣΙΜΑΤΟΣ'!F77)</f>
        <v>-2.2371373983563216E-3</v>
      </c>
      <c r="G77" s="43">
        <f>LN('2.ΤΙΜΕΣ ΚΛΕΙΣΙΜΑΤΟΣ'!G78/'2.ΤΙΜΕΣ ΚΛΕΙΣΙΜΑΤΟΣ'!G77)</f>
        <v>9.4563352420354435E-3</v>
      </c>
      <c r="H77" s="43">
        <f>LN('2.ΤΙΜΕΣ ΚΛΕΙΣΙΜΑΤΟΣ'!H78/'2.ΤΙΜΕΣ ΚΛΕΙΣΙΜΑΤΟΣ'!H77)</f>
        <v>-2.3050665967856501E-2</v>
      </c>
      <c r="I77" s="43">
        <f>LN('2.ΤΙΜΕΣ ΚΛΕΙΣΙΜΑΤΟΣ'!I78/'2.ΤΙΜΕΣ ΚΛΕΙΣΙΜΑΤΟΣ'!I77)</f>
        <v>1.288756714060884E-2</v>
      </c>
      <c r="J77" s="43">
        <f>LN('2.ΤΙΜΕΣ ΚΛΕΙΣΙΜΑΤΟΣ'!J78/'2.ΤΙΜΕΣ ΚΛΕΙΣΙΜΑΤΟΣ'!J77)</f>
        <v>0</v>
      </c>
      <c r="K77" s="43">
        <f>LN('2.ΤΙΜΕΣ ΚΛΕΙΣΙΜΑΤΟΣ'!K78/'2.ΤΙΜΕΣ ΚΛΕΙΣΙΜΑΤΟΣ'!K77)</f>
        <v>-1.264918639734651E-2</v>
      </c>
      <c r="L77" s="43">
        <f>LN('2.ΤΙΜΕΣ ΚΛΕΙΣΙΜΑΤΟΣ'!L78/'2.ΤΙΜΕΣ ΚΛΕΙΣΙΜΑΤΟΣ'!L77)</f>
        <v>-8.8770534014054781E-4</v>
      </c>
      <c r="M77" s="43">
        <f>LN('2.ΤΙΜΕΣ ΚΛΕΙΣΙΜΑΤΟΣ'!M78/'2.ΤΙΜΕΣ ΚΛΕΙΣΙΜΑΤΟΣ'!M77)</f>
        <v>1.3326696463699736E-2</v>
      </c>
      <c r="N77" s="43">
        <f>LN('2.ΤΙΜΕΣ ΚΛΕΙΣΙΜΑΤΟΣ'!N78/'2.ΤΙΜΕΣ ΚΛΕΙΣΙΜΑΤΟΣ'!N77)</f>
        <v>-8.3058125126122314E-3</v>
      </c>
      <c r="O77" s="43">
        <f>LN('2.ΤΙΜΕΣ ΚΛΕΙΣΙΜΑΤΟΣ'!O78/'2.ΤΙΜΕΣ ΚΛΕΙΣΙΜΑΤΟΣ'!O77)</f>
        <v>1.3166558847469028E-3</v>
      </c>
      <c r="P77" s="43">
        <f>LN('2.ΤΙΜΕΣ ΚΛΕΙΣΙΜΑΤΟΣ'!P78/'2.ΤΙΜΕΣ ΚΛΕΙΣΙΜΑΤΟΣ'!P77)</f>
        <v>-1.6529301951210471E-2</v>
      </c>
      <c r="Q77" s="43">
        <f>LN('2.ΤΙΜΕΣ ΚΛΕΙΣΙΜΑΤΟΣ'!Q78/'2.ΤΙΜΕΣ ΚΛΕΙΣΙΜΑΤΟΣ'!Q77)</f>
        <v>0</v>
      </c>
      <c r="R77" s="43">
        <f>LN('2.ΤΙΜΕΣ ΚΛΕΙΣΙΜΑΤΟΣ'!R78/'2.ΤΙΜΕΣ ΚΛΕΙΣΙΜΑΤΟΣ'!R77)</f>
        <v>-1.3423020332140548E-2</v>
      </c>
      <c r="S77" s="43">
        <f>LN('2.ΤΙΜΕΣ ΚΛΕΙΣΙΜΑΤΟΣ'!S78/'2.ΤΙΜΕΣ ΚΛΕΙΣΙΜΑΤΟΣ'!S77)</f>
        <v>-2.8170876966696335E-2</v>
      </c>
      <c r="T77" s="43">
        <f>LN('2.ΤΙΜΕΣ ΚΛΕΙΣΙΜΑΤΟΣ'!T78/'2.ΤΙΜΕΣ ΚΛΕΙΣΙΜΑΤΟΣ'!T77)</f>
        <v>-2.3725905324836344E-2</v>
      </c>
      <c r="U77" s="43">
        <f>LN('2.ΤΙΜΕΣ ΚΛΕΙΣΙΜΑΤΟΣ'!U78/'2.ΤΙΜΕΣ ΚΛΕΙΣΙΜΑΤΟΣ'!U77)</f>
        <v>-1.8957913744614158E-2</v>
      </c>
      <c r="V77" s="43">
        <f>LN('2.ΤΙΜΕΣ ΚΛΕΙΣΙΜΑΤΟΣ'!V78/'2.ΤΙΜΕΣ ΚΛΕΙΣΙΜΑΤΟΣ'!V77)</f>
        <v>2.9980832211935857E-2</v>
      </c>
      <c r="W77" s="43">
        <f>LN('2.ΤΙΜΕΣ ΚΛΕΙΣΙΜΑΤΟΣ'!W78/'2.ΤΙΜΕΣ ΚΛΕΙΣΙΜΑΤΟΣ'!W77)</f>
        <v>-6.1463008486941778E-3</v>
      </c>
      <c r="X77" s="43">
        <f>LN('2.ΤΙΜΕΣ ΚΛΕΙΣΙΜΑΤΟΣ'!X78/'2.ΤΙΜΕΣ ΚΛΕΙΣΙΜΑΤΟΣ'!X77)</f>
        <v>0</v>
      </c>
      <c r="Y77" s="43">
        <f>LN('2.ΤΙΜΕΣ ΚΛΕΙΣΙΜΑΤΟΣ'!Y78/'2.ΤΙΜΕΣ ΚΛΕΙΣΙΜΑΤΟΣ'!Y77)</f>
        <v>1.0055305020187962E-3</v>
      </c>
      <c r="Z77" s="43">
        <f>LN('2.ΤΙΜΕΣ ΚΛΕΙΣΙΜΑΤΟΣ'!Z78/'2.ΤΙΜΕΣ ΚΛΕΙΣΙΜΑΤΟΣ'!Z77)</f>
        <v>6.7114345879867778E-3</v>
      </c>
      <c r="AA77" s="43">
        <f>LN('2.ΤΙΜΕΣ ΚΛΕΙΣΙΜΑΤΟΣ'!AA78/'2.ΤΙΜΕΣ ΚΛΕΙΣΙΜΑΤΟΣ'!AA77)</f>
        <v>-6.688988150796652E-3</v>
      </c>
      <c r="AB77" s="43">
        <f>LN('2.ΤΙΜΕΣ ΚΛΕΙΣΙΜΑΤΟΣ'!AB78/'2.ΤΙΜΕΣ ΚΛΕΙΣΙΜΑΤΟΣ'!AB77)</f>
        <v>-5.4397232958182098E-3</v>
      </c>
      <c r="AC77" s="43">
        <f>LN('2.ΤΙΜΕΣ ΚΛΕΙΣΙΜΑΤΟΣ'!AC78/'2.ΤΙΜΕΣ ΚΛΕΙΣΙΜΑΤΟΣ'!AC77)</f>
        <v>1.448226176364748E-3</v>
      </c>
      <c r="AD77" s="43">
        <f>LN('2.ΤΙΜΕΣ ΚΛΕΙΣΙΜΑΤΟΣ'!AD78/'2.ΤΙΜΕΣ ΚΛΕΙΣΙΜΑΤΟΣ'!AD77)</f>
        <v>6.7340321813441194E-3</v>
      </c>
      <c r="AE77" s="43">
        <f>LN('2.ΤΙΜΕΣ ΚΛΕΙΣΙΜΑΤΟΣ'!AE78/'2.ΤΙΜΕΣ ΚΛΕΙΣΙΜΑΤΟΣ'!AE77)</f>
        <v>1.0810916104215676E-2</v>
      </c>
      <c r="AF77" s="43">
        <f>LN('2.ΤΙΜΕΣ ΚΛΕΙΣΙΜΑΤΟΣ'!AF78/'2.ΤΙΜΕΣ ΚΛΕΙΣΙΜΑΤΟΣ'!AF77)</f>
        <v>-2.666824708216118E-2</v>
      </c>
      <c r="AG77" s="43">
        <f>LN('2.ΤΙΜΕΣ ΚΛΕΙΣΙΜΑΤΟΣ'!AG78/'2.ΤΙΜΕΣ ΚΛΕΙΣΙΜΑΤΟΣ'!AG77)</f>
        <v>9.2166551049240476E-3</v>
      </c>
      <c r="AH77" s="43">
        <f>LN('2.ΤΙΜΕΣ ΚΛΕΙΣΙΜΑΤΟΣ'!AH78/'2.ΤΙΜΕΣ ΚΛΕΙΣΙΜΑΤΟΣ'!AH77)</f>
        <v>-4.7923414403063802E-3</v>
      </c>
      <c r="AI77" s="43">
        <f>LN('2.ΤΙΜΕΣ ΚΛΕΙΣΙΜΑΤΟΣ'!AI78/'2.ΤΙΜΕΣ ΚΛΕΙΣΙΜΑΤΟΣ'!AI77)</f>
        <v>-1.6260520871780405E-2</v>
      </c>
      <c r="AJ77" s="43">
        <f>LN('2.ΤΙΜΕΣ ΚΛΕΙΣΙΜΑΤΟΣ'!AJ78/'2.ΤΙΜΕΣ ΚΛΕΙΣΙΜΑΤΟΣ'!AJ77)</f>
        <v>-8.4746269909722321E-3</v>
      </c>
      <c r="AK77" s="43">
        <f>LN('2.ΤΙΜΕΣ ΚΛΕΙΣΙΜΑΤΟΣ'!AK78/'2.ΤΙΜΕΣ ΚΛΕΙΣΙΜΑΤΟΣ'!AK77)</f>
        <v>-4.3010818993906973E-3</v>
      </c>
      <c r="AL77" s="43">
        <f>LN('2.ΤΙΜΕΣ ΚΛΕΙΣΙΜΑΤΟΣ'!AL78/'2.ΤΙΜΕΣ ΚΛΕΙΣΙΜΑΤΟΣ'!AL77)</f>
        <v>2.919915469226235E-2</v>
      </c>
      <c r="AM77" s="43">
        <f>LN('2.ΤΙΜΕΣ ΚΛΕΙΣΙΜΑΤΟΣ'!AM78/'2.ΤΙΜΕΣ ΚΛΕΙΣΙΜΑΤΟΣ'!AM77)</f>
        <v>2.1557721074979056E-2</v>
      </c>
      <c r="AN77" s="43">
        <f>LN('2.ΤΙΜΕΣ ΚΛΕΙΣΙΜΑΤΟΣ'!AN78/'2.ΤΙΜΕΣ ΚΛΕΙΣΙΜΑΤΟΣ'!AN77)</f>
        <v>2.5317807984290001E-2</v>
      </c>
      <c r="AO77" s="43">
        <f>LN('2.ΤΙΜΕΣ ΚΛΕΙΣΙΜΑΤΟΣ'!AO78/'2.ΤΙΜΕΣ ΚΛΕΙΣΙΜΑΤΟΣ'!AO77)</f>
        <v>1.1049836186584935E-2</v>
      </c>
      <c r="AP77" s="43">
        <f>LN('2.ΤΙΜΕΣ ΚΛΕΙΣΙΜΑΤΟΣ'!AP78/'2.ΤΙΜΕΣ ΚΛΕΙΣΙΜΑΤΟΣ'!AP77)</f>
        <v>0</v>
      </c>
      <c r="AQ77" s="43">
        <f>LN('2.ΤΙΜΕΣ ΚΛΕΙΣΙΜΑΤΟΣ'!AQ78/'2.ΤΙΜΕΣ ΚΛΕΙΣΙΜΑΤΟΣ'!AQ77)</f>
        <v>9.3897403498391374E-3</v>
      </c>
      <c r="AR77" s="43">
        <f>LN('2.ΤΙΜΕΣ ΚΛΕΙΣΙΜΑΤΟΣ'!AR78/'2.ΤΙΜΕΣ ΚΛΕΙΣΙΜΑΤΟΣ'!AR77)</f>
        <v>1.8592833076615925E-2</v>
      </c>
      <c r="AS77" s="43">
        <f>LN('2.ΤΙΜΕΣ ΚΛΕΙΣΙΜΑΤΟΣ'!AS78/'2.ΤΙΜΕΣ ΚΛΕΙΣΙΜΑΤΟΣ'!AS77)</f>
        <v>5.7971176843259146E-3</v>
      </c>
      <c r="AT77" s="43">
        <f>LN('2.ΤΙΜΕΣ ΚΛΕΙΣΙΜΑΤΟΣ'!AT78/'2.ΤΙΜΕΣ ΚΛΕΙΣΙΜΑΤΟΣ'!AT77)</f>
        <v>0</v>
      </c>
      <c r="AU77" s="43">
        <f>LN('2.ΤΙΜΕΣ ΚΛΕΙΣΙΜΑΤΟΣ'!AU78/'2.ΤΙΜΕΣ ΚΛΕΙΣΙΜΑΤΟΣ'!AU77)</f>
        <v>-3.1868595014466826E-3</v>
      </c>
    </row>
    <row r="78" spans="1:47">
      <c r="A78" s="41">
        <v>43668</v>
      </c>
      <c r="B78" s="43">
        <f>LN('2.ΤΙΜΕΣ ΚΛΕΙΣΙΜΑΤΟΣ'!B79/'2.ΤΙΜΕΣ ΚΛΕΙΣΙΜΑΤΟΣ'!B78)</f>
        <v>1.969150619880896E-3</v>
      </c>
      <c r="C78" s="43">
        <f>LN('2.ΤΙΜΕΣ ΚΛΕΙΣΙΜΑΤΟΣ'!C79/'2.ΤΙΜΕΣ ΚΛΕΙΣΙΜΑΤΟΣ'!C78)</f>
        <v>-1.6142053545411135E-3</v>
      </c>
      <c r="D78" s="43">
        <f>LN('2.ΤΙΜΕΣ ΚΛΕΙΣΙΜΑΤΟΣ'!D79/'2.ΤΙΜΕΣ ΚΛΕΙΣΙΜΑΤΟΣ'!D78)</f>
        <v>2.013896562242894E-3</v>
      </c>
      <c r="E78" s="43">
        <f>LN('2.ΤΙΜΕΣ ΚΛΕΙΣΙΜΑΤΟΣ'!E79/'2.ΤΙΜΕΣ ΚΛΕΙΣΙΜΑΤΟΣ'!E78)</f>
        <v>-3.9403372119229405E-3</v>
      </c>
      <c r="F78" s="43">
        <f>LN('2.ΤΙΜΕΣ ΚΛΕΙΣΙΜΑΤΟΣ'!F79/'2.ΤΙΜΕΣ ΚΛΕΙΣΙΜΑΤΟΣ'!F78)</f>
        <v>2.542978379763133E-2</v>
      </c>
      <c r="G78" s="43">
        <f>LN('2.ΤΙΜΕΣ ΚΛΕΙΣΙΜΑΤΟΣ'!G79/'2.ΤΙΜΕΣ ΚΛΕΙΣΙΜΑΤΟΣ'!G78)</f>
        <v>-1.1834457647002796E-2</v>
      </c>
      <c r="H78" s="43">
        <f>LN('2.ΤΙΜΕΣ ΚΛΕΙΣΙΜΑΤΟΣ'!H79/'2.ΤΙΜΕΣ ΚΛΕΙΣΙΜΑΤΟΣ'!H78)</f>
        <v>-3.5938942545891712E-3</v>
      </c>
      <c r="I78" s="43">
        <f>LN('2.ΤΙΜΕΣ ΚΛΕΙΣΙΜΑΤΟΣ'!I79/'2.ΤΙΜΕΣ ΚΛΕΙΣΙΜΑΤΟΣ'!I78)</f>
        <v>-2.9077210908195494E-2</v>
      </c>
      <c r="J78" s="43">
        <f>LN('2.ΤΙΜΕΣ ΚΛΕΙΣΙΜΑΤΟΣ'!J79/'2.ΤΙΜΕΣ ΚΛΕΙΣΙΜΑΤΟΣ'!J78)</f>
        <v>-1.1078085173154339E-2</v>
      </c>
      <c r="K78" s="43">
        <f>LN('2.ΤΙΜΕΣ ΚΛΕΙΣΙΜΑΤΟΣ'!K79/'2.ΤΙΜΕΣ ΚΛΕΙΣΙΜΑΤΟΣ'!K78)</f>
        <v>-3.1592038009691827E-3</v>
      </c>
      <c r="L78" s="43">
        <f>LN('2.ΤΙΜΕΣ ΚΛΕΙΣΙΜΑΤΟΣ'!L79/'2.ΤΙΜΕΣ ΚΛΕΙΣΙΜΑΤΟΣ'!L78)</f>
        <v>-1.3411019060005764E-2</v>
      </c>
      <c r="M78" s="43">
        <f>LN('2.ΤΙΜΕΣ ΚΛΕΙΣΙΜΑΤΟΣ'!M79/'2.ΤΙΜΕΣ ΚΛΕΙΣΙΜΑΤΟΣ'!M78)</f>
        <v>0</v>
      </c>
      <c r="N78" s="43">
        <f>LN('2.ΤΙΜΕΣ ΚΛΕΙΣΙΜΑΤΟΣ'!N79/'2.ΤΙΜΕΣ ΚΛΕΙΣΙΜΑΤΟΣ'!N78)</f>
        <v>-2.8312589694285384E-3</v>
      </c>
      <c r="O78" s="43">
        <f>LN('2.ΤΙΜΕΣ ΚΛΕΙΣΙΜΑΤΟΣ'!O79/'2.ΤΙΜΕΣ ΚΛΕΙΣΙΜΑΤΟΣ'!O78)</f>
        <v>1.6960615307045197E-2</v>
      </c>
      <c r="P78" s="43">
        <f>LN('2.ΤΙΜΕΣ ΚΛΕΙΣΙΜΑΤΟΣ'!P79/'2.ΤΙΜΕΣ ΚΛΕΙΣΙΜΑΤΟΣ'!P78)</f>
        <v>1.8167303955448934E-2</v>
      </c>
      <c r="Q78" s="43">
        <f>LN('2.ΤΙΜΕΣ ΚΛΕΙΣΙΜΑΤΟΣ'!Q79/'2.ΤΙΜΕΣ ΚΛΕΙΣΙΜΑΤΟΣ'!Q78)</f>
        <v>-5.5059777183027313E-2</v>
      </c>
      <c r="R78" s="43">
        <f>LN('2.ΤΙΜΕΣ ΚΛΕΙΣΙΜΑΤΟΣ'!R79/'2.ΤΙΜΕΣ ΚΛΕΙΣΙΜΑΤΟΣ'!R78)</f>
        <v>6.5382759262851711E-2</v>
      </c>
      <c r="S78" s="43">
        <f>LN('2.ΤΙΜΕΣ ΚΛΕΙΣΙΜΑΤΟΣ'!S79/'2.ΤΙΜΕΣ ΚΛΕΙΣΙΜΑΤΟΣ'!S78)</f>
        <v>0</v>
      </c>
      <c r="T78" s="43">
        <f>LN('2.ΤΙΜΕΣ ΚΛΕΙΣΙΜΑΤΟΣ'!T79/'2.ΤΙΜΕΣ ΚΛΕΙΣΙΜΑΤΟΣ'!T78)</f>
        <v>-6.0204877815831365E-3</v>
      </c>
      <c r="U78" s="43">
        <f>LN('2.ΤΙΜΕΣ ΚΛΕΙΣΙΜΑΤΟΣ'!U79/'2.ΤΙΜΕΣ ΚΛΕΙΣΙΜΑΤΟΣ'!U78)</f>
        <v>1.4252022707201632E-2</v>
      </c>
      <c r="V78" s="43">
        <f>LN('2.ΤΙΜΕΣ ΚΛΕΙΣΙΜΑΤΟΣ'!V79/'2.ΤΙΜΕΣ ΚΛΕΙΣΙΜΑΤΟΣ'!V78)</f>
        <v>4.210532536343679E-3</v>
      </c>
      <c r="W78" s="43">
        <f>LN('2.ΤΙΜΕΣ ΚΛΕΙΣΙΜΑΤΟΣ'!W79/'2.ΤΙΜΕΣ ΚΛΕΙΣΙΜΑΤΟΣ'!W78)</f>
        <v>-1.2338064489284325E-3</v>
      </c>
      <c r="X78" s="43">
        <f>LN('2.ΤΙΜΕΣ ΚΛΕΙΣΙΜΑΤΟΣ'!X79/'2.ΤΙΜΕΣ ΚΛΕΙΣΙΜΑΤΟΣ'!X78)</f>
        <v>1.4319356300407819E-2</v>
      </c>
      <c r="Y78" s="43">
        <f>LN('2.ΤΙΜΕΣ ΚΛΕΙΣΙΜΑΤΟΣ'!Y79/'2.ΤΙΜΕΣ ΚΛΕΙΣΙΜΑΤΟΣ'!Y78)</f>
        <v>-5.0377940299570698E-3</v>
      </c>
      <c r="Z78" s="43">
        <f>LN('2.ΤΙΜΕΣ ΚΛΕΙΣΙΜΑΤΟΣ'!Z79/'2.ΤΙΜΕΣ ΚΛΕΙΣΙΜΑΤΟΣ'!Z78)</f>
        <v>-3.350086885281863E-3</v>
      </c>
      <c r="AA78" s="43">
        <f>LN('2.ΤΙΜΕΣ ΚΛΕΙΣΙΜΑΤΟΣ'!AA79/'2.ΤΙΜΕΣ ΚΛΕΙΣΙΜΑΤΟΣ'!AA78)</f>
        <v>-1.351371916672282E-2</v>
      </c>
      <c r="AB78" s="43">
        <f>LN('2.ΤΙΜΕΣ ΚΛΕΙΣΙΜΑΤΟΣ'!AB79/'2.ΤΙΜΕΣ ΚΛΕΙΣΙΜΑΤΟΣ'!AB78)</f>
        <v>-1.834913866819643E-2</v>
      </c>
      <c r="AC78" s="43">
        <f>LN('2.ΤΙΜΕΣ ΚΛΕΙΣΙΜΑΤΟΣ'!AC79/'2.ΤΙΜΕΣ ΚΛΕΙΣΙΜΑΤΟΣ'!AC78)</f>
        <v>1.2940511275734732E-2</v>
      </c>
      <c r="AD78" s="43">
        <f>LN('2.ΤΙΜΕΣ ΚΛΕΙΣΙΜΑΤΟΣ'!AD79/'2.ΤΙΜΕΣ ΚΛΕΙΣΙΜΑΤΟΣ'!AD78)</f>
        <v>2.6491615446976285E-2</v>
      </c>
      <c r="AE78" s="43">
        <f>LN('2.ΤΙΜΕΣ ΚΛΕΙΣΙΜΑΤΟΣ'!AE79/'2.ΤΙΜΕΣ ΚΛΕΙΣΙΜΑΤΟΣ'!AE78)</f>
        <v>-3.5906681307285959E-3</v>
      </c>
      <c r="AF78" s="43">
        <f>LN('2.ΤΙΜΕΣ ΚΛΕΙΣΙΜΑΤΟΣ'!AF79/'2.ΤΙΜΕΣ ΚΛΕΙΣΙΜΑΤΟΣ'!AF78)</f>
        <v>-2.7398974188114503E-2</v>
      </c>
      <c r="AG78" s="43">
        <f>LN('2.ΤΙΜΕΣ ΚΛΕΙΣΙΜΑΤΟΣ'!AG79/'2.ΤΙΜΕΣ ΚΛΕΙΣΙΜΑΤΟΣ'!AG78)</f>
        <v>-8.6177696241052273E-2</v>
      </c>
      <c r="AH78" s="43">
        <f>LN('2.ΤΙΜΕΣ ΚΛΕΙΣΙΜΑΤΟΣ'!AH79/'2.ΤΙΜΕΣ ΚΛΕΙΣΙΜΑΤΟΣ'!AH78)</f>
        <v>-4.0112368264530627E-3</v>
      </c>
      <c r="AI78" s="43">
        <f>LN('2.ΤΙΜΕΣ ΚΛΕΙΣΙΜΑΤΟΣ'!AI79/'2.ΤΙΜΕΣ ΚΛΕΙΣΙΜΑΤΟΣ'!AI78)</f>
        <v>1.6260520871780326E-2</v>
      </c>
      <c r="AJ78" s="43">
        <f>LN('2.ΤΙΜΕΣ ΚΛΕΙΣΙΜΑΤΟΣ'!AJ79/'2.ΤΙΜΕΣ ΚΛΕΙΣΙΜΑΤΟΣ'!AJ78)</f>
        <v>6.9843573367264336E-2</v>
      </c>
      <c r="AK78" s="43">
        <f>LN('2.ΤΙΜΕΣ ΚΛΕΙΣΙΜΑΤΟΣ'!AK79/'2.ΤΙΜΕΣ ΚΛΕΙΣΙΜΑΤΟΣ'!AK78)</f>
        <v>3.3901551675681416E-2</v>
      </c>
      <c r="AL78" s="43">
        <f>LN('2.ΤΙΜΕΣ ΚΛΕΙΣΙΜΑΤΟΣ'!AL79/'2.ΤΙΜΕΣ ΚΛΕΙΣΙΜΑΤΟΣ'!AL78)</f>
        <v>-2.1819047394639725E-2</v>
      </c>
      <c r="AM78" s="43">
        <f>LN('2.ΤΙΜΕΣ ΚΛΕΙΣΙΜΑΤΟΣ'!AM79/'2.ΤΙΜΕΣ ΚΛΕΙΣΙΜΑΤΟΣ'!AM78)</f>
        <v>0</v>
      </c>
      <c r="AN78" s="43">
        <f>LN('2.ΤΙΜΕΣ ΚΛΕΙΣΙΜΑΤΟΣ'!AN79/'2.ΤΙΜΕΣ ΚΛΕΙΣΙΜΑΤΟΣ'!AN78)</f>
        <v>1.9048194970694411E-2</v>
      </c>
      <c r="AO78" s="43">
        <f>LN('2.ΤΙΜΕΣ ΚΛΕΙΣΙΜΑΤΟΣ'!AO79/'2.ΤΙΜΕΣ ΚΛΕΙΣΙΜΑΤΟΣ'!AO78)</f>
        <v>1.092907053219023E-2</v>
      </c>
      <c r="AP78" s="43">
        <f>LN('2.ΤΙΜΕΣ ΚΛΕΙΣΙΜΑΤΟΣ'!AP79/'2.ΤΙΜΕΣ ΚΛΕΙΣΙΜΑΤΟΣ'!AP78)</f>
        <v>1.3245226750020505E-2</v>
      </c>
      <c r="AQ78" s="43">
        <f>LN('2.ΤΙΜΕΣ ΚΛΕΙΣΙΜΑΤΟΣ'!AQ79/'2.ΤΙΜΕΣ ΚΛΕΙΣΙΜΑΤΟΣ'!AQ78)</f>
        <v>1.8674141747954624E-3</v>
      </c>
      <c r="AR78" s="43">
        <f>LN('2.ΤΙΜΕΣ ΚΛΕΙΣΙΜΑΤΟΣ'!AR79/'2.ΤΙΜΕΣ ΚΛΕΙΣΙΜΑΤΟΣ'!AR78)</f>
        <v>-3.753791931906509E-2</v>
      </c>
      <c r="AS78" s="43">
        <f>LN('2.ΤΙΜΕΣ ΚΛΕΙΣΙΜΑΤΟΣ'!AS79/'2.ΤΙΜΕΣ ΚΛΕΙΣΙΜΑΤΟΣ'!AS78)</f>
        <v>3.6883613430554622E-2</v>
      </c>
      <c r="AT78" s="43">
        <f>LN('2.ΤΙΜΕΣ ΚΛΕΙΣΙΜΑΤΟΣ'!AT79/'2.ΤΙΜΕΣ ΚΛΕΙΣΙΜΑΤΟΣ'!AT78)</f>
        <v>2.0181641562371953E-3</v>
      </c>
      <c r="AU78" s="43">
        <f>LN('2.ΤΙΜΕΣ ΚΛΕΙΣΙΜΑΤΟΣ'!AU79/'2.ΤΙΜΕΣ ΚΛΕΙΣΙΜΑΤΟΣ'!AU78)</f>
        <v>-3.2548505189308888E-3</v>
      </c>
    </row>
    <row r="79" spans="1:47">
      <c r="A79" s="41">
        <v>43669</v>
      </c>
      <c r="B79" s="43">
        <f>LN('2.ΤΙΜΕΣ ΚΛΕΙΣΙΜΑΤΟΣ'!B80/'2.ΤΙΜΕΣ ΚΛΕΙΣΙΜΑΤΟΣ'!B79)</f>
        <v>1.9159540457296443E-2</v>
      </c>
      <c r="C79" s="43">
        <f>LN('2.ΤΙΜΕΣ ΚΛΕΙΣΙΜΑΤΟΣ'!C80/'2.ΤΙΜΕΣ ΚΛΕΙΣΙΜΑΤΟΣ'!C79)</f>
        <v>-6.483004878078266E-3</v>
      </c>
      <c r="D79" s="43">
        <f>LN('2.ΤΙΜΕΣ ΚΛΕΙΣΙΜΑΤΟΣ'!D80/'2.ΤΙΜΕΣ ΚΛΕΙΣΙΜΑΤΟΣ'!D79)</f>
        <v>4.5164928484094351E-3</v>
      </c>
      <c r="E79" s="43">
        <f>LN('2.ΤΙΜΕΣ ΚΛΕΙΣΙΜΑΤΟΣ'!E80/'2.ΤΙΜΕΣ ΚΛΕΙΣΙΜΑΤΟΣ'!E79)</f>
        <v>-3.9559249103025664E-3</v>
      </c>
      <c r="F79" s="43">
        <f>LN('2.ΤΙΜΕΣ ΚΛΕΙΣΙΜΑΤΟΣ'!F80/'2.ΤΙΜΕΣ ΚΛΕΙΣΙΜΑΤΟΣ'!F79)</f>
        <v>-2.1857932199802082E-3</v>
      </c>
      <c r="G79" s="43">
        <f>LN('2.ΤΙΜΕΣ ΚΛΕΙΣΙΜΑΤΟΣ'!G80/'2.ΤΙΜΕΣ ΚΛΕΙΣΙΜΑΤΟΣ'!G79)</f>
        <v>-1.1976191046715649E-2</v>
      </c>
      <c r="H79" s="43">
        <f>LN('2.ΤΙΜΕΣ ΚΛΕΙΣΙΜΑΤΟΣ'!H80/'2.ΤΙΜΕΣ ΚΛΕΙΣΙΜΑΤΟΣ'!H79)</f>
        <v>1.7985616359148977E-3</v>
      </c>
      <c r="I79" s="43">
        <f>LN('2.ΤΙΜΕΣ ΚΛΕΙΣΙΜΑΤΟΣ'!I80/'2.ΤΙΜΕΣ ΚΛΕΙΣΙΜΑΤΟΣ'!I79)</f>
        <v>-1.8850146957712238E-3</v>
      </c>
      <c r="J79" s="43">
        <f>LN('2.ΤΙΜΕΣ ΚΛΕΙΣΙΜΑΤΟΣ'!J80/'2.ΤΙΜΕΣ ΚΛΕΙΣΙΜΑΤΟΣ'!J79)</f>
        <v>-1.7152662867550243E-3</v>
      </c>
      <c r="K79" s="43">
        <f>LN('2.ΤΙΜΕΣ ΚΛΕΙΣΙΜΑΤΟΣ'!K80/'2.ΤΙΜΕΣ ΚΛΕΙΣΙΜΑΤΟΣ'!K79)</f>
        <v>-2.3786141425950889E-2</v>
      </c>
      <c r="L79" s="43">
        <f>LN('2.ΤΙΜΕΣ ΚΛΕΙΣΙΜΑΤΟΣ'!L80/'2.ΤΙΜΕΣ ΚΛΕΙΣΙΜΑΤΟΣ'!L79)</f>
        <v>-1.6334301463091439E-2</v>
      </c>
      <c r="M79" s="43">
        <f>LN('2.ΤΙΜΕΣ ΚΛΕΙΣΙΜΑΤΟΣ'!M80/'2.ΤΙΜΕΣ ΚΛΕΙΣΙΜΑΤΟΣ'!M79)</f>
        <v>-1.5910009706080471E-2</v>
      </c>
      <c r="N79" s="43">
        <f>LN('2.ΤΙΜΕΣ ΚΛΕΙΣΙΜΑΤΟΣ'!N80/'2.ΤΙΜΕΣ ΚΛΕΙΣΙΜΑΤΟΣ'!N79)</f>
        <v>-1.2766864632167202E-3</v>
      </c>
      <c r="O79" s="43">
        <f>LN('2.ΤΙΜΕΣ ΚΛΕΙΣΙΜΑΤΟΣ'!O80/'2.ΤΙΜΕΣ ΚΛΕΙΣΙΜΑΤΟΣ'!O79)</f>
        <v>0</v>
      </c>
      <c r="P79" s="43">
        <f>LN('2.ΤΙΜΕΣ ΚΛΕΙΣΙΜΑΤΟΣ'!P80/'2.ΤΙΜΕΣ ΚΛΕΙΣΙΜΑΤΟΣ'!P79)</f>
        <v>1.7843133567584105E-2</v>
      </c>
      <c r="Q79" s="43">
        <f>LN('2.ΤΙΜΕΣ ΚΛΕΙΣΙΜΑΤΟΣ'!Q80/'2.ΤΙΜΕΣ ΚΛΕΙΣΙΜΑΤΟΣ'!Q79)</f>
        <v>1.8692133012152546E-2</v>
      </c>
      <c r="R79" s="43">
        <f>LN('2.ΤΙΜΕΣ ΚΛΕΙΣΙΜΑΤΟΣ'!R80/'2.ΤΙΜΕΣ ΚΛΕΙΣΙΜΑΤΟΣ'!R79)</f>
        <v>0.14506796525293911</v>
      </c>
      <c r="S79" s="43">
        <f>LN('2.ΤΙΜΕΣ ΚΛΕΙΣΙΜΑΤΟΣ'!S80/'2.ΤΙΜΕΣ ΚΛΕΙΣΙΜΑΤΟΣ'!S79)</f>
        <v>3.0483016725075751E-2</v>
      </c>
      <c r="T79" s="43">
        <f>LN('2.ΤΙΜΕΣ ΚΛΕΙΣΙΜΑΤΟΣ'!T80/'2.ΤΙΜΕΣ ΚΛΕΙΣΙΜΑΤΟΣ'!T79)</f>
        <v>8.418570465595826E-3</v>
      </c>
      <c r="U79" s="43">
        <f>LN('2.ΤΙΜΕΣ ΚΛΕΙΣΙΜΑΤΟΣ'!U80/'2.ΤΙΜΕΣ ΚΛΕΙΣΙΜΑΤΟΣ'!U79)</f>
        <v>1.6374634871789886E-2</v>
      </c>
      <c r="V79" s="43">
        <f>LN('2.ΤΙΜΕΣ ΚΛΕΙΣΙΜΑΤΟΣ'!V80/'2.ΤΙΜΕΣ ΚΛΕΙΣΙΜΑΤΟΣ'!V79)</f>
        <v>-2.1030501967787877E-3</v>
      </c>
      <c r="W79" s="43">
        <f>LN('2.ΤΙΜΕΣ ΚΛΕΙΣΙΜΑΤΟΣ'!W80/'2.ΤΙΜΕΣ ΚΛΕΙΣΙΜΑΤΟΣ'!W79)</f>
        <v>1.9560525854493572E-2</v>
      </c>
      <c r="X79" s="43">
        <f>LN('2.ΤΙΜΕΣ ΚΛΕΙΣΙΜΑΤΟΣ'!X80/'2.ΤΙΜΕΣ ΚΛΕΙΣΙΜΑΤΟΣ'!X79)</f>
        <v>-4.7989621657208688E-3</v>
      </c>
      <c r="Y79" s="43">
        <f>LN('2.ΤΙΜΕΣ ΚΛΕΙΣΙΜΑΤΟΣ'!Y80/'2.ΤΙΜΕΣ ΚΛΕΙΣΙΜΑΤΟΣ'!Y79)</f>
        <v>-5.063301956546762E-3</v>
      </c>
      <c r="Z79" s="43">
        <f>LN('2.ΤΙΜΕΣ ΚΛΕΙΣΙΜΑΤΟΣ'!Z80/'2.ΤΙΜΕΣ ΚΛΕΙΣΙΜΑΤΟΣ'!Z79)</f>
        <v>-1.6920877488337177E-2</v>
      </c>
      <c r="AA79" s="43">
        <f>LN('2.ΤΙΜΕΣ ΚΛΕΙΣΙΜΑΤΟΣ'!AA80/'2.ΤΙΜΕΣ ΚΛΕΙΣΙΜΑΤΟΣ'!AA79)</f>
        <v>3.3955890011383287E-3</v>
      </c>
      <c r="AB79" s="43">
        <f>LN('2.ΤΙΜΕΣ ΚΛΕΙΣΙΜΑΤΟΣ'!AB80/'2.ΤΙΜΕΣ ΚΛΕΙΣΙΜΑΤΟΣ'!AB79)</f>
        <v>0</v>
      </c>
      <c r="AC79" s="43">
        <f>LN('2.ΤΙΜΕΣ ΚΛΕΙΣΙΜΑΤΟΣ'!AC80/'2.ΤΙΜΕΣ ΚΛΕΙΣΙΜΑΤΟΣ'!AC79)</f>
        <v>1.4184634991956381E-2</v>
      </c>
      <c r="AD79" s="43">
        <f>LN('2.ΤΙΜΕΣ ΚΛΕΙΣΙΜΑΤΟΣ'!AD80/'2.ΤΙΜΕΣ ΚΛΕΙΣΙΜΑΤΟΣ'!AD79)</f>
        <v>7.8125397367936247E-3</v>
      </c>
      <c r="AE79" s="43">
        <f>LN('2.ΤΙΜΕΣ ΚΛΕΙΣΙΜΑΤΟΣ'!AE80/'2.ΤΙΜΕΣ ΚΛΕΙΣΙΜΑΤΟΣ'!AE79)</f>
        <v>3.59066813072854E-3</v>
      </c>
      <c r="AF79" s="43">
        <f>LN('2.ΤΙΜΕΣ ΚΛΕΙΣΙΜΑΤΟΣ'!AF80/'2.ΤΙΜΕΣ ΚΛΕΙΣΙΜΑΤΟΣ'!AF79)</f>
        <v>3.7179003241754244E-2</v>
      </c>
      <c r="AG79" s="43">
        <f>LN('2.ΤΙΜΕΣ ΚΛΕΙΣΙΜΑΤΟΣ'!AG80/'2.ΤΙΜΕΣ ΚΛΕΙΣΙΜΑΤΟΣ'!AG79)</f>
        <v>2.2250608934819723E-2</v>
      </c>
      <c r="AH79" s="43">
        <f>LN('2.ΤΙΜΕΣ ΚΛΕΙΣΙΜΑΤΟΣ'!AH80/'2.ΤΙΜΕΣ ΚΛΕΙΣΙΜΑΤΟΣ'!AH79)</f>
        <v>-4.8348200545832928E-3</v>
      </c>
      <c r="AI79" s="43">
        <f>LN('2.ΤΙΜΕΣ ΚΛΕΙΣΙΜΑΤΟΣ'!AI80/'2.ΤΙΜΕΣ ΚΛΕΙΣΙΜΑΤΟΣ'!AI79)</f>
        <v>-1.6260520871780405E-2</v>
      </c>
      <c r="AJ79" s="43">
        <f>LN('2.ΤΙΜΕΣ ΚΛΕΙΣΙΜΑΤΟΣ'!AJ80/'2.ΤΙΜΕΣ ΚΛΕΙΣΙΜΑΤΟΣ'!AJ79)</f>
        <v>-7.9681696491768449E-3</v>
      </c>
      <c r="AK79" s="43">
        <f>LN('2.ΤΙΜΕΣ ΚΛΕΙΣΙΜΑΤΟΣ'!AK80/'2.ΤΙΜΕΣ ΚΛΕΙΣΙΜΑΤΟΣ'!AK79)</f>
        <v>-8.3682496705165792E-3</v>
      </c>
      <c r="AL79" s="43">
        <f>LN('2.ΤΙΜΕΣ ΚΛΕΙΣΙΜΑΤΟΣ'!AL80/'2.ΤΙΜΕΣ ΚΛΕΙΣΙΜΑΤΟΣ'!AL79)</f>
        <v>5.7158413839948415E-2</v>
      </c>
      <c r="AM79" s="43">
        <f>LN('2.ΤΙΜΕΣ ΚΛΕΙΣΙΜΑΤΟΣ'!AM80/'2.ΤΙΜΕΣ ΚΛΕΙΣΙΜΑΤΟΣ'!AM79)</f>
        <v>0</v>
      </c>
      <c r="AN79" s="43">
        <f>LN('2.ΤΙΜΕΣ ΚΛΕΙΣΙΜΑΤΟΣ'!AN80/'2.ΤΙΜΕΣ ΚΛΕΙΣΙΜΑΤΟΣ'!AN79)</f>
        <v>-1.7126964792800597E-2</v>
      </c>
      <c r="AO79" s="43">
        <f>LN('2.ΤΙΜΕΣ ΚΛΕΙΣΙΜΑΤΟΣ'!AO80/'2.ΤΙΜΕΣ ΚΛΕΙΣΙΜΑΤΟΣ'!AO79)</f>
        <v>5.4200674693391133E-3</v>
      </c>
      <c r="AP79" s="43">
        <f>LN('2.ΤΙΜΕΣ ΚΛΕΙΣΙΜΑΤΟΣ'!AP80/'2.ΤΙΜΕΣ ΚΛΕΙΣΙΜΑΤΟΣ'!AP79)</f>
        <v>-5.2770571008437812E-3</v>
      </c>
      <c r="AQ79" s="43">
        <f>LN('2.ΤΙΜΕΣ ΚΛΕΙΣΙΜΑΤΟΣ'!AQ80/'2.ΤΙΜΕΣ ΚΛΕΙΣΙΜΑΤΟΣ'!AQ79)</f>
        <v>5.2691570075638815E-2</v>
      </c>
      <c r="AR79" s="43">
        <f>LN('2.ΤΙΜΕΣ ΚΛΕΙΣΙΜΑΤΟΣ'!AR80/'2.ΤΙΜΕΣ ΚΛΕΙΣΙΜΑΤΟΣ'!AR79)</f>
        <v>2.7285146532039142E-3</v>
      </c>
      <c r="AS79" s="43">
        <f>LN('2.ΤΙΜΕΣ ΚΛΕΙΣΙΜΑΤΟΣ'!AS80/'2.ΤΙΜΕΣ ΚΛΕΙΣΙΜΑΤΟΣ'!AS79)</f>
        <v>7.2514980976551971E-2</v>
      </c>
      <c r="AT79" s="43">
        <f>LN('2.ΤΙΜΕΣ ΚΛΕΙΣΙΜΑΤΟΣ'!AT80/'2.ΤΙΜΕΣ ΚΛΕΙΣΙΜΑΤΟΣ'!AT79)</f>
        <v>5.8725286012782429E-2</v>
      </c>
      <c r="AU79" s="43">
        <f>LN('2.ΤΙΜΕΣ ΚΛΕΙΣΙΜΑΤΟΣ'!AU80/'2.ΤΙΜΕΣ ΚΛΕΙΣΙΜΑΤΟΣ'!AU79)</f>
        <v>5.3613867377778996E-3</v>
      </c>
    </row>
    <row r="80" spans="1:47">
      <c r="A80" s="41">
        <v>43670</v>
      </c>
      <c r="B80" s="43">
        <f>LN('2.ΤΙΜΕΣ ΚΛΕΙΣΙΜΑΤΟΣ'!B81/'2.ΤΙΜΕΣ ΚΛΕΙΣΙΜΑΤΟΣ'!B80)</f>
        <v>-7.7494737192655896E-3</v>
      </c>
      <c r="C80" s="43">
        <f>LN('2.ΤΙΜΕΣ ΚΛΕΙΣΙΜΑΤΟΣ'!C81/'2.ΤΙΜΕΣ ΚΛΕΙΣΙΜΑΤΟΣ'!C80)</f>
        <v>1.1317824932661437E-2</v>
      </c>
      <c r="D80" s="43">
        <f>LN('2.ΤΙΜΕΣ ΚΛΕΙΣΙΜΑΤΟΣ'!D81/'2.ΤΙΜΕΣ ΚΛΕΙΣΙΜΑΤΟΣ'!D80)</f>
        <v>-4.5164928484095089E-3</v>
      </c>
      <c r="E80" s="43">
        <f>LN('2.ΤΙΜΕΣ ΚΛΕΙΣΙΜΑΤΟΣ'!E81/'2.ΤΙΜΕΣ ΚΛΕΙΣΙΜΑΤΟΣ'!E80)</f>
        <v>-1.6557614922800293E-2</v>
      </c>
      <c r="F80" s="43">
        <f>LN('2.ΤΙΜΕΣ ΚΛΕΙΣΙΜΑΤΟΣ'!F81/'2.ΤΙΜΕΣ ΚΛΕΙΣΙΜΑΤΟΣ'!F80)</f>
        <v>1.7354014693151572E-2</v>
      </c>
      <c r="G80" s="43">
        <f>LN('2.ΤΙΜΕΣ ΚΛΕΙΣΙΜΑΤΟΣ'!G81/'2.ΤΙΜΕΣ ΚΛΕΙΣΙΜΑΤΟΣ'!G80)</f>
        <v>1.7910926566530243E-2</v>
      </c>
      <c r="H80" s="43">
        <f>LN('2.ΤΙΜΕΣ ΚΛΕΙΣΙΜΑΤΟΣ'!H81/'2.ΤΙΜΕΣ ΚΛΕΙΣΙΜΑΤΟΣ'!H80)</f>
        <v>0</v>
      </c>
      <c r="I80" s="43">
        <f>LN('2.ΤΙΜΕΣ ΚΛΕΙΣΙΜΑΤΟΣ'!I81/'2.ΤΙΜΕΣ ΚΛΕΙΣΙΜΑΤΟΣ'!I80)</f>
        <v>8.1428573952756315E-3</v>
      </c>
      <c r="J80" s="43">
        <f>LN('2.ΤΙΜΕΣ ΚΛΕΙΣΙΜΑΤΟΣ'!J81/'2.ΤΙΜΕΣ ΚΛΕΙΣΙΜΑΤΟΣ'!J80)</f>
        <v>-4.3010818993906973E-3</v>
      </c>
      <c r="K80" s="43">
        <f>LN('2.ΤΙΜΕΣ ΚΛΕΙΣΙΜΑΤΟΣ'!K81/'2.ΤΙΜΕΣ ΚΛΕΙΣΙΜΑΤΟΣ'!K80)</f>
        <v>9.7887578421556737E-3</v>
      </c>
      <c r="L80" s="43">
        <f>LN('2.ΤΙΜΕΣ ΚΛΕΙΣΙΜΑΤΟΣ'!L81/'2.ΤΙΜΕΣ ΚΛΕΙΣΙΜΑΤΟΣ'!L80)</f>
        <v>-9.1533187168820374E-4</v>
      </c>
      <c r="M80" s="43">
        <f>LN('2.ΤΙΜΕΣ ΚΛΕΙΣΙΜΑΤΟΣ'!M81/'2.ΤΙΜΕΣ ΚΛΕΙΣΙΜΑΤΟΣ'!M80)</f>
        <v>-1.5531973093995486E-3</v>
      </c>
      <c r="N80" s="43">
        <f>LN('2.ΤΙΜΕΣ ΚΛΕΙΣΙΜΑΤΟΣ'!N81/'2.ΤΙΜΕΣ ΚΛΕΙΣΙΜΑΤΟΣ'!N80)</f>
        <v>8.1990846650292926E-3</v>
      </c>
      <c r="O80" s="43">
        <f>LN('2.ΤΙΜΕΣ ΚΛΕΙΣΙΜΑΤΟΣ'!O81/'2.ΤΙΜΕΣ ΚΛΕΙΣΙΜΑΤΟΣ'!O80)</f>
        <v>3.8734715957966189E-3</v>
      </c>
      <c r="P80" s="43">
        <f>LN('2.ΤΙΜΕΣ ΚΛΕΙΣΙΜΑΤΟΣ'!P81/'2.ΤΙΜΕΣ ΚΛΕΙΣΙΜΑΤΟΣ'!P80)</f>
        <v>5.01672587180194E-2</v>
      </c>
      <c r="Q80" s="43">
        <f>LN('2.ΤΙΜΕΣ ΚΛΕΙΣΙΜΑΤΟΣ'!Q81/'2.ΤΙΜΕΣ ΚΛΕΙΣΙΜΑΤΟΣ'!Q80)</f>
        <v>1.4706147389695487E-2</v>
      </c>
      <c r="R80" s="43">
        <f>LN('2.ΤΙΜΕΣ ΚΛΕΙΣΙΜΑΤΟΣ'!R81/'2.ΤΙΜΕΣ ΚΛΕΙΣΙΜΑΤΟΣ'!R80)</f>
        <v>2.8778964550043327E-2</v>
      </c>
      <c r="S80" s="43">
        <f>LN('2.ΤΙΜΕΣ ΚΛΕΙΣΙΜΑΤΟΣ'!S81/'2.ΤΙΜΕΣ ΚΛΕΙΣΙΜΑΤΟΣ'!S80)</f>
        <v>-1.2783439625674926E-2</v>
      </c>
      <c r="T80" s="43">
        <f>LN('2.ΤΙΜΕΣ ΚΛΕΙΣΙΜΑΤΟΣ'!T81/'2.ΤΙΜΕΣ ΚΛΕΙΣΙΜΑΤΟΣ'!T80)</f>
        <v>1.1904902506318239E-2</v>
      </c>
      <c r="U80" s="43">
        <f>LN('2.ΤΙΜΕΣ ΚΛΕΙΣΙΜΑΤΟΣ'!U81/'2.ΤΙΜΕΣ ΚΛΕΙΣΙΜΑΤΟΣ'!U80)</f>
        <v>1.8391322971423669E-2</v>
      </c>
      <c r="V80" s="43">
        <f>LN('2.ΤΙΜΕΣ ΚΛΕΙΣΙΜΑΤΟΣ'!V81/'2.ΤΙΜΕΣ ΚΛΕΙΣΙΜΑΤΟΣ'!V80)</f>
        <v>-2.5587749948407169E-2</v>
      </c>
      <c r="W80" s="43">
        <f>LN('2.ΤΙΜΕΣ ΚΛΕΙΣΙΜΑΤΟΣ'!W81/'2.ΤΙΜΕΣ ΚΛΕΙΣΙΜΑΤΟΣ'!W80)</f>
        <v>2.4183808642816527E-3</v>
      </c>
      <c r="X80" s="43">
        <f>LN('2.ΤΙΜΕΣ ΚΛΕΙΣΙΜΑΤΟΣ'!X81/'2.ΤΙΜΕΣ ΚΛΕΙΣΙΜΑΤΟΣ'!X80)</f>
        <v>0</v>
      </c>
      <c r="Y80" s="43">
        <f>LN('2.ΤΙΜΕΣ ΚΛΕΙΣΙΜΑΤΟΣ'!Y81/'2.ΤΙΜΕΣ ΚΛΕΙΣΙΜΑΤΟΣ'!Y80)</f>
        <v>1.1105616412509451E-2</v>
      </c>
      <c r="Z80" s="43">
        <f>LN('2.ΤΙΜΕΣ ΚΛΕΙΣΙΜΑΤΟΣ'!Z81/'2.ΤΙΜΕΣ ΚΛΕΙΣΙΜΑΤΟΣ'!Z80)</f>
        <v>1.3559529785632294E-2</v>
      </c>
      <c r="AA80" s="43">
        <f>LN('2.ΤΙΜΕΣ ΚΛΕΙΣΙΜΑΤΟΣ'!AA81/'2.ΤΙΜΕΣ ΚΛΕΙΣΙΜΑΤΟΣ'!AA80)</f>
        <v>1.3468217050866611E-2</v>
      </c>
      <c r="AB80" s="43">
        <f>LN('2.ΤΙΜΕΣ ΚΛΕΙΣΙΜΑΤΟΣ'!AB81/'2.ΤΙΜΕΣ ΚΛΕΙΣΙΜΑΤΟΣ'!AB80)</f>
        <v>0</v>
      </c>
      <c r="AC80" s="43">
        <f>LN('2.ΤΙΜΕΣ ΚΛΕΙΣΙΜΑΤΟΣ'!AC81/'2.ΤΙΜΕΣ ΚΛΕΙΣΙΜΑΤΟΣ'!AC80)</f>
        <v>-2.8208763416413406E-3</v>
      </c>
      <c r="AD80" s="43">
        <f>LN('2.ΤΙΜΕΣ ΚΛΕΙΣΙΜΑΤΟΣ'!AD81/'2.ΤΙΜΕΣ ΚΛΕΙΣΙΜΑΤΟΣ'!AD80)</f>
        <v>3.5672572202945264E-2</v>
      </c>
      <c r="AE80" s="43">
        <f>LN('2.ΤΙΜΕΣ ΚΛΕΙΣΙΜΑΤΟΣ'!AE81/'2.ΤΙΜΕΣ ΚΛΕΙΣΙΜΑΤΟΣ'!AE80)</f>
        <v>-7.1942756340270851E-3</v>
      </c>
      <c r="AF80" s="43">
        <f>LN('2.ΤΙΜΕΣ ΚΛΕΙΣΙΜΑΤΟΣ'!AF81/'2.ΤΙΜΕΣ ΚΛΕΙΣΙΜΑΤΟΣ'!AF80)</f>
        <v>3.3495954428182186E-2</v>
      </c>
      <c r="AG80" s="43">
        <f>LN('2.ΤΙΜΕΣ ΚΛΕΙΣΙΜΑΤΟΣ'!AG81/'2.ΤΙΜΕΣ ΚΛΕΙΣΙΜΑΤΟΣ'!AG80)</f>
        <v>4.8780584534327733E-3</v>
      </c>
      <c r="AH80" s="43">
        <f>LN('2.ΤΙΜΕΣ ΚΛΕΙΣΙΜΑΤΟΣ'!AH81/'2.ΤΙΜΕΣ ΚΛΕΙΣΙΜΑΤΟΣ'!AH80)</f>
        <v>-5.6703270600877908E-3</v>
      </c>
      <c r="AI80" s="43">
        <f>LN('2.ΤΙΜΕΣ ΚΛΕΙΣΙΜΑΤΟΣ'!AI81/'2.ΤΙΜΕΣ ΚΛΕΙΣΙΜΑΤΟΣ'!AI80)</f>
        <v>8.1633106391610557E-3</v>
      </c>
      <c r="AJ80" s="43">
        <f>LN('2.ΤΙΜΕΣ ΚΛΕΙΣΙΜΑΤΟΣ'!AJ81/'2.ΤΙΜΕΣ ΚΛΕΙΣΙΜΑΤΟΣ'!AJ80)</f>
        <v>-4.0080213975387108E-3</v>
      </c>
      <c r="AK80" s="43">
        <f>LN('2.ΤΙΜΕΣ ΚΛΕΙΣΙΜΑΤΟΣ'!AK81/'2.ΤΙΜΕΣ ΚΛΕΙΣΙΜΑΤΟΣ'!AK80)</f>
        <v>8.3682496705165792E-3</v>
      </c>
      <c r="AL80" s="43">
        <f>LN('2.ΤΙΜΕΣ ΚΛΕΙΣΙΜΑΤΟΣ'!AL81/'2.ΤΙΜΕΣ ΚΛΕΙΣΙΜΑΤΟΣ'!AL80)</f>
        <v>-1.3986241974739952E-2</v>
      </c>
      <c r="AM80" s="43">
        <f>LN('2.ΤΙΜΕΣ ΚΛΕΙΣΙΜΑΤΟΣ'!AM81/'2.ΤΙΜΕΣ ΚΛΕΙΣΙΜΑΤΟΣ'!AM80)</f>
        <v>9.4340322333587145E-3</v>
      </c>
      <c r="AN80" s="43">
        <f>LN('2.ΤΙΜΕΣ ΚΛΕΙΣΙΜΑΤΟΣ'!AN81/'2.ΤΙΜΕΣ ΚΛΕΙΣΙΜΑΤΟΣ'!AN80)</f>
        <v>2.0893447588277388E-2</v>
      </c>
      <c r="AO80" s="43">
        <f>LN('2.ΤΙΜΕΣ ΚΛΕΙΣΙΜΑΤΟΣ'!AO81/'2.ΤΙΜΕΣ ΚΛΕΙΣΙΜΑΤΟΣ'!AO80)</f>
        <v>5.390848634876373E-3</v>
      </c>
      <c r="AP80" s="43">
        <f>LN('2.ΤΙΜΕΣ ΚΛΕΙΣΙΜΑΤΟΣ'!AP81/'2.ΤΙΜΕΣ ΚΛΕΙΣΙΜΑΤΟΣ'!AP80)</f>
        <v>0</v>
      </c>
      <c r="AQ80" s="43">
        <f>LN('2.ΤΙΜΕΣ ΚΛΕΙΣΙΜΑΤΟΣ'!AQ81/'2.ΤΙΜΕΣ ΚΛΕΙΣΙΜΑΤΟΣ'!AQ80)</f>
        <v>2.6202372394024117E-2</v>
      </c>
      <c r="AR80" s="43">
        <f>LN('2.ΤΙΜΕΣ ΚΛΕΙΣΙΜΑΤΟΣ'!AR81/'2.ΤΙΜΕΣ ΚΛΕΙΣΙΜΑΤΟΣ'!AR80)</f>
        <v>-2.7626066274931266E-2</v>
      </c>
      <c r="AS80" s="43">
        <f>LN('2.ΤΙΜΕΣ ΚΛΕΙΣΙΜΑΤΟΣ'!AS81/'2.ΤΙΜΕΣ ΚΛΕΙΣΙΜΑΤΟΣ'!AS80)</f>
        <v>-1.0416760858255715E-2</v>
      </c>
      <c r="AT80" s="43">
        <f>LN('2.ΤΙΜΕΣ ΚΛΕΙΣΙΜΑΤΟΣ'!AT81/'2.ΤΙΜΕΣ ΚΛΕΙΣΙΜΑΤΟΣ'!AT80)</f>
        <v>3.7317763007195283E-2</v>
      </c>
      <c r="AU80" s="43">
        <f>LN('2.ΤΙΜΕΣ ΚΛΕΙΣΙΜΑΤΟΣ'!AU81/'2.ΤΙΜΕΣ ΚΛΕΙΣΙΜΑΤΟΣ'!AU80)</f>
        <v>5.389983117538617E-3</v>
      </c>
    </row>
    <row r="81" spans="1:47">
      <c r="A81" s="41">
        <v>43671</v>
      </c>
      <c r="B81" s="43">
        <f>LN('2.ΤΙΜΕΣ ΚΛΕΙΣΙΜΑΤΟΣ'!B82/'2.ΤΙΜΕΣ ΚΛΕΙΣΙΜΑΤΟΣ'!B81)</f>
        <v>1.7033996953489554E-2</v>
      </c>
      <c r="C81" s="43">
        <f>LN('2.ΤΙΜΕΣ ΚΛΕΙΣΙΜΑΤΟΣ'!C82/'2.ΤΙΜΕΣ ΚΛΕΙΣΙΜΑΤΟΣ'!C81)</f>
        <v>-2.414488094517464E-3</v>
      </c>
      <c r="D81" s="43">
        <f>LN('2.ΤΙΜΕΣ ΚΛΕΙΣΙΜΑΤΟΣ'!D82/'2.ΤΙΜΕΣ ΚΛΕΙΣΙΜΑΤΟΣ'!D81)</f>
        <v>1.2992387435999333E-2</v>
      </c>
      <c r="E81" s="43">
        <f>LN('2.ΤΙΜΕΣ ΚΛΕΙΣΙΜΑΤΟΣ'!E82/'2.ΤΙΜΕΣ ΚΛΕΙΣΙΜΑΤΟΣ'!E81)</f>
        <v>3.5071467709428053E-2</v>
      </c>
      <c r="F81" s="43">
        <f>LN('2.ΤΙΜΕΣ ΚΛΕΙΣΙΜΑΤΟΣ'!F82/'2.ΤΙΜΕΣ ΚΛΕΙΣΙΜΑΤΟΣ'!F81)</f>
        <v>9.6308930609613659E-3</v>
      </c>
      <c r="G81" s="43">
        <f>LN('2.ΤΙΜΕΣ ΚΛΕΙΣΙΜΑΤΟΣ'!G82/'2.ΤΙΜΕΣ ΚΛΕΙΣΙΜΑΤΟΣ'!G81)</f>
        <v>2.5702349423368048E-2</v>
      </c>
      <c r="H81" s="43">
        <f>LN('2.ΤΙΜΕΣ ΚΛΕΙΣΙΜΑΤΟΣ'!H82/'2.ΤΙΜΕΣ ΚΛΕΙΣΙΜΑΤΟΣ'!H81)</f>
        <v>1.7809909752461356E-2</v>
      </c>
      <c r="I81" s="43">
        <f>LN('2.ΤΙΜΕΣ ΚΛΕΙΣΙΜΑΤΟΣ'!I82/'2.ΤΙΜΕΣ ΚΛΕΙΣΙΜΑΤΟΣ'!I81)</f>
        <v>1.608945599249215E-2</v>
      </c>
      <c r="J81" s="43">
        <f>LN('2.ΤΙΜΕΣ ΚΛΕΙΣΙΜΑΤΟΣ'!J82/'2.ΤΙΜΕΣ ΚΛΕΙΣΙΜΑΤΟΣ'!J81)</f>
        <v>3.3901551675681416E-2</v>
      </c>
      <c r="K81" s="43">
        <f>LN('2.ΤΙΜΕΣ ΚΛΕΙΣΙΜΑΤΟΣ'!K82/'2.ΤΙΜΕΣ ΚΛΕΙΣΙΜΑΤΟΣ'!K81)</f>
        <v>3.6015596354233452E-2</v>
      </c>
      <c r="L81" s="43">
        <f>LN('2.ΤΙΜΕΣ ΚΛΕΙΣΙΜΑΤΟΣ'!L82/'2.ΤΙΜΕΣ ΚΛΕΙΣΙΜΑΤΟΣ'!L81)</f>
        <v>2.7434859457508339E-3</v>
      </c>
      <c r="M81" s="43">
        <f>LN('2.ΤΙΜΕΣ ΚΛΕΙΣΙΜΑΤΟΣ'!M82/'2.ΤΙΜΕΣ ΚΛΕΙΣΙΜΑΤΟΣ'!M81)</f>
        <v>3.0614635819606734E-2</v>
      </c>
      <c r="N81" s="43">
        <f>LN('2.ΤΙΜΕΣ ΚΛΕΙΣΙΜΑΤΟΣ'!N82/'2.ΤΙΜΕΣ ΚΛΕΙΣΙΜΑΤΟΣ'!N81)</f>
        <v>5.6156261571626174E-3</v>
      </c>
      <c r="O81" s="43">
        <f>LN('2.ΤΙΜΕΣ ΚΛΕΙΣΙΜΑΤΟΣ'!O82/'2.ΤΙΜΕΣ ΚΛΕΙΣΙΜΑΤΟΣ'!O81)</f>
        <v>1.6613800662655432E-2</v>
      </c>
      <c r="P81" s="43">
        <f>LN('2.ΤΙΜΕΣ ΚΛΕΙΣΙΜΑΤΟΣ'!P82/'2.ΤΙΜΕΣ ΚΛΕΙΣΙΜΑΤΟΣ'!P81)</f>
        <v>6.0975798681185377E-3</v>
      </c>
      <c r="Q81" s="43">
        <f>LN('2.ΤΙΜΕΣ ΚΛΕΙΣΙΜΑΤΟΣ'!Q82/'2.ΤΙΜΕΣ ΚΛΕΙΣΙΜΑΤΟΣ'!Q81)</f>
        <v>2.1661496781179249E-2</v>
      </c>
      <c r="R81" s="43">
        <f>LN('2.ΤΙΜΕΣ ΚΛΕΙΣΙΜΑΤΟΣ'!R82/'2.ΤΙΜΕΣ ΚΛΕΙΣΙΜΑΤΟΣ'!R81)</f>
        <v>-2.1506205220963619E-2</v>
      </c>
      <c r="S81" s="43">
        <f>LN('2.ΤΙΜΕΣ ΚΛΕΙΣΙΜΑΤΟΣ'!S82/'2.ΤΙΜΕΣ ΚΛΕΙΣΙΜΑΤΟΣ'!S81)</f>
        <v>-7.0422826254129232E-3</v>
      </c>
      <c r="T81" s="43">
        <f>LN('2.ΤΙΜΕΣ ΚΛΕΙΣΙΜΑΤΟΣ'!T82/'2.ΤΙΜΕΣ ΚΛΕΙΣΙΜΑΤΟΣ'!T81)</f>
        <v>5.899722127188322E-3</v>
      </c>
      <c r="U81" s="43">
        <f>LN('2.ΤΙΜΕΣ ΚΛΕΙΣΙΜΑΤΟΣ'!U82/'2.ΤΙΜΕΣ ΚΛΕΙΣΙΜΑΤΟΣ'!U81)</f>
        <v>4.5454623716746382E-3</v>
      </c>
      <c r="V81" s="43">
        <f>LN('2.ΤΙΜΕΣ ΚΛΕΙΣΙΜΑΤΟΣ'!V82/'2.ΤΙΜΕΣ ΚΛΕΙΣΙΜΑΤΟΣ'!V81)</f>
        <v>1.5005640617870176E-2</v>
      </c>
      <c r="W81" s="43">
        <f>LN('2.ΤΙΜΕΣ ΚΛΕΙΣΙΜΑΤΟΣ'!W82/'2.ΤΙΜΕΣ ΚΛΕΙΣΙΜΑΤΟΣ'!W81)</f>
        <v>-3.6297680505786127E-3</v>
      </c>
      <c r="X81" s="43">
        <f>LN('2.ΤΙΜΕΣ ΚΛΕΙΣΙΜΑΤΟΣ'!X82/'2.ΤΙΜΕΣ ΚΛΕΙΣΙΜΑΤΟΣ'!X81)</f>
        <v>-4.8221033016506779E-3</v>
      </c>
      <c r="Y81" s="43">
        <f>LN('2.ΤΙΜΕΣ ΚΛΕΙΣΙΜΑΤΟΣ'!Y82/'2.ΤΙΜΕΣ ΚΛΕΙΣΙΜΑΤΟΣ'!Y81)</f>
        <v>4.0080213975386466E-3</v>
      </c>
      <c r="Z81" s="43">
        <f>LN('2.ΤΙΜΕΣ ΚΛΕΙΣΙΜΑΤΟΣ'!Z82/'2.ΤΙΜΕΣ ΚΛΕΙΣΙΜΑΤΟΣ'!Z81)</f>
        <v>6.7114345879867778E-3</v>
      </c>
      <c r="AA81" s="43">
        <f>LN('2.ΤΙΜΕΣ ΚΛΕΙΣΙΜΑΤΟΣ'!AA82/'2.ΤΙΜΕΣ ΚΛΕΙΣΙΜΑΤΟΣ'!AA81)</f>
        <v>-3.3500868852820854E-3</v>
      </c>
      <c r="AB81" s="43">
        <f>LN('2.ΤΙΜΕΣ ΚΛΕΙΣΙΜΑΤΟΣ'!AB82/'2.ΤΙΜΕΣ ΚΛΕΙΣΙΜΑΤΟΣ'!AB81)</f>
        <v>6.1060256761246282E-2</v>
      </c>
      <c r="AC81" s="43">
        <f>LN('2.ΤΙΜΕΣ ΚΛΕΙΣΙΜΑΤΟΣ'!AC82/'2.ΤΙΜΕΣ ΚΛΕΙΣΙΜΑΤΟΣ'!AC81)</f>
        <v>9.8384490002879407E-3</v>
      </c>
      <c r="AD81" s="43">
        <f>LN('2.ΤΙΜΕΣ ΚΛΕΙΣΙΜΑΤΟΣ'!AD82/'2.ΤΙΜΕΣ ΚΛΕΙΣΙΜΑΤΟΣ'!AD81)</f>
        <v>-2.406702608263726E-2</v>
      </c>
      <c r="AE81" s="43">
        <f>LN('2.ΤΙΜΕΣ ΚΛΕΙΣΙΜΑΤΟΣ'!AE82/'2.ΤΙΜΕΣ ΚΛΕΙΣΙΜΑΤΟΣ'!AE81)</f>
        <v>-3.6166404701885504E-3</v>
      </c>
      <c r="AF81" s="43">
        <f>LN('2.ΤΙΜΕΣ ΚΛΕΙΣΙΜΑΤΟΣ'!AF82/'2.ΤΙΜΕΣ ΚΛΕΙΣΙΜΑΤΟΣ'!AF81)</f>
        <v>1.1696039763191236E-2</v>
      </c>
      <c r="AG81" s="43">
        <f>LN('2.ΤΙΜΕΣ ΚΛΕΙΣΙΜΑΤΟΣ'!AG82/'2.ΤΙΜΕΣ ΚΛΕΙΣΙΜΑΤΟΣ'!AG81)</f>
        <v>2.6412099539777276E-2</v>
      </c>
      <c r="AH81" s="43">
        <f>LN('2.ΤΙΜΕΣ ΚΛΕΙΣΙΜΑΤΟΣ'!AH82/'2.ΤΙΜΕΣ ΚΛΕΙΣΙΜΑΤΟΣ'!AH81)</f>
        <v>-9.7959967031819896E-3</v>
      </c>
      <c r="AI81" s="43">
        <f>LN('2.ΤΙΜΕΣ ΚΛΕΙΣΙΜΑΤΟΣ'!AI82/'2.ΤΙΜΕΣ ΚΛΕΙΣΙΜΑΤΟΣ'!AI81)</f>
        <v>0</v>
      </c>
      <c r="AJ81" s="43">
        <f>LN('2.ΤΙΜΕΣ ΚΛΕΙΣΙΜΑΤΟΣ'!AJ82/'2.ΤΙΜΕΣ ΚΛΕΙΣΙΜΑΤΟΣ'!AJ81)</f>
        <v>-4.0241502997254907E-3</v>
      </c>
      <c r="AK81" s="43">
        <f>LN('2.ΤΙΜΕΣ ΚΛΕΙΣΙΜΑΤΟΣ'!AK82/'2.ΤΙΜΕΣ ΚΛΕΙΣΙΜΑΤΟΣ'!AK81)</f>
        <v>0</v>
      </c>
      <c r="AL81" s="43">
        <f>LN('2.ΤΙΜΕΣ ΚΛΕΙΣΙΜΑΤΟΣ'!AL82/'2.ΤΙΜΕΣ ΚΛΕΙΣΙΜΑΤΟΣ'!AL81)</f>
        <v>-7.067167223092443E-3</v>
      </c>
      <c r="AM81" s="43">
        <f>LN('2.ΤΙΜΕΣ ΚΛΕΙΣΙΜΑΤΟΣ'!AM82/'2.ΤΙΜΕΣ ΚΛΕΙΣΙΜΑΤΟΣ'!AM81)</f>
        <v>-3.3415996919843947E-2</v>
      </c>
      <c r="AN81" s="43">
        <f>LN('2.ΤΙΜΕΣ ΚΛΕΙΣΙΜΑΤΟΣ'!AN82/'2.ΤΙΜΕΣ ΚΛΕΙΣΙΜΑΤΟΣ'!AN81)</f>
        <v>3.6904556935450979E-2</v>
      </c>
      <c r="AO81" s="43">
        <f>LN('2.ΤΙΜΕΣ ΚΛΕΙΣΙΜΑΤΟΣ'!AO82/'2.ΤΙΜΕΣ ΚΛΕΙΣΙΜΑΤΟΣ'!AO81)</f>
        <v>1.600034134644112E-2</v>
      </c>
      <c r="AP81" s="43">
        <f>LN('2.ΤΙΜΕΣ ΚΛΕΙΣΙΜΑΤΟΣ'!AP82/'2.ΤΙΜΕΣ ΚΛΕΙΣΙΜΑΤΟΣ'!AP81)</f>
        <v>2.6420094628387975E-3</v>
      </c>
      <c r="AQ81" s="43">
        <f>LN('2.ΤΙΜΕΣ ΚΛΕΙΣΙΜΑΤΟΣ'!AQ82/'2.ΤΙΜΕΣ ΚΛΕΙΣΙΜΑΤΟΣ'!AQ81)</f>
        <v>-6.9204428445737952E-3</v>
      </c>
      <c r="AR81" s="43">
        <f>LN('2.ΤΙΜΕΣ ΚΛΕΙΣΙΜΑΤΟΣ'!AR82/'2.ΤΙΜΕΣ ΚΛΕΙΣΙΜΑΤΟΣ'!AR81)</f>
        <v>-2.2663859577211832E-2</v>
      </c>
      <c r="AS81" s="43">
        <f>LN('2.ΤΙΜΕΣ ΚΛΕΙΣΙΜΑΤΟΣ'!AS82/'2.ΤΙΜΕΣ ΚΛΕΙΣΙΜΑΤΟΣ'!AS81)</f>
        <v>-2.1164811192043158E-2</v>
      </c>
      <c r="AT81" s="43">
        <f>LN('2.ΤΙΜΕΣ ΚΛΕΙΣΙΜΑΤΟΣ'!AT82/'2.ΤΙΜΕΣ ΚΛΕΙΣΙΜΑΤΟΣ'!AT81)</f>
        <v>-4.6868933991538186E-2</v>
      </c>
      <c r="AU81" s="43">
        <f>LN('2.ΤΙΜΕΣ ΚΛΕΙΣΙΜΑΤΟΣ'!AU82/'2.ΤΙΜΕΣ ΚΛΕΙΣΙΜΑΤΟΣ'!AU81)</f>
        <v>1.3236347832941427E-2</v>
      </c>
    </row>
    <row r="82" spans="1:47">
      <c r="A82" s="41">
        <v>43672</v>
      </c>
      <c r="B82" s="43">
        <f>LN('2.ΤΙΜΕΣ ΚΛΕΙΣΙΜΑΤΟΣ'!B83/'2.ΤΙΜΕΣ ΚΛΕΙΣΙΜΑΤΟΣ'!B82)</f>
        <v>5.0858342300057462E-3</v>
      </c>
      <c r="C82" s="43">
        <f>LN('2.ΤΙΜΕΣ ΚΛΕΙΣΙΜΑΤΟΣ'!C83/'2.ΤΙΜΕΣ ΚΛΕΙΣΙΜΑΤΟΣ'!C82)</f>
        <v>2.4144880945175533E-3</v>
      </c>
      <c r="D82" s="43">
        <f>LN('2.ΤΙΜΕΣ ΚΛΕΙΣΙΜΑΤΟΣ'!D83/'2.ΤΙΜΕΣ ΚΛΕΙΣΙΜΑΤΟΣ'!D82)</f>
        <v>2.2580971235548801E-2</v>
      </c>
      <c r="E82" s="43">
        <f>LN('2.ΤΙΜΕΣ ΚΛΕΙΣΙΜΑΤΟΣ'!E83/'2.ΤΙΜΕΣ ΚΛΕΙΣΙΜΑΤΟΣ'!E82)</f>
        <v>-1.1123471669740592E-3</v>
      </c>
      <c r="F82" s="43">
        <f>LN('2.ΤΙΜΕΣ ΚΛΕΙΣΙΜΑΤΟΣ'!F83/'2.ΤΙΜΕΣ ΚΛΕΙΣΙΜΑΤΟΣ'!F82)</f>
        <v>1.2698583337127343E-2</v>
      </c>
      <c r="G82" s="43">
        <f>LN('2.ΤΙΜΕΣ ΚΛΕΙΣΙΜΑΤΟΣ'!G83/'2.ΤΙΜΕΣ ΚΛΕΙΣΙΜΑΤΟΣ'!G82)</f>
        <v>-2.3094698486625289E-3</v>
      </c>
      <c r="H82" s="43">
        <f>LN('2.ΤΙΜΕΣ ΚΛΕΙΣΙΜΑΤΟΣ'!H83/'2.ΤΙΜΕΣ ΚΛΕΙΣΙΜΑΤΟΣ'!H82)</f>
        <v>-1.3327607312961912E-2</v>
      </c>
      <c r="I82" s="43">
        <f>LN('2.ΤΙΜΕΣ ΚΛΕΙΣΙΜΑΤΟΣ'!I83/'2.ΤΙΜΕΣ ΚΛΕΙΣΙΜΑΤΟΣ'!I82)</f>
        <v>1.2808958292581022E-2</v>
      </c>
      <c r="J82" s="43">
        <f>LN('2.ΤΙΜΕΣ ΚΛΕΙΣΙΜΑΤΟΣ'!J83/'2.ΤΙΜΕΣ ΚΛΕΙΣΙΜΑΤΟΣ'!J82)</f>
        <v>2.7939368689241434E-2</v>
      </c>
      <c r="K82" s="43">
        <f>LN('2.ΤΙΜΕΣ ΚΛΕΙΣΙΜΑΤΟΣ'!K83/'2.ΤΙΜΕΣ ΚΛΕΙΣΙΜΑΤΟΣ'!K82)</f>
        <v>1.0337714410407347E-2</v>
      </c>
      <c r="L82" s="43">
        <f>LN('2.ΤΙΜΕΣ ΚΛΕΙΣΙΜΑΤΟΣ'!L83/'2.ΤΙΜΕΣ ΚΛΕΙΣΙΜΑΤΟΣ'!L82)</f>
        <v>2.078701146444337E-2</v>
      </c>
      <c r="M82" s="43">
        <f>LN('2.ΤΙΜΕΣ ΚΛΕΙΣΙΜΑΤΟΣ'!M83/'2.ΤΙΜΕΣ ΚΛΕΙΣΙΜΑΤΟΣ'!M82)</f>
        <v>-2.0120731134201197E-3</v>
      </c>
      <c r="N82" s="43">
        <f>LN('2.ΤΙΜΕΣ ΚΛΕΙΣΙΜΑΤΟΣ'!N83/'2.ΤΙΜΕΣ ΚΛΕΙΣΙΜΑΤΟΣ'!N82)</f>
        <v>-2.8038711766186193E-3</v>
      </c>
      <c r="O82" s="43">
        <f>LN('2.ΤΙΜΕΣ ΚΛΕΙΣΙΜΑΤΟΣ'!O83/'2.ΤΙΜΕΣ ΚΛΕΙΣΙΜΑΤΟΣ'!O82)</f>
        <v>1.2594624920400458E-2</v>
      </c>
      <c r="P82" s="43">
        <f>LN('2.ΤΙΜΕΣ ΚΛΕΙΣΙΜΑΤΟΣ'!P83/'2.ΤΙΜΕΣ ΚΛΕΙΣΙΜΑΤΟΣ'!P82)</f>
        <v>6.0606246116909545E-3</v>
      </c>
      <c r="Q82" s="43">
        <f>LN('2.ΤΙΜΕΣ ΚΛΕΙΣΙΜΑΤΟΣ'!Q83/'2.ΤΙΜΕΣ ΚΛΕΙΣΙΜΑΤΟΣ'!Q82)</f>
        <v>2.8530689824064807E-3</v>
      </c>
      <c r="R82" s="43">
        <f>LN('2.ΤΙΜΕΣ ΚΛΕΙΣΙΜΑΤΟΣ'!R83/'2.ΤΙΜΕΣ ΚΛΕΙΣΙΜΑΤΟΣ'!R82)</f>
        <v>7.2437525804192342E-4</v>
      </c>
      <c r="S82" s="43">
        <f>LN('2.ΤΙΜΕΣ ΚΛΕΙΣΙΜΑΤΟΣ'!S83/'2.ΤΙΜΕΣ ΚΛΕΙΣΙΜΑΤΟΣ'!S82)</f>
        <v>1.1771631730148311E-3</v>
      </c>
      <c r="T82" s="43">
        <f>LN('2.ΤΙΜΕΣ ΚΛΕΙΣΙΜΑΤΟΣ'!T83/'2.ΤΙΜΕΣ ΚΛΕΙΣΙΜΑΤΟΣ'!T82)</f>
        <v>4.6948443042076635E-3</v>
      </c>
      <c r="U82" s="43">
        <f>LN('2.ΤΙΜΕΣ ΚΛΕΙΣΙΜΑΤΟΣ'!U83/'2.ΤΙΜΕΣ ΚΛΕΙΣΙΜΑΤΟΣ'!U82)</f>
        <v>2.2650066308520615E-3</v>
      </c>
      <c r="V82" s="43">
        <f>LN('2.ΤΙΜΕΣ ΚΛΕΙΣΙΜΑΤΟΣ'!V83/'2.ΤΙΜΕΣ ΚΛΕΙΣΙΜΑΤΟΣ'!V82)</f>
        <v>2.521141934649607E-2</v>
      </c>
      <c r="W82" s="43">
        <f>LN('2.ΤΙΜΕΣ ΚΛΕΙΣΙΜΑΤΟΣ'!W83/'2.ΤΙΜΕΣ ΚΛΕΙΣΙΜΑΤΟΣ'!W82)</f>
        <v>-1.0969031370573933E-2</v>
      </c>
      <c r="X82" s="43">
        <f>LN('2.ΤΙΜΕΣ ΚΛΕΙΣΙΜΑΤΟΣ'!X83/'2.ΤΙΜΕΣ ΚΛΕΙΣΙΜΑΤΟΣ'!X82)</f>
        <v>2.8305138740740202E-2</v>
      </c>
      <c r="Y82" s="43">
        <f>LN('2.ΤΙΜΕΣ ΚΛΕΙΣΙΜΑΤΟΣ'!Y83/'2.ΤΙΜΕΣ ΚΛΕΙΣΙΜΑΤΟΣ'!Y82)</f>
        <v>-4.0080213975387108E-3</v>
      </c>
      <c r="Z82" s="43">
        <f>LN('2.ΤΙΜΕΣ ΚΛΕΙΣΙΜΑΤΟΣ'!Z83/'2.ΤΙΜΕΣ ΚΛΕΙΣΙΜΑΤΟΣ'!Z82)</f>
        <v>0</v>
      </c>
      <c r="AA82" s="43">
        <f>LN('2.ΤΙΜΕΣ ΚΛΕΙΣΙΜΑΤΟΣ'!AA83/'2.ΤΙΜΕΣ ΚΛΕΙΣΙΜΑΤΟΣ'!AA82)</f>
        <v>-3.3613477027047717E-3</v>
      </c>
      <c r="AB82" s="43">
        <f>LN('2.ΤΙΜΕΣ ΚΛΕΙΣΙΜΑΤΟΣ'!AB83/'2.ΤΙΜΕΣ ΚΛΕΙΣΙΜΑΤΟΣ'!AB82)</f>
        <v>-1.4035318116383481E-2</v>
      </c>
      <c r="AC82" s="43">
        <f>LN('2.ΤΙΜΕΣ ΚΛΕΙΣΙΜΑΤΟΣ'!AC83/'2.ΤΙΜΕΣ ΚΛΕΙΣΙΜΑΤΟΣ'!AC82)</f>
        <v>-7.0175726586465346E-3</v>
      </c>
      <c r="AD82" s="43">
        <f>LN('2.ΤΙΜΕΣ ΚΛΕΙΣΙΜΑΤΟΣ'!AD83/'2.ΤΙΜΕΣ ΚΛΕΙΣΙΜΑΤΟΣ'!AD82)</f>
        <v>-1.8111749943046169E-2</v>
      </c>
      <c r="AE82" s="43">
        <f>LN('2.ΤΙΜΕΣ ΚΛΕΙΣΙΜΑΤΟΣ'!AE83/'2.ΤΙΜΕΣ ΚΛΕΙΣΙΜΑΤΟΣ'!AE82)</f>
        <v>-1.0929070532190206E-2</v>
      </c>
      <c r="AF82" s="43">
        <f>LN('2.ΤΙΜΕΣ ΚΛΕΙΣΙΜΑΤΟΣ'!AF83/'2.ΤΙΜΕΣ ΚΛΕΙΣΙΜΑΤΟΣ'!AF82)</f>
        <v>-2.3282897595910735E-3</v>
      </c>
      <c r="AG82" s="43">
        <f>LN('2.ΤΙΜΕΣ ΚΛΕΙΣΙΜΑΤΟΣ'!AG83/'2.ΤΙΜΕΣ ΚΛΕΙΣΙΜΑΤΟΣ'!AG82)</f>
        <v>-1.1919092237210311E-2</v>
      </c>
      <c r="AH82" s="43">
        <f>LN('2.ΤΙΜΕΣ ΚΛΕΙΣΙΜΑΤΟΣ'!AH83/'2.ΤΙΜΕΣ ΚΛΕΙΣΙΜΑΤΟΣ'!AH82)</f>
        <v>8.9833188851915283E-3</v>
      </c>
      <c r="AI82" s="43">
        <f>LN('2.ΤΙΜΕΣ ΚΛΕΙΣΙΜΑΤΟΣ'!AI83/'2.ΤΙΜΕΣ ΚΛΕΙΣΙΜΑΤΟΣ'!AI82)</f>
        <v>8.0972102326193028E-3</v>
      </c>
      <c r="AJ82" s="43">
        <f>LN('2.ΤΙΜΕΣ ΚΛΕΙΣΙΜΑΤΟΣ'!AJ83/'2.ΤΙΜΕΣ ΚΛΕΙΣΙΜΑΤΟΣ'!AJ82)</f>
        <v>-1.2170535620255066E-2</v>
      </c>
      <c r="AK82" s="43">
        <f>LN('2.ΤΙΜΕΣ ΚΛΕΙΣΙΜΑΤΟΣ'!AK83/'2.ΤΙΜΕΣ ΚΛΕΙΣΙΜΑΤΟΣ'!AK82)</f>
        <v>-8.3682496705165792E-3</v>
      </c>
      <c r="AL82" s="43">
        <f>LN('2.ΤΙΜΕΣ ΚΛΕΙΣΙΜΑΤΟΣ'!AL83/'2.ΤΙΜΕΣ ΚΛΕΙΣΙΜΑΤΟΣ'!AL82)</f>
        <v>7.0671672230923528E-3</v>
      </c>
      <c r="AM82" s="43">
        <f>LN('2.ΤΙΜΕΣ ΚΛΕΙΣΙΜΑΤΟΣ'!AM83/'2.ΤΙΜΕΣ ΚΛΕΙΣΙΜΑΤΟΣ'!AM82)</f>
        <v>1.9231361927887592E-2</v>
      </c>
      <c r="AN82" s="43">
        <f>LN('2.ΤΙΜΕΣ ΚΛΕΙΣΙΜΑΤΟΣ'!AN83/'2.ΤΙΜΕΣ ΚΛΕΙΣΙΜΑΤΟΣ'!AN82)</f>
        <v>3.7337670437644098E-2</v>
      </c>
      <c r="AO82" s="43">
        <f>LN('2.ΤΙΜΕΣ ΚΛΕΙΣΙΜΑΤΟΣ'!AO83/'2.ΤΙΜΕΣ ΚΛΕΙΣΙΜΑΤΟΣ'!AO82)</f>
        <v>5.2770571008438193E-3</v>
      </c>
      <c r="AP82" s="43">
        <f>LN('2.ΤΙΜΕΣ ΚΛΕΙΣΙΜΑΤΟΣ'!AP83/'2.ΤΙΜΕΣ ΚΛΕΙΣΙΜΑΤΟΣ'!AP82)</f>
        <v>-7.947061692531945E-3</v>
      </c>
      <c r="AQ82" s="43">
        <f>LN('2.ΤΙΜΕΣ ΚΛΕΙΣΙΜΑΤΟΣ'!AQ83/'2.ΤΙΜΕΣ ΚΛΕΙΣΙΜΑΤΟΣ'!AQ82)</f>
        <v>1.7212128881121426E-2</v>
      </c>
      <c r="AR82" s="43">
        <f>LN('2.ΤΙΜΕΣ ΚΛΕΙΣΙΜΑΤΟΣ'!AR83/'2.ΤΙΜΕΣ ΚΛΕΙΣΙΜΑΤΟΣ'!AR82)</f>
        <v>-5.7471422555679594E-3</v>
      </c>
      <c r="AS82" s="43">
        <f>LN('2.ΤΙΜΕΣ ΚΛΕΙΣΙΜΑΤΟΣ'!AS83/'2.ΤΙΜΕΣ ΚΛΕΙΣΙΜΑΤΟΣ'!AS82)</f>
        <v>-2.1622464013165657E-2</v>
      </c>
      <c r="AT82" s="43">
        <f>LN('2.ΤΙΜΕΣ ΚΛΕΙΣΙΜΑΤΟΣ'!AT83/'2.ΤΙΜΕΣ ΚΛΕΙΣΙΜΑΤΟΣ'!AT82)</f>
        <v>1.1450506787995505E-2</v>
      </c>
      <c r="AU82" s="43">
        <f>LN('2.ΤΙΜΕΣ ΚΛΕΙΣΙΜΑΤΟΣ'!AU83/'2.ΤΙΜΕΣ ΚΛΕΙΣΙΜΑΤΟΣ'!AU82)</f>
        <v>5.3020065781536506E-3</v>
      </c>
    </row>
    <row r="83" spans="1:47">
      <c r="A83" s="41">
        <v>43675</v>
      </c>
      <c r="B83" s="43">
        <f>LN('2.ΤΙΜΕΣ ΚΛΕΙΣΙΜΑΤΟΣ'!B84/'2.ΤΙΜΕΣ ΚΛΕΙΣΙΜΑΤΟΣ'!B83)</f>
        <v>2.5332502464336074E-3</v>
      </c>
      <c r="C83" s="43">
        <f>LN('2.ΤΙΜΕΣ ΚΛΕΙΣΙΜΑΤΟΣ'!C84/'2.ΤΙΜΕΣ ΚΛΕΙΣΙΜΑΤΟΣ'!C83)</f>
        <v>0</v>
      </c>
      <c r="D83" s="43">
        <f>LN('2.ΤΙΜΕΣ ΚΛΕΙΣΙΜΑΤΟΣ'!D84/'2.ΤΙΜΕΣ ΚΛΕΙΣΙΜΑΤΟΣ'!D83)</f>
        <v>-1.3684115397812006E-2</v>
      </c>
      <c r="E83" s="43">
        <f>LN('2.ΤΙΜΕΣ ΚΛΕΙΣΙΜΑΤΟΣ'!E84/'2.ΤΙΜΕΣ ΚΛΕΙΣΙΜΑΤΟΣ'!E83)</f>
        <v>-2.2284131784261162E-3</v>
      </c>
      <c r="F83" s="43">
        <f>LN('2.ΤΙΜΕΣ ΚΛΕΙΣΙΜΑΤΟΣ'!F84/'2.ΤΙΜΕΣ ΚΛΕΙΣΙΜΑΤΟΣ'!F83)</f>
        <v>4.1972779353401371E-3</v>
      </c>
      <c r="G83" s="43">
        <f>LN('2.ΤΙΜΕΣ ΚΛΕΙΣΙΜΑΤΟΣ'!G84/'2.ΤΙΜΕΣ ΚΛΕΙΣΙΜΑΤΟΣ'!G83)</f>
        <v>1.6055390753297778E-2</v>
      </c>
      <c r="H83" s="43">
        <f>LN('2.ΤΙΜΕΣ ΚΛΕΙΣΙΜΑΤΟΣ'!H84/'2.ΤΙΜΕΣ ΚΛΕΙΣΙΜΑΤΟΣ'!H83)</f>
        <v>1.5971945566052186E-2</v>
      </c>
      <c r="I83" s="43">
        <f>LN('2.ΤΙΜΕΣ ΚΛΕΙΣΙΜΑΤΟΣ'!I84/'2.ΤΙΜΕΣ ΚΛΕΙΣΙΜΑΤΟΣ'!I83)</f>
        <v>3.5718082602079246E-2</v>
      </c>
      <c r="J83" s="43">
        <f>LN('2.ΤΙΜΕΣ ΚΛΕΙΣΙΜΑΤΟΣ'!J84/'2.ΤΙΜΕΣ ΚΛΕΙΣΙΜΑΤΟΣ'!J83)</f>
        <v>4.0497792863986963E-2</v>
      </c>
      <c r="K83" s="43">
        <f>LN('2.ΤΙΜΕΣ ΚΛΕΙΣΙΜΑΤΟΣ'!K84/'2.ΤΙΜΕΣ ΚΛΕΙΣΙΜΑΤΟΣ'!K83)</f>
        <v>-2.2908100746356738E-2</v>
      </c>
      <c r="L83" s="43">
        <f>LN('2.ΤΙΜΕΣ ΚΛΕΙΣΙΜΑΤΟΣ'!L84/'2.ΤΙΜΕΣ ΚΛΕΙΣΙΜΑΤΟΣ'!L83)</f>
        <v>4.4623010233986859E-3</v>
      </c>
      <c r="M83" s="43">
        <f>LN('2.ΤΙΜΕΣ ΚΛΕΙΣΙΜΑΤΟΣ'!M84/'2.ΤΙΜΕΣ ΚΛΕΙΣΙΜΑΤΟΣ'!M83)</f>
        <v>0</v>
      </c>
      <c r="N83" s="43">
        <f>LN('2.ΤΙΜΕΣ ΚΛΕΙΣΙΜΑΤΟΣ'!N84/'2.ΤΙΜΕΣ ΚΛΕΙΣΙΜΑΤΟΣ'!N83)</f>
        <v>-2.8117549805438988E-3</v>
      </c>
      <c r="O83" s="43">
        <f>LN('2.ΤΙΜΕΣ ΚΛΕΙΣΙΜΑΤΟΣ'!O84/'2.ΤΙΜΕΣ ΚΛΕΙΣΙΜΑΤΟΣ'!O83)</f>
        <v>9.962722503674068E-3</v>
      </c>
      <c r="P83" s="43">
        <f>LN('2.ΤΙΜΕΣ ΚΛΕΙΣΙΜΑΤΟΣ'!P84/'2.ΤΙΜΕΣ ΚΛΕΙΣΙΜΑΤΟΣ'!P83)</f>
        <v>-6.0606246116910699E-3</v>
      </c>
      <c r="Q83" s="43">
        <f>LN('2.ΤΙΜΕΣ ΚΛΕΙΣΙΜΑΤΟΣ'!Q84/'2.ΤΙΜΕΣ ΚΛΕΙΣΙΜΑΤΟΣ'!Q83)</f>
        <v>2.8784015960776149E-2</v>
      </c>
      <c r="R83" s="43">
        <f>LN('2.ΤΙΜΕΣ ΚΛΕΙΣΙΜΑΤΟΣ'!R84/'2.ΤΙΜΕΣ ΚΛΕΙΣΙΜΑΤΟΣ'!R83)</f>
        <v>-1.5323174679194329E-2</v>
      </c>
      <c r="S83" s="43">
        <f>LN('2.ΤΙΜΕΣ ΚΛΕΙΣΙΜΑΤΟΣ'!S84/'2.ΤΙΜΕΣ ΚΛΕΙΣΙΜΑΤΟΣ'!S83)</f>
        <v>0</v>
      </c>
      <c r="T83" s="43">
        <f>LN('2.ΤΙΜΕΣ ΚΛΕΙΣΙΜΑΤΟΣ'!T84/'2.ΤΙΜΕΣ ΚΛΕΙΣΙΜΑΤΟΣ'!T83)</f>
        <v>-4.6948443042076184E-3</v>
      </c>
      <c r="U83" s="43">
        <f>LN('2.ΤΙΜΕΣ ΚΛΕΙΣΙΜΑΤΟΣ'!U84/'2.ΤΙΜΕΣ ΚΛΕΙΣΙΜΑΤΟΣ'!U83)</f>
        <v>-4.5351551653911512E-3</v>
      </c>
      <c r="V83" s="43">
        <f>LN('2.ΤΙΜΕΣ ΚΛΕΙΣΙΜΑΤΟΣ'!V84/'2.ΤΙΜΕΣ ΚΛΕΙΣΙΜΑΤΟΣ'!V83)</f>
        <v>-6.2435166396851592E-3</v>
      </c>
      <c r="W83" s="43">
        <f>LN('2.ΤΙΜΕΣ ΚΛΕΙΣΙΜΑΤΟΣ'!W84/'2.ΤΙΜΕΣ ΚΛΕΙΣΙΜΑΤΟΣ'!W83)</f>
        <v>0</v>
      </c>
      <c r="X83" s="43">
        <f>LN('2.ΤΙΜΕΣ ΚΛΕΙΣΙΜΑΤΟΣ'!X84/'2.ΤΙΜΕΣ ΚΛΕΙΣΙΜΑΤΟΣ'!X83)</f>
        <v>0</v>
      </c>
      <c r="Y83" s="43">
        <f>LN('2.ΤΙΜΕΣ ΚΛΕΙΣΙΜΑΤΟΣ'!Y84/'2.ΤΙΜΕΣ ΚΛΕΙΣΙΜΑΤΟΣ'!Y83)</f>
        <v>-4.0241502997254907E-3</v>
      </c>
      <c r="Z83" s="43">
        <f>LN('2.ΤΙΜΕΣ ΚΛΕΙΣΙΜΑΤΟΣ'!Z84/'2.ΤΙΜΕΣ ΚΛΕΙΣΙΜΑΤΟΣ'!Z83)</f>
        <v>-3.350086885281863E-3</v>
      </c>
      <c r="AA83" s="43">
        <f>LN('2.ΤΙΜΕΣ ΚΛΕΙΣΙΜΑΤΟΣ'!AA84/'2.ΤΙΜΕΣ ΚΛΕΙΣΙΜΑΤΟΣ'!AA83)</f>
        <v>-3.3726844786393416E-3</v>
      </c>
      <c r="AB83" s="43">
        <f>LN('2.ΤΙΜΕΣ ΚΛΕΙΣΙΜΑΤΟΣ'!AB84/'2.ΤΙΜΕΣ ΚΛΕΙΣΙΜΑΤΟΣ'!AB83)</f>
        <v>0</v>
      </c>
      <c r="AC83" s="43">
        <f>LN('2.ΤΙΜΕΣ ΚΛΕΙΣΙΜΑΤΟΣ'!AC84/'2.ΤΙΜΕΣ ΚΛΕΙΣΙΜΑΤΟΣ'!AC83)</f>
        <v>0</v>
      </c>
      <c r="AD83" s="43">
        <f>LN('2.ΤΙΜΕΣ ΚΛΕΙΣΙΜΑΤΟΣ'!AD84/'2.ΤΙΜΕΣ ΚΛΕΙΣΙΜΑΤΟΣ'!AD83)</f>
        <v>9.0968788468306517E-3</v>
      </c>
      <c r="AE83" s="43">
        <f>LN('2.ΤΙΜΕΣ ΚΛΕΙΣΙΜΑΤΟΣ'!AE84/'2.ΤΙΜΕΣ ΚΛΕΙΣΙΜΑΤΟΣ'!AE83)</f>
        <v>-2.5975486403260563E-2</v>
      </c>
      <c r="AF83" s="43">
        <f>LN('2.ΤΙΜΕΣ ΚΛΕΙΣΙΜΑΤΟΣ'!AF84/'2.ΤΙΜΕΣ ΚΛΕΙΣΙΜΑΤΟΣ'!AF83)</f>
        <v>-2.8370697129215576E-2</v>
      </c>
      <c r="AG83" s="43">
        <f>LN('2.ΤΙΜΕΣ ΚΛΕΙΣΙΜΑΤΟΣ'!AG84/'2.ΤΙΜΕΣ ΚΛΕΙΣΙΜΑΤΟΣ'!AG83)</f>
        <v>0.11109941232684457</v>
      </c>
      <c r="AH83" s="43">
        <f>LN('2.ΤΙΜΕΣ ΚΛΕΙΣΙΜΑΤΟΣ'!AH84/'2.ΤΙΜΕΣ ΚΛΕΙΣΙΜΑΤΟΣ'!AH83)</f>
        <v>-4.0733253876357864E-3</v>
      </c>
      <c r="AI83" s="43">
        <f>LN('2.ΤΙΜΕΣ ΚΛΕΙΣΙΜΑΤΟΣ'!AI84/'2.ΤΙΜΕΣ ΚΛΕΙΣΙΜΑΤΟΣ'!AI83)</f>
        <v>0</v>
      </c>
      <c r="AJ83" s="43">
        <f>LN('2.ΤΙΜΕΣ ΚΛΕΙΣΙΜΑΤΟΣ'!AJ84/'2.ΤΙΜΕΣ ΚΛΕΙΣΙΜΑΤΟΣ'!AJ83)</f>
        <v>0</v>
      </c>
      <c r="AK83" s="43">
        <f>LN('2.ΤΙΜΕΣ ΚΛΕΙΣΙΜΑΤΟΣ'!AK84/'2.ΤΙΜΕΣ ΚΛΕΙΣΙΜΑΤΟΣ'!AK83)</f>
        <v>-1.2685159527315687E-2</v>
      </c>
      <c r="AL83" s="43">
        <f>LN('2.ΤΙΜΕΣ ΚΛΕΙΣΙΜΑΤΟΣ'!AL84/'2.ΤΙΜΕΣ ΚΛΕΙΣΙΜΑΤΟΣ'!AL83)</f>
        <v>0</v>
      </c>
      <c r="AM83" s="43">
        <f>LN('2.ΤΙΜΕΣ ΚΛΕΙΣΙΜΑΤΟΣ'!AM84/'2.ΤΙΜΕΣ ΚΛΕΙΣΙΜΑΤΟΣ'!AM83)</f>
        <v>-7.1684894786126279E-3</v>
      </c>
      <c r="AN83" s="43">
        <f>LN('2.ΤΙΜΕΣ ΚΛΕΙΣΙΜΑΤΟΣ'!AN84/'2.ΤΙΜΕΣ ΚΛΕΙΣΙΜΑΤΟΣ'!AN83)</f>
        <v>6.2573240452617418E-2</v>
      </c>
      <c r="AO83" s="43">
        <f>LN('2.ΤΙΜΕΣ ΚΛΕΙΣΙΜΑΤΟΣ'!AO84/'2.ΤΙΜΕΣ ΚΛΕΙΣΙΜΑΤΟΣ'!AO83)</f>
        <v>0</v>
      </c>
      <c r="AP83" s="43">
        <f>LN('2.ΤΙΜΕΣ ΚΛΕΙΣΙΜΑΤΟΣ'!AP84/'2.ΤΙΜΕΣ ΚΛΕΙΣΙΜΑΤΟΣ'!AP83)</f>
        <v>5.3050522296930981E-3</v>
      </c>
      <c r="AQ83" s="43">
        <f>LN('2.ΤΙΜΕΣ ΚΛΕΙΣΙΜΑΤΟΣ'!AQ84/'2.ΤΙΜΕΣ ΚΛΕΙΣΙΜΑΤΟΣ'!AQ83)</f>
        <v>6.8027473227526203E-3</v>
      </c>
      <c r="AR83" s="43">
        <f>LN('2.ΤΙΜΕΣ ΚΛΕΙΣΙΜΑΤΟΣ'!AR84/'2.ΤΙΜΕΣ ΚΛΕΙΣΙΜΑΤΟΣ'!AR83)</f>
        <v>-3.6687900378576013E-2</v>
      </c>
      <c r="AS83" s="43">
        <f>LN('2.ΤΙΜΕΣ ΚΛΕΙΣΙΜΑΤΟΣ'!AS84/'2.ΤΙΜΕΣ ΚΛΕΙΣΙΜΑΤΟΣ'!AS83)</f>
        <v>0</v>
      </c>
      <c r="AT83" s="43">
        <f>LN('2.ΤΙΜΕΣ ΚΛΕΙΣΙΜΑΤΟΣ'!AT84/'2.ΤΙΜΕΣ ΚΛΕΙΣΙΜΑΤΟΣ'!AT83)</f>
        <v>-1.1450506787995378E-2</v>
      </c>
      <c r="AU83" s="43">
        <f>LN('2.ΤΙΜΕΣ ΚΛΕΙΣΙΜΑΤΟΣ'!AU84/'2.ΤΙΜΕΣ ΚΛΕΙΣΙΜΑΤΟΣ'!AU83)</f>
        <v>4.8607395757710708E-3</v>
      </c>
    </row>
    <row r="84" spans="1:47">
      <c r="A84" s="41">
        <v>43676</v>
      </c>
      <c r="B84" s="43">
        <f>LN('2.ΤΙΜΕΣ ΚΛΕΙΣΙΜΑΤΟΣ'!B85/'2.ΤΙΜΕΣ ΚΛΕΙΣΙΜΑΤΟΣ'!B84)</f>
        <v>3.1620553623144804E-4</v>
      </c>
      <c r="C84" s="43">
        <f>LN('2.ΤΙΜΕΣ ΚΛΕΙΣΙΜΑΤΟΣ'!C85/'2.ΤΙΜΕΣ ΚΛΕΙΣΙΜΑΤΟΣ'!C84)</f>
        <v>-1.1317824932661461E-2</v>
      </c>
      <c r="D84" s="43">
        <f>LN('2.ΤΙΜΕΣ ΚΛΕΙΣΙΜΑΤΟΣ'!D85/'2.ΤΙΜΕΣ ΚΛΕΙΣΙΜΑΤΟΣ'!D84)</f>
        <v>-4.9329223944822699E-3</v>
      </c>
      <c r="E84" s="43">
        <f>LN('2.ΤΙΜΕΣ ΚΛΕΙΣΙΜΑΤΟΣ'!E85/'2.ΤΙΜΕΣ ΚΛΕΙΣΙΜΑΤΟΣ'!E84)</f>
        <v>-2.792517871673522E-3</v>
      </c>
      <c r="F84" s="43">
        <f>LN('2.ΤΙΜΕΣ ΚΛΕΙΣΙΜΑΤΟΣ'!F85/'2.ΤΙΜΕΣ ΚΛΕΙΣΙΜΑΤΟΣ'!F84)</f>
        <v>-1.264505784727281E-2</v>
      </c>
      <c r="G84" s="43">
        <f>LN('2.ΤΙΜΕΣ ΚΛΕΙΣΙΜΑΤΟΣ'!G85/'2.ΤΙΜΕΣ ΚΛΕΙΣΙΜΑΤΟΣ'!G84)</f>
        <v>-4.5610113275625624E-3</v>
      </c>
      <c r="H84" s="43">
        <f>LN('2.ΤΙΜΕΣ ΚΛΕΙΣΙΜΑΤΟΣ'!H85/'2.ΤΙΜΕΣ ΚΛΕΙΣΙΜΑΤΟΣ'!H84)</f>
        <v>-2.3153304974716866E-2</v>
      </c>
      <c r="I84" s="43">
        <f>LN('2.ΤΙΜΕΣ ΚΛΕΙΣΙΜΑΤΟΣ'!I85/'2.ΤΙΜΕΣ ΚΛΕΙΣΙΜΑΤΟΣ'!I84)</f>
        <v>2.9197101033348462E-3</v>
      </c>
      <c r="J84" s="43">
        <f>LN('2.ΤΙΜΕΣ ΚΛΕΙΣΙΜΑΤΟΣ'!J85/'2.ΤΙΜΕΣ ΚΛΕΙΣΙΜΑΤΟΣ'!J84)</f>
        <v>2.7200327630995708E-3</v>
      </c>
      <c r="K84" s="43">
        <f>LN('2.ΤΙΜΕΣ ΚΛΕΙΣΙΜΑΤΟΣ'!K85/'2.ΤΙΜΕΣ ΚΛΕΙΣΙΜΑΤΟΣ'!K84)</f>
        <v>-1.2730414701002012E-2</v>
      </c>
      <c r="L84" s="43">
        <f>LN('2.ΤΙΜΕΣ ΚΛΕΙΣΙΜΑΤΟΣ'!L85/'2.ΤΙΜΕΣ ΚΛΕΙΣΙΜΑΤΟΣ'!L84)</f>
        <v>-1.7969935484940809E-2</v>
      </c>
      <c r="M84" s="43">
        <f>LN('2.ΤΙΜΕΣ ΚΛΕΙΣΙΜΑΤΟΣ'!M85/'2.ΤΙΜΕΣ ΚΛΕΙΣΙΜΑΤΟΣ'!M84)</f>
        <v>-7.0743094425371536E-3</v>
      </c>
      <c r="N84" s="43">
        <f>LN('2.ΤΙΜΕΣ ΚΛΕΙΣΙΜΑΤΟΣ'!N85/'2.ΤΙΜΕΣ ΚΛΕΙΣΙΜΑΤΟΣ'!N84)</f>
        <v>2.8117549805439018E-3</v>
      </c>
      <c r="O84" s="43">
        <f>LN('2.ΤΙΜΕΣ ΚΛΕΙΣΙΜΑΤΟΣ'!O85/'2.ΤΙΜΕΣ ΚΛΕΙΣΙΜΑΤΟΣ'!O84)</f>
        <v>-2.4813908513853979E-3</v>
      </c>
      <c r="P84" s="43">
        <f>LN('2.ΤΙΜΕΣ ΚΛΕΙΣΙΜΑΤΟΣ'!P85/'2.ΤΙΜΕΣ ΚΛΕΙΣΙΜΑΤΟΣ'!P84)</f>
        <v>-1.5314234973042481E-2</v>
      </c>
      <c r="Q84" s="43">
        <f>LN('2.ΤΙΜΕΣ ΚΛΕΙΣΙΜΑΤΟΣ'!Q85/'2.ΤΙΜΕΣ ΚΛΕΙΣΙΜΑΤΟΣ'!Q84)</f>
        <v>4.1436523376553744E-3</v>
      </c>
      <c r="R84" s="43">
        <f>LN('2.ΤΙΜΕΣ ΚΛΕΙΣΙΜΑΤΟΣ'!R85/'2.ΤΙΜΕΣ ΚΛΕΙΣΙΜΑΤΟΣ'!R84)</f>
        <v>-2.6072240309775244E-2</v>
      </c>
      <c r="S84" s="43">
        <f>LN('2.ΤΙΜΕΣ ΚΛΕΙΣΙΜΑΤΟΣ'!S85/'2.ΤΙΜΕΣ ΚΛΕΙΣΙΜΑΤΟΣ'!S84)</f>
        <v>1.1696039763191236E-2</v>
      </c>
      <c r="T84" s="43">
        <f>LN('2.ΤΙΜΕΣ ΚΛΕΙΣΙΜΑΤΟΣ'!T85/'2.ΤΙΜΕΣ ΚΛΕΙΣΙΜΑΤΟΣ'!T84)</f>
        <v>-9.4563352420354001E-3</v>
      </c>
      <c r="U84" s="43">
        <f>LN('2.ΤΙΜΕΣ ΚΛΕΙΣΙΜΑΤΟΣ'!U85/'2.ΤΙΜΕΣ ΚΛΕΙΣΙΜΑΤΟΣ'!U84)</f>
        <v>2.0248160829947494E-2</v>
      </c>
      <c r="V84" s="43">
        <f>LN('2.ΤΙΜΕΣ ΚΛΕΙΣΙΜΑΤΟΣ'!V85/'2.ΤΙΜΕΣ ΚΛΕΙΣΙΜΑΤΟΣ'!V84)</f>
        <v>-1.4721611825359738E-2</v>
      </c>
      <c r="W84" s="43">
        <f>LN('2.ΤΙΜΕΣ ΚΛΕΙΣΙΜΑΤΟΣ'!W85/'2.ΤΙΜΕΣ ΚΛΕΙΣΙΜΑΤΟΣ'!W84)</f>
        <v>-4.9140148024291522E-3</v>
      </c>
      <c r="X84" s="43">
        <f>LN('2.ΤΙΜΕΣ ΚΛΕΙΣΙΜΑΤΟΣ'!X85/'2.ΤΙΜΕΣ ΚΛΕΙΣΙΜΑΤΟΣ'!X84)</f>
        <v>1.6662345390089584E-2</v>
      </c>
      <c r="Y84" s="43">
        <f>LN('2.ΤΙΜΕΣ ΚΛΕΙΣΙΜΑΤΟΣ'!Y85/'2.ΤΙΜΕΣ ΚΛΕΙΣΙΜΑΤΟΣ'!Y84)</f>
        <v>-8.0972102326193618E-3</v>
      </c>
      <c r="Z84" s="43">
        <f>LN('2.ΤΙΜΕΣ ΚΛΕΙΣΙΜΑΤΟΣ'!Z85/'2.ΤΙΜΕΣ ΚΛΕΙΣΙΜΑΤΟΣ'!Z84)</f>
        <v>6.6889881507964889E-3</v>
      </c>
      <c r="AA84" s="43">
        <f>LN('2.ΤΙΜΕΣ ΚΛΕΙΣΙΜΑΤΟΣ'!AA85/'2.ΤΙΜΕΣ ΚΛΕΙΣΙΜΑΤΟΣ'!AA84)</f>
        <v>-3.3840979842404569E-3</v>
      </c>
      <c r="AB84" s="43">
        <f>LN('2.ΤΙΜΕΣ ΚΛΕΙΣΙΜΑΤΟΣ'!AB85/'2.ΤΙΜΕΣ ΚΛΕΙΣΙΜΑΤΟΣ'!AB84)</f>
        <v>1.0544913176614819E-2</v>
      </c>
      <c r="AC84" s="43">
        <f>LN('2.ΤΙΜΕΣ ΚΛΕΙΣΙΜΑΤΟΣ'!AC85/'2.ΤΙΜΕΣ ΚΛΕΙΣΙΜΑΤΟΣ'!AC84)</f>
        <v>4.2164503789348254E-3</v>
      </c>
      <c r="AD84" s="43">
        <f>LN('2.ΤΙΜΕΣ ΚΛΕΙΣΙΜΑΤΟΣ'!AD85/'2.ΤΙΜΕΣ ΚΛΕΙΣΙΜΑΤΟΣ'!AD84)</f>
        <v>-2.7542724637582165E-2</v>
      </c>
      <c r="AE84" s="43">
        <f>LN('2.ΤΙΜΕΣ ΚΛΕΙΣΙΜΑΤΟΣ'!AE85/'2.ΤΙΜΕΣ ΚΛΕΙΣΙΜΑΤΟΣ'!AE84)</f>
        <v>-2.2814677766171399E-2</v>
      </c>
      <c r="AF84" s="43">
        <f>LN('2.ΤΙΜΕΣ ΚΛΕΙΣΙΜΑΤΟΣ'!AF85/'2.ΤΙΜΕΣ ΚΛΕΙΣΙΜΑΤΟΣ'!AF84)</f>
        <v>7.168489478612497E-3</v>
      </c>
      <c r="AG84" s="43">
        <f>LN('2.ΤΙΜΕΣ ΚΛΕΙΣΙΜΑΤΟΣ'!AG85/'2.ΤΙΜΕΣ ΚΛΕΙΣΙΜΑΤΟΣ'!AG84)</f>
        <v>2.9600469776290682E-2</v>
      </c>
      <c r="AH84" s="43">
        <f>LN('2.ΤΙΜΕΣ ΚΛΕΙΣΙΜΑΤΟΣ'!AH85/'2.ΤΙΜΕΣ ΚΛΕΙΣΙΜΑΤΟΣ'!AH84)</f>
        <v>0</v>
      </c>
      <c r="AI84" s="43">
        <f>LN('2.ΤΙΜΕΣ ΚΛΕΙΣΙΜΑΤΟΣ'!AI85/'2.ΤΙΜΕΣ ΚΛΕΙΣΙΜΑΤΟΣ'!AI84)</f>
        <v>1.600034134644112E-2</v>
      </c>
      <c r="AJ84" s="43">
        <f>LN('2.ΤΙΜΕΣ ΚΛΕΙΣΙΜΑΤΟΣ'!AJ85/'2.ΤΙΜΕΣ ΚΛΕΙΣΙΜΑΤΟΣ'!AJ84)</f>
        <v>-3.3198069409595861E-2</v>
      </c>
      <c r="AK84" s="43">
        <f>LN('2.ΤΙΜΕΣ ΚΛΕΙΣΙΜΑΤΟΣ'!AK85/'2.ΤΙΜΕΣ ΚΛΕΙΣΙΜΑΤΟΣ'!AK84)</f>
        <v>-4.3485111939738891E-2</v>
      </c>
      <c r="AL84" s="43">
        <f>LN('2.ΤΙΜΕΣ ΚΛΕΙΣΙΜΑΤΟΣ'!AL85/'2.ΤΙΜΕΣ ΚΛΕΙΣΙΜΑΤΟΣ'!AL84)</f>
        <v>-2.1353124470568832E-2</v>
      </c>
      <c r="AM84" s="43">
        <f>LN('2.ΤΙΜΕΣ ΚΛΕΙΣΙΜΑΤΟΣ'!AM85/'2.ΤΙΜΕΣ ΚΛΕΙΣΙΜΑΤΟΣ'!AM84)</f>
        <v>0</v>
      </c>
      <c r="AN84" s="43">
        <f>LN('2.ΤΙΜΕΣ ΚΛΕΙΣΙΜΑΤΟΣ'!AN85/'2.ΤΙΜΕΣ ΚΛΕΙΣΙΜΑΤΟΣ'!AN84)</f>
        <v>-4.8708200315445781E-2</v>
      </c>
      <c r="AO84" s="43">
        <f>LN('2.ΤΙΜΕΣ ΚΛΕΙΣΙΜΑΤΟΣ'!AO85/'2.ΤΙΜΕΣ ΚΛΕΙΣΙΜΑΤΟΣ'!AO84)</f>
        <v>0</v>
      </c>
      <c r="AP84" s="43">
        <f>LN('2.ΤΙΜΕΣ ΚΛΕΙΣΙΜΑΤΟΣ'!AP85/'2.ΤΙΜΕΣ ΚΛΕΙΣΙΜΑΤΟΣ'!AP84)</f>
        <v>-1.3315775975772062E-2</v>
      </c>
      <c r="AQ84" s="43">
        <f>LN('2.ΤΙΜΕΣ ΚΛΕΙΣΙΜΑΤΟΣ'!AQ85/'2.ΤΙΜΕΣ ΚΛΕΙΣΙΜΑΤΟΣ'!AQ84)</f>
        <v>-2.575249610241474E-2</v>
      </c>
      <c r="AR84" s="43">
        <f>LN('2.ΤΙΜΕΣ ΚΛΕΙΣΙΜΑΤΟΣ'!AR85/'2.ΤΙΜΕΣ ΚΛΕΙΣΙΜΑΤΟΣ'!AR84)</f>
        <v>1.6308738041923908E-2</v>
      </c>
      <c r="AS84" s="43">
        <f>LN('2.ΤΙΜΕΣ ΚΛΕΙΣΙΜΑΤΟΣ'!AS85/'2.ΤΙΜΕΣ ΚΛΕΙΣΙΜΑΤΟΣ'!AS84)</f>
        <v>-1.0989121575595206E-2</v>
      </c>
      <c r="AT84" s="43">
        <f>LN('2.ΤΙΜΕΣ ΚΛΕΙΣΙΜΑΤΟΣ'!AT85/'2.ΤΙΜΕΣ ΚΛΕΙΣΙΜΑΤΟΣ'!AT84)</f>
        <v>3.8314223115560888E-3</v>
      </c>
      <c r="AU84" s="43">
        <f>LN('2.ΤΙΜΕΣ ΚΛΕΙΣΙΜΑΤΟΣ'!AU85/'2.ΤΙΜΕΣ ΚΛΕΙΣΙΜΑΤΟΣ'!AU84)</f>
        <v>-5.8604532242473636E-3</v>
      </c>
    </row>
    <row r="85" spans="1:47">
      <c r="A85" s="41">
        <v>43677</v>
      </c>
      <c r="B85" s="43">
        <f>LN('2.ΤΙΜΕΣ ΚΛΕΙΣΙΜΑΤΟΣ'!B86/'2.ΤΙΜΕΣ ΚΛΕΙΣΙΜΑΤΟΣ'!B85)</f>
        <v>-1.0487939771449867E-2</v>
      </c>
      <c r="C85" s="43">
        <f>LN('2.ΤΙΜΕΣ ΚΛΕΙΣΙΜΑΤΟΣ'!C86/'2.ΤΙΜΕΣ ΚΛΕΙΣΙΜΑΤΟΣ'!C85)</f>
        <v>1.1317824932661437E-2</v>
      </c>
      <c r="D85" s="43">
        <f>LN('2.ΤΙΜΕΣ ΚΛΕΙΣΙΜΑΤΟΣ'!D86/'2.ΤΙΜΕΣ ΚΛΕΙΣΙΜΑΤΟΣ'!D85)</f>
        <v>5.9165935341970385E-3</v>
      </c>
      <c r="E85" s="43">
        <f>LN('2.ΤΙΜΕΣ ΚΛΕΙΣΙΜΑΤΟΣ'!E86/'2.ΤΙΜΕΣ ΚΛΕΙΣΙΜΑΤΟΣ'!E85)</f>
        <v>-1.2946986366062282E-2</v>
      </c>
      <c r="F85" s="43">
        <f>LN('2.ΤΙΜΕΣ ΚΛΕΙΣΙΜΑΤΟΣ'!F86/'2.ΤΙΜΕΣ ΚΛΕΙΣΙΜΑΤΟΣ'!F85)</f>
        <v>3.1762864184209584E-3</v>
      </c>
      <c r="G85" s="43">
        <f>LN('2.ΤΙΜΕΣ ΚΛΕΙΣΙΜΑΤΟΣ'!G86/'2.ΤΙΜΕΣ ΚΛΕΙΣΙΜΑΤΟΣ'!G85)</f>
        <v>6.833739578565117E-3</v>
      </c>
      <c r="H85" s="43">
        <f>LN('2.ΤΙΜΕΣ ΚΛΕΙΣΙΜΑΤΟΣ'!H86/'2.ΤΙΜΕΣ ΚΛΕΙΣΙΜΑΤΟΣ'!H85)</f>
        <v>8.9686699827603161E-3</v>
      </c>
      <c r="I85" s="43">
        <f>LN('2.ΤΙΜΕΣ ΚΛΕΙΣΙΜΑΤΟΣ'!I86/'2.ΤΙΜΕΣ ΚΛΕΙΣΙΜΑΤΟΣ'!I85)</f>
        <v>2.7603822797829861E-2</v>
      </c>
      <c r="J85" s="43">
        <f>LN('2.ΤΙΜΕΣ ΚΛΕΙΣΙΜΑΤΟΣ'!J86/'2.ΤΙΜΕΣ ΚΛΕΙΣΙΜΑΤΟΣ'!J85)</f>
        <v>2.7933708327902849E-2</v>
      </c>
      <c r="K85" s="43">
        <f>LN('2.ΤΙΜΕΣ ΚΛΕΙΣΙΜΑΤΟΣ'!K86/'2.ΤΙΜΕΣ ΚΛΕΙΣΙΜΑΤΟΣ'!K85)</f>
        <v>3.2825882665132476E-3</v>
      </c>
      <c r="L85" s="43">
        <f>LN('2.ΤΙΜΕΣ ΚΛΕΙΣΙΜΑΤΟΣ'!L86/'2.ΤΙΜΕΣ ΚΛΕΙΣΙΜΑΤΟΣ'!L85)</f>
        <v>-9.0702954064261494E-4</v>
      </c>
      <c r="M85" s="43">
        <f>LN('2.ΤΙΜΕΣ ΚΛΕΙΣΙΜΑΤΟΣ'!M86/'2.ΤΙΜΕΣ ΚΛΕΙΣΙΜΑΤΟΣ'!M85)</f>
        <v>-5.0838950372721729E-3</v>
      </c>
      <c r="N85" s="43">
        <f>LN('2.ΤΙΜΕΣ ΚΛΕΙΣΙΜΑΤΟΣ'!N86/'2.ΤΙΜΕΣ ΚΛΕΙΣΙΜΑΤΟΣ'!N85)</f>
        <v>-2.8117549805438988E-3</v>
      </c>
      <c r="O85" s="43">
        <f>LN('2.ΤΙΜΕΣ ΚΛΕΙΣΙΜΑΤΟΣ'!O86/'2.ΤΙΜΕΣ ΚΛΕΙΣΙΜΑΤΟΣ'!O85)</f>
        <v>2.6962417605127822E-2</v>
      </c>
      <c r="P85" s="43">
        <f>LN('2.ΤΙΜΕΣ ΚΛΕΙΣΙΜΑΤΟΣ'!P86/'2.ΤΙΜΕΣ ΚΛΕΙΣΙΜΑΤΟΣ'!P85)</f>
        <v>-9.3023926623135612E-3</v>
      </c>
      <c r="Q85" s="43">
        <f>LN('2.ΤΙΜΕΣ ΚΛΕΙΣΙΜΑΤΟΣ'!Q86/'2.ΤΙΜΕΣ ΚΛΕΙΣΙΜΑΤΟΣ'!Q85)</f>
        <v>6.6001957029104524E-2</v>
      </c>
      <c r="R85" s="43">
        <f>LN('2.ΤΙΜΕΣ ΚΛΕΙΣΙΜΑΤΟΣ'!R86/'2.ΤΙΜΕΣ ΚΛΕΙΣΙΜΑΤΟΣ'!R85)</f>
        <v>6.2177244951891364E-2</v>
      </c>
      <c r="S85" s="43">
        <f>LN('2.ΤΙΜΕΣ ΚΛΕΙΣΙΜΑΤΟΣ'!S86/'2.ΤΙΜΕΣ ΚΛΕΙΣΙΜΑΤΟΣ'!S85)</f>
        <v>8.1065875329884938E-3</v>
      </c>
      <c r="T85" s="43">
        <f>LN('2.ΤΙΜΕΣ ΚΛΕΙΣΙΜΑΤΟΣ'!T86/'2.ΤΙΜΕΣ ΚΛΕΙΣΙΜΑΤΟΣ'!T85)</f>
        <v>-2.3781224049673243E-3</v>
      </c>
      <c r="U85" s="43">
        <f>LN('2.ΤΙΜΕΣ ΚΛΕΙΣΙΜΑΤΟΣ'!U86/'2.ΤΙΜΕΣ ΚΛΕΙΣΙΜΑΤΟΣ'!U85)</f>
        <v>8.8692377407797902E-3</v>
      </c>
      <c r="V85" s="43">
        <f>LN('2.ΤΙΜΕΣ ΚΛΕΙΣΙΜΑΤΟΣ'!V86/'2.ΤΙΜΕΣ ΚΛΕΙΣΙΜΑΤΟΣ'!V85)</f>
        <v>4.9596941139371978E-2</v>
      </c>
      <c r="W85" s="43">
        <f>LN('2.ΤΙΜΕΣ ΚΛΕΙΣΙΜΑΤΟΣ'!W86/'2.ΤΙΜΕΣ ΚΛΕΙΣΙΜΑΤΟΣ'!W85)</f>
        <v>6.1387546983250624E-3</v>
      </c>
      <c r="X85" s="43">
        <f>LN('2.ΤΙΜΕΣ ΚΛΕΙΣΙΜΑΤΟΣ'!X86/'2.ΤΙΜΕΣ ΚΛΕΙΣΙΜΑΤΟΣ'!X85)</f>
        <v>0</v>
      </c>
      <c r="Y85" s="43">
        <f>LN('2.ΤΙΜΕΣ ΚΛΕΙΣΙΜΑΤΟΣ'!Y86/'2.ΤΙΜΕΣ ΚΛΕΙΣΙΜΑΤΟΣ'!Y85)</f>
        <v>7.088637277734536E-3</v>
      </c>
      <c r="Z85" s="43">
        <f>LN('2.ΤΙΜΕΣ ΚΛΕΙΣΙΜΑΤΟΣ'!Z86/'2.ΤΙΜΕΣ ΚΛΕΙΣΙΜΑΤΟΣ'!Z85)</f>
        <v>0</v>
      </c>
      <c r="AA85" s="43">
        <f>LN('2.ΤΙΜΕΣ ΚΛΕΙΣΙΜΑΤΟΣ'!AA86/'2.ΤΙΜΕΣ ΚΛΕΙΣΙΜΑΤΟΣ'!AA85)</f>
        <v>0</v>
      </c>
      <c r="AB85" s="43">
        <f>LN('2.ΤΙΜΕΣ ΚΛΕΙΣΙΜΑΤΟΣ'!AB86/'2.ΤΙΜΕΣ ΚΛΕΙΣΙΜΑΤΟΣ'!AB85)</f>
        <v>6.9686693160934355E-3</v>
      </c>
      <c r="AC85" s="43">
        <f>LN('2.ΤΙΜΕΣ ΚΛΕΙΣΙΜΑΤΟΣ'!AC86/'2.ΤΙΜΕΣ ΚΛΕΙΣΙΜΑΤΟΣ'!AC85)</f>
        <v>2.8011222797117733E-3</v>
      </c>
      <c r="AD85" s="43">
        <f>LN('2.ΤΙΜΕΣ ΚΛΕΙΣΙΜΑΤΟΣ'!AD86/'2.ΤΙΜΕΣ ΚΛΕΙΣΙΜΑΤΟΣ'!AD85)</f>
        <v>5.3050522296930981E-3</v>
      </c>
      <c r="AE85" s="43">
        <f>LN('2.ΤΙΜΕΣ ΚΛΕΙΣΙΜΑΤΟΣ'!AE86/'2.ΤΙΜΕΣ ΚΛΕΙΣΙΜΑΤΟΣ'!AE85)</f>
        <v>5.6089466651043578E-2</v>
      </c>
      <c r="AF85" s="43">
        <f>LN('2.ΤΙΜΕΣ ΚΛΕΙΣΙΜΑΤΟΣ'!AF86/'2.ΤΙΜΕΣ ΚΛΕΙΣΙΜΑΤΟΣ'!AF85)</f>
        <v>3.5091319811269978E-2</v>
      </c>
      <c r="AG85" s="43">
        <f>LN('2.ΤΙΜΕΣ ΚΛΕΙΣΙΜΑΤΟΣ'!AG86/'2.ΤΙΜΕΣ ΚΛΕΙΣΙΜΑΤΟΣ'!AG85)</f>
        <v>2.061928720273561E-2</v>
      </c>
      <c r="AH85" s="43">
        <f>LN('2.ΤΙΜΕΣ ΚΛΕΙΣΙΜΑΤΟΣ'!AH86/'2.ΤΙΜΕΣ ΚΛΕΙΣΙΜΑΤΟΣ'!AH85)</f>
        <v>-1.6339872916550239E-3</v>
      </c>
      <c r="AI85" s="43">
        <f>LN('2.ΤΙΜΕΣ ΚΛΕΙΣΙΜΑΤΟΣ'!AI86/'2.ΤΙΜΕΣ ΚΛΕΙΣΙΜΑΤΟΣ'!AI85)</f>
        <v>0</v>
      </c>
      <c r="AJ85" s="43">
        <f>LN('2.ΤΙΜΕΣ ΚΛΕΙΣΙΜΑΤΟΣ'!AJ86/'2.ΤΙΜΕΣ ΚΛΕΙΣΙΜΑΤΟΣ'!AJ85)</f>
        <v>-2.1322769468821307E-2</v>
      </c>
      <c r="AK85" s="43">
        <f>LN('2.ΤΙΜΕΣ ΚΛΕΙΣΙΜΑΤΟΣ'!AK86/'2.ΤΙΜΕΣ ΚΛΕΙΣΙΜΑΤΟΣ'!AK85)</f>
        <v>4.4345970678655536E-3</v>
      </c>
      <c r="AL85" s="43">
        <f>LN('2.ΤΙΜΕΣ ΚΛΕΙΣΙΜΑΤΟΣ'!AL86/'2.ΤΙΜΕΣ ΚΛΕΙΣΙΜΑΤΟΣ'!AL85)</f>
        <v>0.12177187221761618</v>
      </c>
      <c r="AM85" s="43">
        <f>LN('2.ΤΙΜΕΣ ΚΛΕΙΣΙΜΑΤΟΣ'!AM86/'2.ΤΙΜΕΣ ΚΛΕΙΣΙΜΑΤΟΣ'!AM85)</f>
        <v>-1.6929062100448082E-2</v>
      </c>
      <c r="AN85" s="43">
        <f>LN('2.ΤΙΜΕΣ ΚΛΕΙΣΙΜΑΤΟΣ'!AN86/'2.ΤΙΜΕΣ ΚΛΕΙΣΙΜΑΤΟΣ'!AN85)</f>
        <v>2.8839997098720614E-2</v>
      </c>
      <c r="AO85" s="43">
        <f>LN('2.ΤΙΜΕΣ ΚΛΕΙΣΙΜΑΤΟΣ'!AO86/'2.ΤΙΜΕΣ ΚΛΕΙΣΙΜΑΤΟΣ'!AO85)</f>
        <v>5.249355886143745E-3</v>
      </c>
      <c r="AP85" s="43">
        <f>LN('2.ΤΙΜΕΣ ΚΛΕΙΣΙΜΑΤΟΣ'!AP86/'2.ΤΙΜΕΣ ΚΛΕΙΣΙΜΑΤΟΣ'!AP85)</f>
        <v>-2.6845653706688757E-3</v>
      </c>
      <c r="AQ85" s="43">
        <f>LN('2.ΤΙΜΕΣ ΚΛΕΙΣΙΜΑΤΟΣ'!AQ86/'2.ΤΙΜΕΣ ΚΛΕΙΣΙΜΑΤΟΣ'!AQ85)</f>
        <v>2.7445976608747688E-2</v>
      </c>
      <c r="AR85" s="43">
        <f>LN('2.ΤΙΜΕΣ ΚΛΕΙΣΙΜΑΤΟΣ'!AR86/'2.ΤΙΜΕΣ ΚΛΕΙΣΙΜΑΤΟΣ'!AR85)</f>
        <v>7.3260400920728812E-3</v>
      </c>
      <c r="AS85" s="43">
        <f>LN('2.ΤΙΜΕΣ ΚΛΕΙΣΙΜΑΤΟΣ'!AS86/'2.ΤΙΜΕΣ ΚΛΕΙΣΙΜΑΤΟΣ'!AS85)</f>
        <v>2.9934207818044463E-2</v>
      </c>
      <c r="AT85" s="43">
        <f>LN('2.ΤΙΜΕΣ ΚΛΕΙΣΙΜΑΤΟΣ'!AT86/'2.ΤΙΜΕΣ ΚΛΕΙΣΙΜΑΤΟΣ'!AT85)</f>
        <v>9.8260802443176629E-2</v>
      </c>
      <c r="AU85" s="43">
        <f>LN('2.ΤΙΜΕΣ ΚΛΕΙΣΙΜΑΤΟΣ'!AU86/'2.ΤΙΜΕΣ ΚΛΕΙΣΙΜΑΤΟΣ'!AU85)</f>
        <v>1.1309025732337281E-2</v>
      </c>
    </row>
    <row r="86" spans="1:47">
      <c r="A86" s="41">
        <v>43678</v>
      </c>
      <c r="B86" s="43">
        <f>LN('2.ΤΙΜΕΣ ΚΛΕΙΣΙΜΑΤΟΣ'!B87/'2.ΤΙΜΕΣ ΚΛΕΙΣΙΜΑΤΟΣ'!B86)</f>
        <v>9.5390230467589099E-3</v>
      </c>
      <c r="C86" s="43">
        <f>LN('2.ΤΙΜΕΣ ΚΛΕΙΣΙΜΑΤΟΣ'!C87/'2.ΤΙΜΕΣ ΚΛΕΙΣΙΜΑΤΟΣ'!C86)</f>
        <v>-1.0505147114671194E-2</v>
      </c>
      <c r="D86" s="43">
        <f>LN('2.ΤΙΜΕΣ ΚΛΕΙΣΙΜΑΤΟΣ'!D87/'2.ΤΙΜΕΣ ΚΛΕΙΣΙΜΑΤΟΣ'!D86)</f>
        <v>-1.2863822746159839E-2</v>
      </c>
      <c r="E86" s="43">
        <f>LN('2.ΤΙΜΕΣ ΚΛΕΙΣΙΜΑΤΟΣ'!E87/'2.ΤΙΜΕΣ ΚΛΕΙΣΙΜΑΤΟΣ'!E86)</f>
        <v>-5.1121951723351964E-3</v>
      </c>
      <c r="F86" s="43">
        <f>LN('2.ΤΙΜΕΣ ΚΛΕΙΣΙΜΑΤΟΣ'!F87/'2.ΤΙΜΕΣ ΚΛΕΙΣΙΜΑΤΟΣ'!F86)</f>
        <v>-2.116402906377724E-3</v>
      </c>
      <c r="G86" s="43">
        <f>LN('2.ΤΙΜΕΣ ΚΛΕΙΣΙΜΑΤΟΣ'!G87/'2.ΤΙΜΕΣ ΚΛΕΙΣΙΜΑΤΟΣ'!G86)</f>
        <v>-3.2298078444500389E-2</v>
      </c>
      <c r="H86" s="43">
        <f>LN('2.ΤΙΜΕΣ ΚΛΕΙΣΙΜΑΤΟΣ'!H87/'2.ΤΙΜΕΣ ΚΛΕΙΣΙΜΑΤΟΣ'!H86)</f>
        <v>-7.168489478612516E-3</v>
      </c>
      <c r="I86" s="43">
        <f>LN('2.ΤΙΜΕΣ ΚΛΕΙΣΙΜΑΤΟΣ'!I87/'2.ΤΙΜΕΣ ΚΛΕΙΣΙΜΑΤΟΣ'!I86)</f>
        <v>-1.3131790189295511E-2</v>
      </c>
      <c r="J86" s="43">
        <f>LN('2.ΤΙΜΕΣ ΚΛΕΙΣΙΜΑΤΟΣ'!J87/'2.ΤΙΜΕΣ ΚΛΕΙΣΙΜΑΤΟΣ'!J86)</f>
        <v>-1.9048194970694363E-2</v>
      </c>
      <c r="K86" s="43">
        <f>LN('2.ΤΙΜΕΣ ΚΛΕΙΣΙΜΑΤΟΣ'!K87/'2.ΤΙΜΕΣ ΚΛΕΙΣΙΜΑΤΟΣ'!K86)</f>
        <v>1.0566645078830822E-2</v>
      </c>
      <c r="L86" s="43">
        <f>LN('2.ΤΙΜΕΣ ΚΛΕΙΣΙΜΑΤΟΣ'!L87/'2.ΤΙΜΕΣ ΚΛΕΙΣΙΜΑΤΟΣ'!L86)</f>
        <v>8.1337999267701855E-3</v>
      </c>
      <c r="M86" s="43">
        <f>LN('2.ΤΙΜΕΣ ΚΛΕΙΣΙΜΑΤΟΣ'!M87/'2.ΤΙΜΕΣ ΚΛΕΙΣΙΜΑΤΟΣ'!M86)</f>
        <v>-8.188377379358033E-3</v>
      </c>
      <c r="N86" s="43">
        <f>LN('2.ΤΙΜΕΣ ΚΛΕΙΣΙΜΑΤΟΣ'!N87/'2.ΤΙΜΕΣ ΚΛΕΙΣΙΜΑΤΟΣ'!N86)</f>
        <v>0</v>
      </c>
      <c r="O86" s="43">
        <f>LN('2.ΤΙΜΕΣ ΚΛΕΙΣΙΜΑΤΟΣ'!O87/'2.ΤΙΜΕΣ ΚΛΕΙΣΙΜΑΤΟΣ'!O86)</f>
        <v>6.0277457975174663E-3</v>
      </c>
      <c r="P86" s="43">
        <f>LN('2.ΤΙΜΕΣ ΚΛΕΙΣΙΜΑΤΟΣ'!P87/'2.ΤΙΜΕΣ ΚΛΕΙΣΙΜΑΤΟΣ'!P86)</f>
        <v>4.6620131058113714E-3</v>
      </c>
      <c r="Q86" s="43">
        <f>LN('2.ΤΙΜΕΣ ΚΛΕΙΣΙΜΑΤΟΣ'!Q87/'2.ΤΙΜΕΣ ΚΛΕΙΣΙΜΑΤΟΣ'!Q86)</f>
        <v>-1.1028331041478307E-2</v>
      </c>
      <c r="R86" s="43">
        <f>LN('2.ΤΙΜΕΣ ΚΛΕΙΣΙΜΑΤΟΣ'!R87/'2.ΤΙΜΕΣ ΚΛΕΙΣΙΜΑΤΟΣ'!R86)</f>
        <v>-3.5524016043677721E-3</v>
      </c>
      <c r="S86" s="43">
        <f>LN('2.ΤΙΜΕΣ ΚΛΕΙΣΙΜΑΤΟΣ'!S87/'2.ΤΙΜΕΣ ΚΛΕΙΣΙΜΑΤΟΣ'!S86)</f>
        <v>3.4542348680873824E-3</v>
      </c>
      <c r="T86" s="43">
        <f>LN('2.ΤΙΜΕΣ ΚΛΕΙΣΙΜΑΤΟΣ'!T87/'2.ΤΙΜΕΣ ΚΛΕΙΣΙΜΑΤΟΣ'!T86)</f>
        <v>-1.191185370153118E-3</v>
      </c>
      <c r="U86" s="43">
        <f>LN('2.ΤΙΜΕΣ ΚΛΕΙΣΙΜΑΤΟΣ'!U87/'2.ΤΙΜΕΣ ΚΛΕΙΣΙΜΑΤΟΣ'!U86)</f>
        <v>-2.2099456508029554E-3</v>
      </c>
      <c r="V86" s="43">
        <f>LN('2.ΤΙΜΕΣ ΚΛΕΙΣΙΜΑΤΟΣ'!V87/'2.ΤΙΜΕΣ ΚΛΕΙΣΙΜΑΤΟΣ'!V86)</f>
        <v>0</v>
      </c>
      <c r="W86" s="43">
        <f>LN('2.ΤΙΜΕΣ ΚΛΕΙΣΙΜΑΤΟΣ'!W87/'2.ΤΙΜΕΣ ΚΛΕΙΣΙΜΑΤΟΣ'!W86)</f>
        <v>2.4449889930664398E-3</v>
      </c>
      <c r="X86" s="43">
        <f>LN('2.ΤΙΜΕΣ ΚΛΕΙΣΙΜΑΤΟΣ'!X87/'2.ΤΙΜΕΣ ΚΛΕΙΣΙΜΑΤΟΣ'!X86)</f>
        <v>-2.2231004029671913E-2</v>
      </c>
      <c r="Y86" s="43">
        <f>LN('2.ΤΙΜΕΣ ΚΛΕΙΣΙΜΑΤΟΣ'!Y87/'2.ΤΙΜΕΣ ΚΛΕΙΣΙΜΑΤΟΣ'!Y86)</f>
        <v>3.0226723265858856E-3</v>
      </c>
      <c r="Z86" s="43">
        <f>LN('2.ΤΙΜΕΣ ΚΛΕΙΣΙΜΑΤΟΣ'!Z87/'2.ΤΙΜΕΣ ΚΛΕΙΣΙΜΑΤΟΣ'!Z86)</f>
        <v>-1.0050335853501451E-2</v>
      </c>
      <c r="AA86" s="43">
        <f>LN('2.ΤΙΜΕΣ ΚΛΕΙΣΙΜΑΤΟΣ'!AA87/'2.ΤΙΜΕΣ ΚΛΕΙΣΙΜΑΤΟΣ'!AA86)</f>
        <v>-6.8027473227525231E-3</v>
      </c>
      <c r="AB86" s="43">
        <f>LN('2.ΤΙΜΕΣ ΚΛΕΙΣΙΜΑΤΟΣ'!AB87/'2.ΤΙΜΕΣ ΚΛΕΙΣΙΜΑΤΟΣ'!AB86)</f>
        <v>-1.2227226569560219E-2</v>
      </c>
      <c r="AC86" s="43">
        <f>LN('2.ΤΙΜΕΣ ΚΛΕΙΣΙΜΑΤΟΣ'!AC87/'2.ΤΙΜΕΣ ΚΛΕΙΣΙΜΑΤΟΣ'!AC86)</f>
        <v>0</v>
      </c>
      <c r="AD86" s="43">
        <f>LN('2.ΤΙΜΕΣ ΚΛΕΙΣΙΜΑΤΟΣ'!AD87/'2.ΤΙΜΕΣ ΚΛΕΙΣΙΜΑΤΟΣ'!AD86)</f>
        <v>0</v>
      </c>
      <c r="AE86" s="43">
        <f>LN('2.ΤΙΜΕΣ ΚΛΕΙΣΙΜΑΤΟΣ'!AE87/'2.ΤΙΜΕΣ ΚΛΕΙΣΙΜΑΤΟΣ'!AE86)</f>
        <v>-1.4652276786870375E-2</v>
      </c>
      <c r="AF86" s="43">
        <f>LN('2.ΤΙΜΕΣ ΚΛΕΙΣΙΜΑΤΟΣ'!AF87/'2.ΤΙΜΕΣ ΚΛΕΙΣΙΜΑΤΟΣ'!AF86)</f>
        <v>2.2962122603503781E-3</v>
      </c>
      <c r="AG86" s="43">
        <f>LN('2.ΤΙΜΕΣ ΚΛΕΙΣΙΜΑΤΟΣ'!AG87/'2.ΤΙΜΕΣ ΚΛΕΙΣΙΜΑΤΟΣ'!AG86)</f>
        <v>-4.1672696400568074E-2</v>
      </c>
      <c r="AH86" s="43">
        <f>LN('2.ΤΙΜΕΣ ΚΛΕΙΣΙΜΑΤΟΣ'!AH87/'2.ΤΙΜΕΣ ΚΛΕΙΣΙΜΑΤΟΣ'!AH86)</f>
        <v>2.1836694609174451E-2</v>
      </c>
      <c r="AI86" s="43">
        <f>LN('2.ΤΙΜΕΣ ΚΛΕΙΣΙΜΑΤΟΣ'!AI87/'2.ΤΙΜΕΣ ΚΛΕΙΣΙΜΑΤΟΣ'!AI86)</f>
        <v>-7.9681696491768449E-3</v>
      </c>
      <c r="AJ86" s="43">
        <f>LN('2.ΤΙΜΕΣ ΚΛΕΙΣΙΜΑΤΟΣ'!AJ87/'2.ΤΙΜΕΣ ΚΛΕΙΣΙΜΑΤΟΣ'!AJ86)</f>
        <v>4.6324071674238618E-2</v>
      </c>
      <c r="AK86" s="43">
        <f>LN('2.ΤΙΜΕΣ ΚΛΕΙΣΙΜΑΤΟΣ'!AK87/'2.ΤΙΜΕΣ ΚΛΕΙΣΙΜΑΤΟΣ'!AK86)</f>
        <v>-4.4345970678656412E-3</v>
      </c>
      <c r="AL86" s="43">
        <f>LN('2.ΤΙΜΕΣ ΚΛΕΙΣΙΜΑΤΟΣ'!AL87/'2.ΤΙΜΕΣ ΚΛΕΙΣΙΜΑΤΟΣ'!AL86)</f>
        <v>-3.236528450203166E-2</v>
      </c>
      <c r="AM86" s="43">
        <f>LN('2.ΤΙΜΕΣ ΚΛΕΙΣΙΜΑΤΟΣ'!AM87/'2.ΤΙΜΕΣ ΚΛΕΙΣΙΜΑΤΟΣ'!AM86)</f>
        <v>4.5299759229663526E-2</v>
      </c>
      <c r="AN86" s="43">
        <f>LN('2.ΤΙΜΕΣ ΚΛΕΙΣΙΜΑΤΟΣ'!AN87/'2.ΤΙΜΕΣ ΚΛΕΙΣΙΜΑΤΟΣ'!AN86)</f>
        <v>-1.8565934122535276E-2</v>
      </c>
      <c r="AO86" s="43">
        <f>LN('2.ΤΙΜΕΣ ΚΛΕΙΣΙΜΑΤΟΣ'!AO87/'2.ΤΙΜΕΣ ΚΛΕΙΣΙΜΑΤΟΣ'!AO86)</f>
        <v>-5.2493558861436782E-3</v>
      </c>
      <c r="AP86" s="43">
        <f>LN('2.ΤΙΜΕΣ ΚΛΕΙΣΙΜΑΤΟΣ'!AP87/'2.ΤΙΜΕΣ ΚΛΕΙΣΙΜΑΤΟΣ'!AP86)</f>
        <v>-2.6917916657115256E-3</v>
      </c>
      <c r="AQ86" s="43">
        <f>LN('2.ΤΙΜΕΣ ΚΛΕΙΣΙΜΑΤΟΣ'!AQ87/'2.ΤΙΜΕΣ ΚΛΕΙΣΙΜΑΤΟΣ'!AQ86)</f>
        <v>-1.7065260554186983E-2</v>
      </c>
      <c r="AR86" s="43">
        <f>LN('2.ΤΙΜΕΣ ΚΛΕΙΣΙΜΑΤΟΣ'!AR87/'2.ΤΙΜΕΣ ΚΛΕΙΣΙΜΑΤΟΣ'!AR86)</f>
        <v>-2.8129167721836074E-2</v>
      </c>
      <c r="AS86" s="43">
        <f>LN('2.ΤΙΜΕΣ ΚΛΕΙΣΙΜΑΤΟΣ'!AS87/'2.ΤΙΜΕΣ ΚΛΕΙΣΙΜΑΤΟΣ'!AS86)</f>
        <v>-2.6845653706688757E-3</v>
      </c>
      <c r="AT86" s="43">
        <f>LN('2.ΤΙΜΕΣ ΚΛΕΙΣΙΜΑΤΟΣ'!AT87/'2.ΤΙΜΕΣ ΚΛΕΙΣΙΜΑΤΟΣ'!AT86)</f>
        <v>-2.9905482778904504E-2</v>
      </c>
      <c r="AU86" s="43">
        <f>LN('2.ΤΙΜΕΣ ΚΛΕΙΣΙΜΑΤΟΣ'!AU87/'2.ΤΙΜΕΣ ΚΛΕΙΣΙΜΑΤΟΣ'!AU86)</f>
        <v>-5.4485725080898745E-3</v>
      </c>
    </row>
    <row r="87" spans="1:47">
      <c r="A87" s="41">
        <v>43679</v>
      </c>
      <c r="B87" s="43">
        <f>LN('2.ΤΙΜΕΣ ΚΛΕΙΣΙΜΑΤΟΣ'!B88/'2.ΤΙΜΕΣ ΚΛΕΙΣΙΜΑΤΟΣ'!B87)</f>
        <v>-1.4663954187014237E-2</v>
      </c>
      <c r="C87" s="43">
        <f>LN('2.ΤΙΜΕΣ ΚΛΕΙΣΙΜΑΤΟΣ'!C88/'2.ΤΙΜΕΣ ΚΛΕΙΣΙΜΑΤΟΣ'!C87)</f>
        <v>-4.8860032056262086E-3</v>
      </c>
      <c r="D87" s="43">
        <f>LN('2.ΤΙΜΕΣ ΚΛΕΙΣΙΜΑΤΟΣ'!D88/'2.ΤΙΜΕΣ ΚΛΕΙΣΙΜΑΤΟΣ'!D87)</f>
        <v>-4.9920231464177798E-3</v>
      </c>
      <c r="E87" s="43">
        <f>LN('2.ΤΙΜΕΣ ΚΛΕΙΣΙΜΑΤΟΣ'!E88/'2.ΤΙΜΕΣ ΚΛΕΙΣΙΜΑΤΟΣ'!E87)</f>
        <v>-1.4917086703237267E-2</v>
      </c>
      <c r="F87" s="43">
        <f>LN('2.ΤΙΜΕΣ ΚΛΕΙΣΙΜΑΤΟΣ'!F88/'2.ΤΙΜΕΣ ΚΛΕΙΣΙΜΑΤΟΣ'!F87)</f>
        <v>-1.0598835120431353E-3</v>
      </c>
      <c r="G87" s="43">
        <f>LN('2.ΤΙΜΕΣ ΚΛΕΙΣΙΜΑΤΟΣ'!G88/'2.ΤΙΜΕΣ ΚΛΕΙΣΙΜΑΤΟΣ'!G87)</f>
        <v>-3.2164773970701055E-2</v>
      </c>
      <c r="H87" s="43">
        <f>LN('2.ΤΙΜΕΣ ΚΛΕΙΣΙΜΑΤΟΣ'!H88/'2.ΤΙΜΕΣ ΚΛΕΙΣΙΜΑΤΟΣ'!H87)</f>
        <v>3.360174654676807E-2</v>
      </c>
      <c r="I87" s="43">
        <f>LN('2.ΤΙΜΕΣ ΚΛΕΙΣΙΜΑΤΟΣ'!I88/'2.ΤΙΜΕΣ ΚΛΕΙΣΙΜΑΤΟΣ'!I87)</f>
        <v>-3.8071947949407887E-2</v>
      </c>
      <c r="J87" s="43">
        <f>LN('2.ΤΙΜΕΣ ΚΛΕΙΣΙΜΑΤΟΣ'!J88/'2.ΤΙΜΕΣ ΚΛΕΙΣΙΜΑΤΟΣ'!J87)</f>
        <v>-7.7220460939102778E-3</v>
      </c>
      <c r="K87" s="43">
        <f>LN('2.ΤΙΜΕΣ ΚΛΕΙΣΙΜΑΤΟΣ'!K88/'2.ΤΙΜΕΣ ΚΛΕΙΣΙΜΑΤΟΣ'!K87)</f>
        <v>-1.2716088748175368E-2</v>
      </c>
      <c r="L87" s="43">
        <f>LN('2.ΤΙΜΕΣ ΚΛΕΙΣΙΜΑΤΟΣ'!L88/'2.ΤΙΜΕΣ ΚΛΕΙΣΙΜΑΤΟΣ'!L87)</f>
        <v>-1.816580380655913E-2</v>
      </c>
      <c r="M87" s="43">
        <f>LN('2.ΤΙΜΕΣ ΚΛΕΙΣΙΜΑΤΟΣ'!M88/'2.ΤΙΜΕΣ ΚΛΕΙΣΙΜΑΤΟΣ'!M87)</f>
        <v>-2.057613894680154E-3</v>
      </c>
      <c r="N87" s="43">
        <f>LN('2.ΤΙΜΕΣ ΚΛΕΙΣΙΜΑΤΟΣ'!N88/'2.ΤΙΜΕΣ ΚΛΕΙΣΙΜΑΤΟΣ'!N87)</f>
        <v>-6.9223982018125846E-3</v>
      </c>
      <c r="O87" s="43">
        <f>LN('2.ΤΙΜΕΣ ΚΛΕΙΣΙΜΑΤΟΣ'!O88/'2.ΤΙΜΕΣ ΚΛΕΙΣΙΜΑΤΟΣ'!O87)</f>
        <v>1.2012013456341492E-3</v>
      </c>
      <c r="P87" s="43">
        <f>LN('2.ΤΙΜΕΣ ΚΛΕΙΣΙΜΑΤΟΣ'!P88/'2.ΤΙΜΕΣ ΚΛΕΙΣΙΜΑΤΟΣ'!P87)</f>
        <v>-7.7821404420549628E-3</v>
      </c>
      <c r="Q87" s="43">
        <f>LN('2.ΤΙΜΕΣ ΚΛΕΙΣΙΜΑΤΟΣ'!Q88/'2.ΤΙΜΕΣ ΚΛΕΙΣΙΜΑΤΟΣ'!Q87)</f>
        <v>-3.8568610097893807E-2</v>
      </c>
      <c r="R87" s="43">
        <f>LN('2.ΤΙΜΕΣ ΚΛΕΙΣΙΜΑΤΟΣ'!R88/'2.ΤΙΜΕΣ ΚΛΕΙΣΙΜΑΤΟΣ'!R87)</f>
        <v>-3.9932710335370991E-2</v>
      </c>
      <c r="S87" s="43">
        <f>LN('2.ΤΙΜΕΣ ΚΛΕΙΣΙΜΑΤΟΣ'!S88/'2.ΤΙΜΕΣ ΚΛΕΙΣΙΜΑΤΟΣ'!S87)</f>
        <v>-1.1560822401075971E-2</v>
      </c>
      <c r="T87" s="43">
        <f>LN('2.ΤΙΜΕΣ ΚΛΕΙΣΙΜΑΤΟΣ'!T88/'2.ΤΙΜΕΣ ΚΛΕΙΣΙΜΑΤΟΣ'!T87)</f>
        <v>-3.1479596919395558E-2</v>
      </c>
      <c r="U87" s="43">
        <f>LN('2.ΤΙΜΕΣ ΚΛΕΙΣΙΜΑΤΟΣ'!U88/'2.ΤΙΜΕΣ ΚΛΕΙΣΙΜΑΤΟΣ'!U87)</f>
        <v>-2.6907452919924156E-2</v>
      </c>
      <c r="V87" s="43">
        <f>LN('2.ΤΙΜΕΣ ΚΛΕΙΣΙΜΑΤΟΣ'!V88/'2.ΤΙΜΕΣ ΚΛΕΙΣΙΜΑΤΟΣ'!V87)</f>
        <v>-2.0181641562372361E-3</v>
      </c>
      <c r="W87" s="43">
        <f>LN('2.ΤΙΜΕΣ ΚΛΕΙΣΙΜΑΤΟΣ'!W88/'2.ΤΙΜΕΣ ΚΛΕΙΣΙΜΑΤΟΣ'!W87)</f>
        <v>-1.2217472503223644E-3</v>
      </c>
      <c r="X87" s="43">
        <f>LN('2.ΤΙΜΕΣ ΚΛΕΙΣΙΜΑΤΟΣ'!X88/'2.ΤΙΜΕΣ ΚΛΕΙΣΙΜΑΤΟΣ'!X87)</f>
        <v>-1.6894488898761797E-2</v>
      </c>
      <c r="Y87" s="43">
        <f>LN('2.ΤΙΜΕΣ ΚΛΕΙΣΙΜΑΤΟΣ'!Y88/'2.ΤΙΜΕΣ ΚΛΕΙΣΙΜΑΤΟΣ'!Y87)</f>
        <v>-1.6227536621756695E-2</v>
      </c>
      <c r="Z87" s="43">
        <f>LN('2.ΤΙΜΕΣ ΚΛΕΙΣΙΜΑΤΟΣ'!Z88/'2.ΤΙΜΕΣ ΚΛΕΙΣΙΜΑΤΟΣ'!Z87)</f>
        <v>0</v>
      </c>
      <c r="AA87" s="43">
        <f>LN('2.ΤΙΜΕΣ ΚΛΕΙΣΙΜΑΤΟΣ'!AA88/'2.ΤΙΜΕΣ ΚΛΕΙΣΙΜΑΤΟΣ'!AA87)</f>
        <v>-3.418806748785609E-3</v>
      </c>
      <c r="AB87" s="43">
        <f>LN('2.ΤΙΜΕΣ ΚΛΕΙΣΙΜΑΤΟΣ'!AB88/'2.ΤΙΜΕΣ ΚΛΕΙΣΙΜΑΤΟΣ'!AB87)</f>
        <v>-3.2145624973416539E-2</v>
      </c>
      <c r="AC87" s="43">
        <f>LN('2.ΤΙΜΕΣ ΚΛΕΙΣΙΜΑΤΟΣ'!AC88/'2.ΤΙΜΕΣ ΚΛΕΙΣΙΜΑΤΟΣ'!AC87)</f>
        <v>0</v>
      </c>
      <c r="AD87" s="43">
        <f>LN('2.ΤΙΜΕΣ ΚΛΕΙΣΙΜΑΤΟΣ'!AD88/'2.ΤΙΜΕΣ ΚΛΕΙΣΙΜΑΤΟΣ'!AD87)</f>
        <v>-2.8170876966696335E-2</v>
      </c>
      <c r="AE87" s="43">
        <f>LN('2.ΤΙΜΕΣ ΚΛΕΙΣΙΜΑΤΟΣ'!AE88/'2.ΤΙΜΕΣ ΚΛΕΙΣΙΜΑΤΟΣ'!AE87)</f>
        <v>-7.4074412778618046E-3</v>
      </c>
      <c r="AF87" s="43">
        <f>LN('2.ΤΙΜΕΣ ΚΛΕΙΣΙΜΑΤΟΣ'!AF88/'2.ΤΙΜΕΣ ΚΛΕΙΣΙΜΑΤΟΣ'!AF87)</f>
        <v>1.8182319083190547E-2</v>
      </c>
      <c r="AG87" s="43">
        <f>LN('2.ΤΙΜΕΣ ΚΛΕΙΣΙΜΑΤΟΣ'!AG88/'2.ΤΙΜΕΣ ΚΛΕΙΣΙΜΑΤΟΣ'!AG87)</f>
        <v>-3.2435275753153733E-2</v>
      </c>
      <c r="AH87" s="43">
        <f>LN('2.ΤΙΜΕΣ ΚΛΕΙΣΙΜΑΤΟΣ'!AH88/'2.ΤΙΜΕΣ ΚΛΕΙΣΙΜΑΤΟΣ'!AH87)</f>
        <v>-8.0321716972642666E-3</v>
      </c>
      <c r="AI87" s="43">
        <f>LN('2.ΤΙΜΕΣ ΚΛΕΙΣΙΜΑΤΟΣ'!AI88/'2.ΤΙΜΕΣ ΚΛΕΙΣΙΜΑΤΟΣ'!AI87)</f>
        <v>0</v>
      </c>
      <c r="AJ87" s="43">
        <f>LN('2.ΤΙΜΕΣ ΚΛΕΙΣΙΜΑΤΟΣ'!AJ88/'2.ΤΙΜΕΣ ΚΛΕΙΣΙΜΑΤΟΣ'!AJ87)</f>
        <v>4.1067819526532812E-3</v>
      </c>
      <c r="AK87" s="43">
        <f>LN('2.ΤΙΜΕΣ ΚΛΕΙΣΙΜΑΤΟΣ'!AK88/'2.ΤΙΜΕΣ ΚΛΕΙΣΙΜΑΤΟΣ'!AK87)</f>
        <v>2.1978906718775167E-2</v>
      </c>
      <c r="AL87" s="43">
        <f>LN('2.ΤΙΜΕΣ ΚΛΕΙΣΙΜΑΤΟΣ'!AL88/'2.ΤΙΜΕΣ ΚΛΕΙΣΙΜΑΤΟΣ'!AL87)</f>
        <v>-3.3447934067540132E-2</v>
      </c>
      <c r="AM87" s="43">
        <f>LN('2.ΤΙΜΕΣ ΚΛΕΙΣΙΜΑΤΟΣ'!AM88/'2.ΤΙΜΕΣ ΚΛΕΙΣΙΜΑΤΟΣ'!AM87)</f>
        <v>-7.0175726586466465E-3</v>
      </c>
      <c r="AN87" s="43">
        <f>LN('2.ΤΙΜΕΣ ΚΛΕΙΣΙΜΑΤΟΣ'!AN88/'2.ΤΙΜΕΣ ΚΛΕΙΣΙΜΑΤΟΣ'!AN87)</f>
        <v>2.5232625480724719E-2</v>
      </c>
      <c r="AO87" s="43">
        <f>LN('2.ΤΙΜΕΣ ΚΛΕΙΣΙΜΑΤΟΣ'!AO88/'2.ΤΙΜΕΣ ΚΛΕΙΣΙΜΑΤΟΣ'!AO87)</f>
        <v>-2.6350476380050023E-3</v>
      </c>
      <c r="AP87" s="43">
        <f>LN('2.ΤΙΜΕΣ ΚΛΕΙΣΙΜΑΤΟΣ'!AP88/'2.ΤΙΜΕΣ ΚΛΕΙΣΙΜΑΤΟΣ'!AP87)</f>
        <v>0</v>
      </c>
      <c r="AQ87" s="43">
        <f>LN('2.ΤΙΜΕΣ ΚΛΕΙΣΙΜΑΤΟΣ'!AQ88/'2.ΤΙΜΕΣ ΚΛΕΙΣΙΜΑΤΟΣ'!AQ87)</f>
        <v>-2.792502570547031E-2</v>
      </c>
      <c r="AR87" s="43">
        <f>LN('2.ΤΙΜΕΣ ΚΛΕΙΣΙΜΑΤΟΣ'!AR88/'2.ΤΙΜΕΣ ΚΛΕΙΣΙΜΑΤΟΣ'!AR87)</f>
        <v>-9.0498355199179273E-3</v>
      </c>
      <c r="AS87" s="43">
        <f>LN('2.ΤΙΜΕΣ ΚΛΕΙΣΙΜΑΤΟΣ'!AS88/'2.ΤΙΜΕΣ ΚΛΕΙΣΙΜΑΤΟΣ'!AS87)</f>
        <v>-5.3908486348764233E-3</v>
      </c>
      <c r="AT87" s="43">
        <f>LN('2.ΤΙΜΕΣ ΚΛΕΙΣΙΜΑΤΟΣ'!AT88/'2.ΤΙΜΕΣ ΚΛΕΙΣΙΜΑΤΟΣ'!AT87)</f>
        <v>-2.5317807984289897E-2</v>
      </c>
      <c r="AU87" s="43">
        <f>LN('2.ΤΙΜΕΣ ΚΛΕΙΣΙΜΑΤΟΣ'!AU88/'2.ΤΙΜΕΣ ΚΛΕΙΣΙΜΑΤΟΣ'!AU87)</f>
        <v>-1.1156478944187094E-2</v>
      </c>
    </row>
    <row r="88" spans="1:47">
      <c r="A88" s="41">
        <v>43682</v>
      </c>
      <c r="B88" s="43">
        <f>LN('2.ΤΙΜΕΣ ΚΛΕΙΣΙΜΑΤΟΣ'!B89/'2.ΤΙΜΕΣ ΚΛΕΙΣΙΜΑΤΟΣ'!B88)</f>
        <v>-3.3635823912209817E-2</v>
      </c>
      <c r="C88" s="43">
        <f>LN('2.ΤΙΜΕΣ ΚΛΕΙΣΙΜΑΤΟΣ'!C89/'2.ΤΙΜΕΣ ΚΛΕΙΣΙΜΑΤΟΣ'!C88)</f>
        <v>2.4459857282604423E-3</v>
      </c>
      <c r="D88" s="43">
        <f>LN('2.ΤΙΜΕΣ ΚΛΕΙΣΙΜΑΤΟΣ'!D89/'2.ΤΙΜΕΣ ΚΛΕΙΣΙΜΑΤΟΣ'!D88)</f>
        <v>-9.0489256105038985E-3</v>
      </c>
      <c r="E88" s="43">
        <f>LN('2.ΤΙΜΕΣ ΚΛΕΙΣΙΜΑΤΟΣ'!E89/'2.ΤΙΜΕΣ ΚΛΕΙΣΙΜΑΤΟΣ'!E88)</f>
        <v>-4.0099712076431107E-2</v>
      </c>
      <c r="F88" s="43">
        <f>LN('2.ΤΙΜΕΣ ΚΛΕΙΣΙΜΑΤΟΣ'!F89/'2.ΤΙΜΕΣ ΚΛΕΙΣΙΜΑΤΟΣ'!F88)</f>
        <v>-2.2521059076863567E-2</v>
      </c>
      <c r="G88" s="43">
        <f>LN('2.ΤΙΜΕΣ ΚΛΕΙΣΙΜΑΤΟΣ'!G89/'2.ΤΙΜΕΣ ΚΛΕΙΣΙΜΑΤΟΣ'!G88)</f>
        <v>-7.6718939694442101E-2</v>
      </c>
      <c r="H88" s="43">
        <f>LN('2.ΤΙΜΕΣ ΚΛΕΙΣΙΜΑΤΟΣ'!H89/'2.ΤΙΜΕΣ ΚΛΕΙΣΙΜΑΤΟΣ'!H88)</f>
        <v>-3.9916607405442436E-2</v>
      </c>
      <c r="I88" s="43">
        <f>LN('2.ΤΙΜΕΣ ΚΛΕΙΣΙΜΑΤΟΣ'!I89/'2.ΤΙΜΕΣ ΚΛΕΙΣΙΜΑΤΟΣ'!I88)</f>
        <v>-8.4030748851492032E-2</v>
      </c>
      <c r="J88" s="43">
        <f>LN('2.ΤΙΜΕΣ ΚΛΕΙΣΙΜΑΤΟΣ'!J89/'2.ΤΙΜΕΣ ΚΛΕΙΣΙΜΑΤΟΣ'!J88)</f>
        <v>-8.5743681911766942E-2</v>
      </c>
      <c r="K88" s="43">
        <f>LN('2.ΤΙΜΕΣ ΚΛΕΙΣΙΜΑΤΟΣ'!K89/'2.ΤΙΜΕΣ ΚΛΕΙΣΙΜΑΤΟΣ'!K88)</f>
        <v>-4.3633606669078166E-2</v>
      </c>
      <c r="L88" s="43">
        <f>LN('2.ΤΙΜΕΣ ΚΛΕΙΣΙΜΑΤΟΣ'!L89/'2.ΤΙΜΕΣ ΚΛΕΙΣΙΜΑΤΟΣ'!L88)</f>
        <v>-4.7873993697652426E-2</v>
      </c>
      <c r="M88" s="43">
        <f>LN('2.ΤΙΜΕΣ ΚΛΕΙΣΙΜΑΤΟΣ'!M89/'2.ΤΙΜΕΣ ΚΛΕΙΣΙΜΑΤΟΣ'!M88)</f>
        <v>-2.2917669681397058E-2</v>
      </c>
      <c r="N88" s="43">
        <f>LN('2.ΤΙΜΕΣ ΚΛΕΙΣΙΜΑΤΟΣ'!N89/'2.ΤΙΜΕΣ ΚΛΕΙΣΙΜΑΤΟΣ'!N88)</f>
        <v>-1.5284920103116415E-2</v>
      </c>
      <c r="O88" s="43">
        <f>LN('2.ΤΙΜΕΣ ΚΛΕΙΣΙΜΑΤΟΣ'!O89/'2.ΤΙΜΕΣ ΚΛΕΙΣΙΜΑΤΟΣ'!O88)</f>
        <v>-5.3000696705775473E-2</v>
      </c>
      <c r="P88" s="43">
        <f>LN('2.ΤΙΜΕΣ ΚΛΕΙΣΙΜΑΤΟΣ'!P89/'2.ΤΙΜΕΣ ΚΛΕΙΣΙΜΑΤΟΣ'!P88)</f>
        <v>-1.5748356968139282E-2</v>
      </c>
      <c r="Q88" s="43">
        <f>LN('2.ΤΙΜΕΣ ΚΛΕΙΣΙΜΑΤΟΣ'!Q89/'2.ΤΙΜΕΣ ΚΛΕΙΣΙΜΑΤΟΣ'!Q88)</f>
        <v>-0.10800053227696674</v>
      </c>
      <c r="R88" s="43">
        <f>LN('2.ΤΙΜΕΣ ΚΛΕΙΣΙΜΑΤΟΣ'!R89/'2.ΤΙΜΕΣ ΚΛΕΙΣΙΜΑΤΟΣ'!R88)</f>
        <v>-3.6971392919969946E-2</v>
      </c>
      <c r="S88" s="43">
        <f>LN('2.ΤΙΜΕΣ ΚΛΕΙΣΙΜΑΤΟΣ'!S89/'2.ΤΙΜΕΣ ΚΛΕΙΣΙΜΑΤΟΣ'!S88)</f>
        <v>-5.129329438755046E-2</v>
      </c>
      <c r="T88" s="43">
        <f>LN('2.ΤΙΜΕΣ ΚΛΕΙΣΙΜΑΤΟΣ'!T89/'2.ΤΙΜΕΣ ΚΛΕΙΣΙΜΑΤΟΣ'!T88)</f>
        <v>-4.6578589364592013E-2</v>
      </c>
      <c r="U88" s="43">
        <f>LN('2.ΤΙΜΕΣ ΚΛΕΙΣΙΜΑΤΟΣ'!U89/'2.ΤΙΜΕΣ ΚΛΕΙΣΙΜΑΤΟΣ'!U88)</f>
        <v>-5.3688505113505487E-2</v>
      </c>
      <c r="V88" s="43">
        <f>LN('2.ΤΙΜΕΣ ΚΛΕΙΣΙΜΑΤΟΣ'!V89/'2.ΤΙΜΕΣ ΚΛΕΙΣΙΜΑΤΟΣ'!V88)</f>
        <v>-4.3350440873613859E-2</v>
      </c>
      <c r="W88" s="43">
        <f>LN('2.ΤΙΜΕΣ ΚΛΕΙΣΙΜΑΤΟΣ'!W89/'2.ΤΙΜΕΣ ΚΛΕΙΣΙΜΑΤΟΣ'!W88)</f>
        <v>-1.353866833279818E-2</v>
      </c>
      <c r="X88" s="43">
        <f>LN('2.ΤΙΜΕΣ ΚΛΕΙΣΙΜΑΤΟΣ'!X89/'2.ΤΙΜΕΣ ΚΛΕΙΣΙΜΑΤΟΣ'!X88)</f>
        <v>-2.6113455498402206E-2</v>
      </c>
      <c r="Y88" s="43">
        <f>LN('2.ΤΙΜΕΣ ΚΛΕΙΣΙΜΑΤΟΣ'!Y89/'2.ΤΙΜΕΣ ΚΛΕΙΣΙΜΑΤΟΣ'!Y88)</f>
        <v>-4.6033231805974635E-2</v>
      </c>
      <c r="Z88" s="43">
        <f>LN('2.ΤΙΜΕΣ ΚΛΕΙΣΙΜΑΤΟΣ'!Z89/'2.ΤΙΜΕΣ ΚΛΕΙΣΙΜΑΤΟΣ'!Z88)</f>
        <v>-3.3726844786391187E-3</v>
      </c>
      <c r="AA88" s="43">
        <f>LN('2.ΤΙΜΕΣ ΚΛΕΙΣΙΜΑΤΟΣ'!AA89/'2.ΤΙΜΕΣ ΚΛΕΙΣΙΜΑΤΟΣ'!AA88)</f>
        <v>-6.8728792877620643E-3</v>
      </c>
      <c r="AB88" s="43">
        <f>LN('2.ΤΙΜΕΣ ΚΛΕΙΣΙΜΑΤΟΣ'!AB89/'2.ΤΙΜΕΣ ΚΛΕΙΣΙΜΑΤΟΣ'!AB88)</f>
        <v>-7.2860067309333193E-3</v>
      </c>
      <c r="AC88" s="43">
        <f>LN('2.ΤΙΜΕΣ ΚΛΕΙΣΙΜΑΤΟΣ'!AC89/'2.ΤΙΜΕΣ ΚΛΕΙΣΙΜΑΤΟΣ'!AC88)</f>
        <v>-8.4270161618801159E-3</v>
      </c>
      <c r="AD88" s="43">
        <f>LN('2.ΤΙΜΕΣ ΚΛΕΙΣΙΜΑΤΟΣ'!AD89/'2.ΤΙΜΕΣ ΚΛΕΙΣΙΜΑΤΟΣ'!AD88)</f>
        <v>-4.0255261719594669E-2</v>
      </c>
      <c r="AE88" s="43">
        <f>LN('2.ΤΙΜΕΣ ΚΛΕΙΣΙΜΑΤΟΣ'!AE89/'2.ΤΙΜΕΣ ΚΛΕΙΣΙΜΑΤΟΣ'!AE88)</f>
        <v>-1.8762276455522892E-2</v>
      </c>
      <c r="AF88" s="43">
        <f>LN('2.ΤΙΜΕΣ ΚΛΕΙΣΙΜΑΤΟΣ'!AF89/'2.ΤΙΜΕΣ ΚΛΕΙΣΙΜΑΤΟΣ'!AF88)</f>
        <v>-3.4367643504207887E-2</v>
      </c>
      <c r="AG88" s="43">
        <f>LN('2.ΤΙΜΕΣ ΚΛΕΙΣΙΜΑΤΟΣ'!AG89/'2.ΤΙΜΕΣ ΚΛΕΙΣΙΜΑΤΟΣ'!AG88)</f>
        <v>-0.10170420445471592</v>
      </c>
      <c r="AH88" s="43">
        <f>LN('2.ΤΙΜΕΣ ΚΛΕΙΣΙΜΑΤΟΣ'!AH89/'2.ΤΙΜΕΣ ΚΛΕΙΣΙΜΑΤΟΣ'!AH88)</f>
        <v>1.600034134644112E-2</v>
      </c>
      <c r="AI88" s="43">
        <f>LN('2.ΤΙΜΕΣ ΚΛΕΙΣΙΜΑΤΟΣ'!AI89/'2.ΤΙΜΕΣ ΚΛΕΙΣΙΜΑΤΟΣ'!AI88)</f>
        <v>-8.0321716972642666E-3</v>
      </c>
      <c r="AJ88" s="43">
        <f>LN('2.ΤΙΜΕΣ ΚΛΕΙΣΙΜΑΤΟΣ'!AJ89/'2.ΤΙΜΕΣ ΚΛΕΙΣΙΜΑΤΟΣ'!AJ88)</f>
        <v>-8.23049913651548E-3</v>
      </c>
      <c r="AK88" s="43">
        <f>LN('2.ΤΙΜΕΣ ΚΛΕΙΣΙΜΑΤΟΣ'!AK89/'2.ΤΙΜΕΣ ΚΛΕΙΣΙΜΑΤΟΣ'!AK88)</f>
        <v>-4.4451762570833692E-2</v>
      </c>
      <c r="AL88" s="43">
        <f>LN('2.ΤΙΜΕΣ ΚΛΕΙΣΙΜΑΤΟΣ'!AL89/'2.ΤΙΜΕΣ ΚΛΕΙΣΙΜΑΤΟΣ'!AL88)</f>
        <v>-4.8790164169431827E-2</v>
      </c>
      <c r="AM88" s="43">
        <f>LN('2.ΤΙΜΕΣ ΚΛΕΙΣΙΜΑΤΟΣ'!AM89/'2.ΤΙΜΕΣ ΚΛΕΙΣΙΜΑΤΟΣ'!AM88)</f>
        <v>-2.3501773449535156E-3</v>
      </c>
      <c r="AN88" s="43">
        <f>LN('2.ΤΙΜΕΣ ΚΛΕΙΣΙΜΑΤΟΣ'!AN89/'2.ΤΙΜΕΣ ΚΛΕΙΣΙΜΑΤΟΣ'!AN88)</f>
        <v>1.3201511858535981E-2</v>
      </c>
      <c r="AO88" s="43">
        <f>LN('2.ΤΙΜΕΣ ΚΛΕΙΣΙΜΑΤΟΣ'!AO89/'2.ΤΙΜΕΣ ΚΛΕΙΣΙΜΑΤΟΣ'!AO88)</f>
        <v>-2.403319944415622E-2</v>
      </c>
      <c r="AP88" s="43">
        <f>LN('2.ΤΙΜΕΣ ΚΛΕΙΣΙΜΑΤΟΣ'!AP89/'2.ΤΙΜΕΣ ΚΛΕΙΣΙΜΑΤΟΣ'!AP88)</f>
        <v>-3.0098031157279413E-2</v>
      </c>
      <c r="AQ88" s="43">
        <f>LN('2.ΤΙΜΕΣ ΚΛΕΙΣΙΜΑΤΟΣ'!AQ89/'2.ΤΙΜΕΣ ΚΛΕΙΣΙΜΑΤΟΣ'!AQ88)</f>
        <v>-6.7729447440179363E-2</v>
      </c>
      <c r="AR88" s="43">
        <f>LN('2.ΤΙΜΕΣ ΚΛΕΙΣΙΜΑΤΟΣ'!AR89/'2.ΤΙΜΕΣ ΚΛΕΙΣΙΜΑΤΟΣ'!AR88)</f>
        <v>-0.14660347419187525</v>
      </c>
      <c r="AS88" s="43">
        <f>LN('2.ΤΙΜΕΣ ΚΛΕΙΣΙΜΑΤΟΣ'!AS89/'2.ΤΙΜΕΣ ΚΛΕΙΣΙΜΑΤΟΣ'!AS88)</f>
        <v>-6.1300525863795856E-2</v>
      </c>
      <c r="AT88" s="43">
        <f>LN('2.ΤΙΜΕΣ ΚΛΕΙΣΙΜΑΤΟΣ'!AT89/'2.ΤΙΜΕΣ ΚΛΕΙΣΙΜΑΤΟΣ'!AT88)</f>
        <v>-6.6249385541200717E-2</v>
      </c>
      <c r="AU88" s="43">
        <f>LN('2.ΤΙΜΕΣ ΚΛΕΙΣΙΜΑΤΟΣ'!AU89/'2.ΤΙΜΕΣ ΚΛΕΙΣΙΜΑΤΟΣ'!AU88)</f>
        <v>-3.9064812482027721E-2</v>
      </c>
    </row>
    <row r="89" spans="1:47">
      <c r="A89" s="41">
        <v>43683</v>
      </c>
      <c r="B89" s="43">
        <f>LN('2.ΤΙΜΕΣ ΚΛΕΙΣΙΜΑΤΟΣ'!B90/'2.ΤΙΜΕΣ ΚΛΕΙΣΙΜΑΤΟΣ'!B89)</f>
        <v>5.9602825455033672E-3</v>
      </c>
      <c r="C89" s="43">
        <f>LN('2.ΤΙΜΕΣ ΚΛΕΙΣΙΜΑΤΟΣ'!C90/'2.ΤΙΜΕΣ ΚΛΕΙΣΙΜΑΤΟΣ'!C89)</f>
        <v>1.6273396593754076E-3</v>
      </c>
      <c r="D89" s="43">
        <f>LN('2.ΤΙΜΕΣ ΚΛΕΙΣΙΜΑΤΟΣ'!D90/'2.ΤΙΜΕΣ ΚΛΕΙΣΙΜΑΤΟΣ'!D89)</f>
        <v>-1.516336996140707E-2</v>
      </c>
      <c r="E89" s="43">
        <f>LN('2.ΤΙΜΕΣ ΚΛΕΙΣΙΜΑΤΟΣ'!E90/'2.ΤΙΜΕΣ ΚΛΕΙΣΙΜΑΤΟΣ'!E89)</f>
        <v>-6.0186580209867343E-4</v>
      </c>
      <c r="F89" s="43">
        <f>LN('2.ΤΙΜΕΣ ΚΛΕΙΣΙΜΑΤΟΣ'!F90/'2.ΤΙΜΕΣ ΚΛΕΙΣΙΜΑΤΟΣ'!F89)</f>
        <v>-1.8610279856667713E-2</v>
      </c>
      <c r="G89" s="43">
        <f>LN('2.ΤΙΜΕΣ ΚΛΕΙΣΙΜΑΤΟΣ'!G90/'2.ΤΙΜΕΣ ΚΛΕΙΣΙΜΑΤΟΣ'!G89)</f>
        <v>-2.515023362277501E-2</v>
      </c>
      <c r="H89" s="43">
        <f>LN('2.ΤΙΜΕΣ ΚΛΕΙΣΙΜΑΤΟΣ'!H90/'2.ΤΙΜΕΣ ΚΛΕΙΣΙΜΑΤΟΣ'!H89)</f>
        <v>-1.2750628118782439E-2</v>
      </c>
      <c r="I89" s="43">
        <f>LN('2.ΤΙΜΕΣ ΚΛΕΙΣΙΜΑΤΟΣ'!I90/'2.ΤΙΜΕΣ ΚΛΕΙΣΙΜΑΤΟΣ'!I89)</f>
        <v>-2.6317308317373417E-2</v>
      </c>
      <c r="J89" s="43">
        <f>LN('2.ΤΙΜΕΣ ΚΛΕΙΣΙΜΑΤΟΣ'!J90/'2.ΤΙΜΕΣ ΚΛΕΙΣΙΜΑΤΟΣ'!J89)</f>
        <v>-3.2620918169266148E-2</v>
      </c>
      <c r="K89" s="43">
        <f>LN('2.ΤΙΜΕΣ ΚΛΕΙΣΙΜΑΤΟΣ'!K90/'2.ΤΙΜΕΣ ΚΛΕΙΣΙΜΑΤΟΣ'!K89)</f>
        <v>-2.5885207987678849E-2</v>
      </c>
      <c r="L89" s="43">
        <f>LN('2.ΤΙΜΕΣ ΚΛΕΙΣΙΜΑΤΟΣ'!L90/'2.ΤΙΜΕΣ ΚΛΕΙΣΙΜΑΤΟΣ'!L89)</f>
        <v>-2.3347363996991177E-2</v>
      </c>
      <c r="M89" s="43">
        <f>LN('2.ΤΙΜΕΣ ΚΛΕΙΣΙΜΑΤΟΣ'!M90/'2.ΤΙΜΕΣ ΚΛΕΙΣΙΜΑΤΟΣ'!M89)</f>
        <v>-4.2238711161851714E-3</v>
      </c>
      <c r="N89" s="43">
        <f>LN('2.ΤΙΜΕΣ ΚΛΕΙΣΙΜΑΤΟΣ'!N90/'2.ΤΙΜΕΣ ΚΛΕΙΣΙΜΑΤΟΣ'!N89)</f>
        <v>1.294684781292773E-3</v>
      </c>
      <c r="O89" s="43">
        <f>LN('2.ΤΙΜΕΣ ΚΛΕΙΣΙΜΑΤΟΣ'!O90/'2.ΤΙΜΕΣ ΚΛΕΙΣΙΜΑΤΟΣ'!O89)</f>
        <v>6.3091691932647556E-3</v>
      </c>
      <c r="P89" s="43">
        <f>LN('2.ΤΙΜΕΣ ΚΛΕΙΣΙΜΑΤΟΣ'!P90/'2.ΤΙΜΕΣ ΚΛΕΙΣΙΜΑΤΟΣ'!P89)</f>
        <v>-1.1173300598125076E-2</v>
      </c>
      <c r="Q89" s="43">
        <f>LN('2.ΤΙΜΕΣ ΚΛΕΙΣΙΜΑΤΟΣ'!Q90/'2.ΤΙΜΕΣ ΚΛΕΙΣΙΜΑΤΟΣ'!Q89)</f>
        <v>1.7222439913410294E-2</v>
      </c>
      <c r="R89" s="43">
        <f>LN('2.ΤΙΜΕΣ ΚΛΕΙΣΙΜΑΤΟΣ'!R90/'2.ΤΙΜΕΣ ΚΛΕΙΣΙΜΑΤΟΣ'!R89)</f>
        <v>1.0703466099359613E-2</v>
      </c>
      <c r="S89" s="43">
        <f>LN('2.ΤΙΜΕΣ ΚΛΕΙΣΙΜΑΤΟΣ'!S90/'2.ΤΙΜΕΣ ΚΛΕΙΣΙΜΑΤΟΣ'!S89)</f>
        <v>-4.6345175176365487E-2</v>
      </c>
      <c r="T89" s="43">
        <f>LN('2.ΤΙΜΕΣ ΚΛΕΙΣΙΜΑΤΟΣ'!T90/'2.ΤΙΜΕΣ ΚΛΕΙΣΙΜΑΤΟΣ'!T89)</f>
        <v>-1.5584731016698316E-2</v>
      </c>
      <c r="U89" s="43">
        <f>LN('2.ΤΙΜΕΣ ΚΛΕΙΣΙΜΑΤΟΣ'!U90/'2.ΤΙΜΕΣ ΚΛΕΙΣΙΜΑΤΟΣ'!U89)</f>
        <v>-1.9371065755999693E-2</v>
      </c>
      <c r="V89" s="43">
        <f>LN('2.ΤΙΜΕΣ ΚΛΕΙΣΙΜΑΤΟΣ'!V90/'2.ΤΙΜΕΣ ΚΛΕΙΣΙΜΑΤΟΣ'!V89)</f>
        <v>-4.2283361095210642E-3</v>
      </c>
      <c r="W89" s="43">
        <f>LN('2.ΤΙΜΕΣ ΚΛΕΙΣΙΜΑΤΟΣ'!W90/'2.ΤΙΜΕΣ ΚΛΕΙΣΙΜΑΤΟΣ'!W89)</f>
        <v>6.1766718917289163E-3</v>
      </c>
      <c r="X89" s="43">
        <f>LN('2.ΤΙΜΕΣ ΚΛΕΙΣΙΜΑΤΟΣ'!X90/'2.ΤΙΜΕΣ ΚΛΕΙΣΙΜΑΤΟΣ'!X89)</f>
        <v>8.7804716211323328E-3</v>
      </c>
      <c r="Y89" s="43">
        <f>LN('2.ΤΙΜΕΣ ΚΛΕΙΣΙΜΑΤΟΣ'!Y90/'2.ΤΙΜΕΣ ΚΛΕΙΣΙΜΑΤΟΣ'!Y89)</f>
        <v>0</v>
      </c>
      <c r="Z89" s="43">
        <f>LN('2.ΤΙΜΕΣ ΚΛΕΙΣΙΜΑΤΟΣ'!Z90/'2.ΤΙΜΕΣ ΚΛΕΙΣΙΜΑΤΟΣ'!Z89)</f>
        <v>0</v>
      </c>
      <c r="AA89" s="43">
        <f>LN('2.ΤΙΜΕΣ ΚΛΕΙΣΙΜΑΤΟΣ'!AA90/'2.ΤΙΜΕΣ ΚΛΕΙΣΙΜΑΤΟΣ'!AA89)</f>
        <v>-3.4542348680874461E-3</v>
      </c>
      <c r="AB89" s="43">
        <f>LN('2.ΤΙΜΕΣ ΚΛΕΙΣΙΜΑΤΟΣ'!AB90/'2.ΤΙΜΕΣ ΚΛΕΙΣΙΜΑΤΟΣ'!AB89)</f>
        <v>1.8264845260345028E-3</v>
      </c>
      <c r="AC89" s="43">
        <f>LN('2.ΤΙΜΕΣ ΚΛΕΙΣΙΜΑΤΟΣ'!AC90/'2.ΤΙΜΕΣ ΚΛΕΙΣΙΜΑΤΟΣ'!AC89)</f>
        <v>-2.8248606355547388E-3</v>
      </c>
      <c r="AD89" s="43">
        <f>LN('2.ΤΙΜΕΣ ΚΛΕΙΣΙΜΑΤΟΣ'!AD90/'2.ΤΙΜΕΣ ΚΛΕΙΣΙΜΑΤΟΣ'!AD89)</f>
        <v>0</v>
      </c>
      <c r="AE89" s="43">
        <f>LN('2.ΤΙΜΕΣ ΚΛΕΙΣΙΜΑΤΟΣ'!AE90/'2.ΤΙΜΕΣ ΚΛΕΙΣΙΜΑΤΟΣ'!AE89)</f>
        <v>0</v>
      </c>
      <c r="AF89" s="43">
        <f>LN('2.ΤΙΜΕΣ ΚΛΕΙΣΙΜΑΤΟΣ'!AF90/'2.ΤΙΜΕΣ ΚΛΕΙΣΙΜΑΤΟΣ'!AF89)</f>
        <v>-9.3677500036001594E-3</v>
      </c>
      <c r="AG89" s="43">
        <f>LN('2.ΤΙΜΕΣ ΚΛΕΙΣΙΜΑΤΟΣ'!AG90/'2.ΤΙΜΕΣ ΚΛΕΙΣΙΜΑΤΟΣ'!AG89)</f>
        <v>1.4493007302566824E-2</v>
      </c>
      <c r="AH89" s="43">
        <f>LN('2.ΤΙΜΕΣ ΚΛΕΙΣΙΜΑΤΟΣ'!AH90/'2.ΤΙΜΕΣ ΚΛΕΙΣΙΜΑΤΟΣ'!AH89)</f>
        <v>-2.409755157906053E-2</v>
      </c>
      <c r="AI89" s="43">
        <f>LN('2.ΤΙΜΕΣ ΚΛΕΙΣΙΜΑΤΟΣ'!AI90/'2.ΤΙΜΕΣ ΚΛΕΙΣΙΜΑΤΟΣ'!AI89)</f>
        <v>0</v>
      </c>
      <c r="AJ89" s="43">
        <f>LN('2.ΤΙΜΕΣ ΚΛΕΙΣΙΜΑΤΟΣ'!AJ90/'2.ΤΙΜΕΣ ΚΛΕΙΣΙΜΑΤΟΣ'!AJ89)</f>
        <v>3.2523191705560145E-2</v>
      </c>
      <c r="AK89" s="43">
        <f>LN('2.ΤΙΜΕΣ ΚΛΕΙΣΙΜΑΤΟΣ'!AK90/'2.ΤΙΜΕΣ ΚΛΕΙΣΙΜΑΤΟΣ'!AK89)</f>
        <v>-4.5558165358608018E-3</v>
      </c>
      <c r="AL89" s="43">
        <f>LN('2.ΤΙΜΕΣ ΚΛΕΙΣΙΜΑΤΟΣ'!AL90/'2.ΤΙΜΕΣ ΚΛΕΙΣΙΜΑΤΟΣ'!AL89)</f>
        <v>2.1202207650602906E-2</v>
      </c>
      <c r="AM89" s="43">
        <f>LN('2.ΤΙΜΕΣ ΚΛΕΙΣΙΜΑΤΟΣ'!AM90/'2.ΤΙΜΕΣ ΚΛΕΙΣΙΜΑΤΟΣ'!AM89)</f>
        <v>-2.1403908663153493E-2</v>
      </c>
      <c r="AN89" s="43">
        <f>LN('2.ΤΙΜΕΣ ΚΛΕΙΣΙΜΑΤΟΣ'!AN90/'2.ΤΙΜΕΣ ΚΛΕΙΣΙΜΑΤΟΣ'!AN89)</f>
        <v>-2.4897551621727201E-2</v>
      </c>
      <c r="AO89" s="43">
        <f>LN('2.ΤΙΜΕΣ ΚΛΕΙΣΙΜΑΤΟΣ'!AO90/'2.ΤΙΜΕΣ ΚΛΕΙΣΙΜΑΤΟΣ'!AO89)</f>
        <v>-1.0869672236903879E-2</v>
      </c>
      <c r="AP89" s="43">
        <f>LN('2.ΤΙΜΕΣ ΚΛΕΙΣΙΜΑΤΟΣ'!AP90/'2.ΤΙΜΕΣ ΚΛΕΙΣΙΜΑΤΟΣ'!AP89)</f>
        <v>-1.1173300598125189E-2</v>
      </c>
      <c r="AQ89" s="43">
        <f>LN('2.ΤΙΜΕΣ ΚΛΕΙΣΙΜΑΤΟΣ'!AQ90/'2.ΤΙΜΕΣ ΚΛΕΙΣΙΜΑΤΟΣ'!AQ89)</f>
        <v>-9.5148196413386201E-3</v>
      </c>
      <c r="AR89" s="43">
        <f>LN('2.ΤΙΜΕΣ ΚΛΕΙΣΙΜΑΤΟΣ'!AR90/'2.ΤΙΜΕΣ ΚΛΕΙΣΙΜΑΤΟΣ'!AR89)</f>
        <v>5.1293294387550481E-2</v>
      </c>
      <c r="AS89" s="43">
        <f>LN('2.ΤΙΜΕΣ ΚΛΕΙΣΙΜΑΤΟΣ'!AS90/'2.ΤΙΜΕΣ ΚΛΕΙΣΙΜΑΤΟΣ'!AS89)</f>
        <v>-1.4472032608534319E-2</v>
      </c>
      <c r="AT89" s="43">
        <f>LN('2.ΤΙΜΕΣ ΚΛΕΙΣΙΜΑΤΟΣ'!AT90/'2.ΤΙΜΕΣ ΚΛΕΙΣΙΜΑΤΟΣ'!AT89)</f>
        <v>7.7973104600317106E-3</v>
      </c>
      <c r="AU89" s="43">
        <f>LN('2.ΤΙΜΕΣ ΚΛΕΙΣΙΜΑΤΟΣ'!AU90/'2.ΤΙΜΕΣ ΚΛΕΙΣΙΜΑΤΟΣ'!AU89)</f>
        <v>-7.9379069492023363E-3</v>
      </c>
    </row>
    <row r="90" spans="1:47">
      <c r="A90" s="41">
        <v>43684</v>
      </c>
      <c r="B90" s="43">
        <f>LN('2.ΤΙΜΕΣ ΚΛΕΙΣΙΜΑΤΟΣ'!B91/'2.ΤΙΜΕΣ ΚΛΕΙΣΙΜΑΤΟΣ'!B90)</f>
        <v>6.6006603056574433E-4</v>
      </c>
      <c r="C90" s="43">
        <f>LN('2.ΤΙΜΕΣ ΚΛΕΙΣΙΜΑΤΟΣ'!C91/'2.ΤΙΜΕΣ ΚΛΕΙΣΙΜΑΤΟΣ'!C90)</f>
        <v>-5.7073126792908666E-3</v>
      </c>
      <c r="D90" s="43">
        <f>LN('2.ΤΙΜΕΣ ΚΛΕΙΣΙΜΑΤΟΣ'!D91/'2.ΤΙΜΕΣ ΚΛΕΙΣΙΜΑΤΟΣ'!D90)</f>
        <v>-5.6558328565613509E-3</v>
      </c>
      <c r="E90" s="43">
        <f>LN('2.ΤΙΜΕΣ ΚΛΕΙΣΙΜΑΤΟΣ'!E91/'2.ΤΙΜΕΣ ΚΛΕΙΣΙΜΑΤΟΣ'!E90)</f>
        <v>5.4037957975058056E-3</v>
      </c>
      <c r="F90" s="43">
        <f>LN('2.ΤΙΜΕΣ ΚΛΕΙΣΙΜΑΤΟΣ'!F91/'2.ΤΙΜΕΣ ΚΛΕΙΣΙΜΑΤΟΣ'!F90)</f>
        <v>-5.540180375615468E-3</v>
      </c>
      <c r="G90" s="43">
        <f>LN('2.ΤΙΜΕΣ ΚΛΕΙΣΙΜΑΤΟΣ'!G91/'2.ΤΙΜΕΣ ΚΛΕΙΣΙΜΑΤΟΣ'!G90)</f>
        <v>-1.3413818242013361E-3</v>
      </c>
      <c r="H90" s="43">
        <f>LN('2.ΤΙΜΕΣ ΚΛΕΙΣΙΜΑΤΟΣ'!H91/'2.ΤΙΜΕΣ ΚΛΕΙΣΙΜΑΤΟΣ'!H90)</f>
        <v>-9.170106098813723E-4</v>
      </c>
      <c r="I90" s="43">
        <f>LN('2.ΤΙΜΕΣ ΚΛΕΙΣΙΜΑΤΟΣ'!I91/'2.ΤΙΜΕΣ ΚΛΕΙΣΙΜΑΤΟΣ'!I90)</f>
        <v>-1.3423020332140661E-2</v>
      </c>
      <c r="J90" s="43">
        <f>LN('2.ΤΙΜΕΣ ΚΛΕΙΣΙΜΑΤΟΣ'!J91/'2.ΤΙΜΕΣ ΚΛΕΙΣΙΜΑΤΟΣ'!J90)</f>
        <v>-5.2493558861436782E-3</v>
      </c>
      <c r="K90" s="43">
        <f>LN('2.ΤΙΜΕΣ ΚΛΕΙΣΙΜΑΤΟΣ'!K91/'2.ΤΙΜΕΣ ΚΛΕΙΣΙΜΑΤΟΣ'!K90)</f>
        <v>-1.7266087414001954E-2</v>
      </c>
      <c r="L90" s="43">
        <f>LN('2.ΤΙΜΕΣ ΚΛΕΙΣΙΜΑΤΟΣ'!L91/'2.ΤΙΜΕΣ ΚΛΕΙΣΙΜΑΤΟΣ'!L90)</f>
        <v>6.8661378131992679E-3</v>
      </c>
      <c r="M90" s="43">
        <f>LN('2.ΤΙΜΕΣ ΚΛΕΙΣΙΜΑΤΟΣ'!M91/'2.ΤΙΜΕΣ ΚΛΕΙΣΙΜΑΤΟΣ'!M90)</f>
        <v>-1.0638398205055754E-2</v>
      </c>
      <c r="N90" s="43">
        <f>LN('2.ΤΙΜΕΣ ΚΛΕΙΣΙΜΑΤΟΣ'!N91/'2.ΤΙΜΕΣ ΚΛΕΙΣΙΜΑΤΟΣ'!N90)</f>
        <v>-1.4188742451308104E-2</v>
      </c>
      <c r="O90" s="43">
        <f>LN('2.ΤΙΜΕΣ ΚΛΕΙΣΙΜΑΤΟΣ'!O91/'2.ΤΙΜΕΣ ΚΛΕΙΣΙΜΑΤΟΣ'!O90)</f>
        <v>-1.011386623692867E-2</v>
      </c>
      <c r="P90" s="43">
        <f>LN('2.ΤΙΜΕΣ ΚΛΕΙΣΙΜΑΤΟΣ'!P91/'2.ΤΙΜΕΣ ΚΛΕΙΣΙΜΑΤΟΣ'!P90)</f>
        <v>-6.4412461028569932E-3</v>
      </c>
      <c r="Q90" s="43">
        <f>LN('2.ΤΙΜΕΣ ΚΛΕΙΣΙΜΑΤΟΣ'!Q91/'2.ΤΙΜΕΣ ΚΛΕΙΣΙΜΑΤΟΣ'!Q90)</f>
        <v>-2.2523474667082991E-2</v>
      </c>
      <c r="R90" s="43">
        <f>LN('2.ΤΙΜΕΣ ΚΛΕΙΣΙΜΑΤΟΣ'!R91/'2.ΤΙΜΕΣ ΚΛΕΙΣΙΜΑΤΟΣ'!R90)</f>
        <v>-3.8764543450244306E-2</v>
      </c>
      <c r="S90" s="43">
        <f>LN('2.ΤΙΜΕΣ ΚΛΕΙΣΙΜΑΤΟΣ'!S91/'2.ΤΙΜΕΣ ΚΛΕΙΣΙΜΑΤΟΣ'!S90)</f>
        <v>-1.0309369658861213E-2</v>
      </c>
      <c r="T90" s="43">
        <f>LN('2.ΤΙΜΕΣ ΚΛΕΙΣΙΜΑΤΟΣ'!T91/'2.ΤΙΜΕΣ ΚΛΕΙΣΙΜΑΤΟΣ'!T90)</f>
        <v>-2.6526754333428482E-2</v>
      </c>
      <c r="U90" s="43">
        <f>LN('2.ΤΙΜΕΣ ΚΛΕΙΣΙΜΑΤΟΣ'!U91/'2.ΤΙΜΕΣ ΚΛΕΙΣΙΜΑΤΟΣ'!U90)</f>
        <v>-2.4252611605492757E-2</v>
      </c>
      <c r="V90" s="43">
        <f>LN('2.ΤΙΜΕΣ ΚΛΕΙΣΙΜΑΤΟΣ'!V91/'2.ΤΙΜΕΣ ΚΛΕΙΣΙΜΑΤΟΣ'!V90)</f>
        <v>-1.7094433359300183E-2</v>
      </c>
      <c r="W90" s="43">
        <f>LN('2.ΤΙΜΕΣ ΚΛΕΙΣΙΜΑΤΟΣ'!W91/'2.ΤΙΜΕΣ ΚΛΕΙΣΙΜΑΤΟΣ'!W90)</f>
        <v>-6.176671891729062E-3</v>
      </c>
      <c r="X90" s="43">
        <f>LN('2.ΤΙΜΕΣ ΚΛΕΙΣΙΜΑΤΟΣ'!X91/'2.ΤΙΜΕΣ ΚΛΕΙΣΙΜΑΤΟΣ'!X90)</f>
        <v>-8.7804716211322669E-3</v>
      </c>
      <c r="Y90" s="43">
        <f>LN('2.ΤΙΜΕΣ ΚΛΕΙΣΙΜΑΤΟΣ'!Y91/'2.ΤΙΜΕΣ ΚΛΕΙΣΙΜΑΤΟΣ'!Y90)</f>
        <v>-1.076436658715843E-2</v>
      </c>
      <c r="Z90" s="43">
        <f>LN('2.ΤΙΜΕΣ ΚΛΕΙΣΙΜΑΤΟΣ'!Z91/'2.ΤΙΜΕΣ ΚΛΕΙΣΙΜΑΤΟΣ'!Z90)</f>
        <v>0</v>
      </c>
      <c r="AA90" s="43">
        <f>LN('2.ΤΙΜΕΣ ΚΛΕΙΣΙΜΑΤΟΣ'!AA91/'2.ΤΙΜΕΣ ΚΛΕΙΣΙΜΑΤΟΣ'!AA90)</f>
        <v>-6.9444723528110461E-3</v>
      </c>
      <c r="AB90" s="43">
        <f>LN('2.ΤΙΜΕΣ ΚΛΕΙΣΙΜΑΤΟΣ'!AB91/'2.ΤΙΜΕΣ ΚΛΕΙΣΙΜΑΤΟΣ'!AB90)</f>
        <v>-1.4706147389695449E-2</v>
      </c>
      <c r="AC90" s="43">
        <f>LN('2.ΤΙΜΕΣ ΚΛΕΙΣΙΜΑΤΟΣ'!AC91/'2.ΤΙΜΕΣ ΚΛΕΙΣΙΜΑΤΟΣ'!AC90)</f>
        <v>-1.415428403330728E-3</v>
      </c>
      <c r="AD90" s="43">
        <f>LN('2.ΤΙΜΕΣ ΚΛΕΙΣΙΜΑΤΟΣ'!AD91/'2.ΤΙΜΕΣ ΚΛΕΙΣΙΜΑΤΟΣ'!AD90)</f>
        <v>-2.8737609767356682E-2</v>
      </c>
      <c r="AE90" s="43">
        <f>LN('2.ΤΙΜΕΣ ΚΛΕΙΣΙΜΑΤΟΣ'!AE91/'2.ΤΙΜΕΣ ΚΛΕΙΣΙΜΑΤΟΣ'!AE90)</f>
        <v>-3.077165866675366E-2</v>
      </c>
      <c r="AF90" s="43">
        <f>LN('2.ΤΙΜΕΣ ΚΛΕΙΣΙΜΑΤΟΣ'!AF91/'2.ΤΙΜΕΣ ΚΛΕΙΣΙΜΑΤΟΣ'!AF90)</f>
        <v>-1.6607736399660636E-2</v>
      </c>
      <c r="AG90" s="43">
        <f>LN('2.ΤΙΜΕΣ ΚΛΕΙΣΙΜΑΤΟΣ'!AG91/'2.ΤΙΜΕΣ ΚΛΕΙΣΙΜΑΤΟΣ'!AG90)</f>
        <v>-9.2914969078370005E-2</v>
      </c>
      <c r="AH90" s="43">
        <f>LN('2.ΤΙΜΕΣ ΚΛΕΙΣΙΜΑΤΟΣ'!AH91/'2.ΤΙΜΕΣ ΚΛΕΙΣΙΜΑΤΟΣ'!AH90)</f>
        <v>-8.1633106391609811E-3</v>
      </c>
      <c r="AI90" s="43">
        <f>LN('2.ΤΙΜΕΣ ΚΛΕΙΣΙΜΑΤΟΣ'!AI91/'2.ΤΙΜΕΣ ΚΛΕΙΣΙΜΑΤΟΣ'!AI90)</f>
        <v>-8.0972102326193618E-3</v>
      </c>
      <c r="AJ90" s="43">
        <f>LN('2.ΤΙΜΕΣ ΚΛΕΙΣΙΜΑΤΟΣ'!AJ91/'2.ΤΙΜΕΣ ΚΛΕΙΣΙΜΑΤΟΣ'!AJ90)</f>
        <v>-2.4292692569044587E-2</v>
      </c>
      <c r="AK90" s="43">
        <f>LN('2.ΤΙΜΕΣ ΚΛΕΙΣΙΜΑΤΟΣ'!AK91/'2.ΤΙΜΕΣ ΚΛΕΙΣΙΜΑΤΟΣ'!AK90)</f>
        <v>-1.8433701688838022E-2</v>
      </c>
      <c r="AL90" s="43">
        <f>LN('2.ΤΙΜΕΣ ΚΛΕΙΣΙΜΑΤΟΣ'!AL91/'2.ΤΙΜΕΣ ΚΛΕΙΣΙΜΑΤΟΣ'!AL90)</f>
        <v>-5.0189744523855162E-2</v>
      </c>
      <c r="AM90" s="43">
        <f>LN('2.ΤΙΜΕΣ ΚΛΕΙΣΙΜΑΤΟΣ'!AM91/'2.ΤΙΜΕΣ ΚΛΕΙΣΙΜΑΤΟΣ'!AM90)</f>
        <v>2.4009615375380463E-3</v>
      </c>
      <c r="AN90" s="43">
        <f>LN('2.ΤΙΜΕΣ ΚΛΕΙΣΙΜΑΤΟΣ'!AN91/'2.ΤΙΜΕΣ ΚΛΕΙΣΙΜΑΤΟΣ'!AN90)</f>
        <v>-2.2090957814191972E-2</v>
      </c>
      <c r="AO90" s="43">
        <f>LN('2.ΤΙΜΕΣ ΚΛΕΙΣΙΜΑΤΟΣ'!AO91/'2.ΤΙΜΕΣ ΚΛΕΙΣΙΜΑΤΟΣ'!AO90)</f>
        <v>-1.6529301951210582E-2</v>
      </c>
      <c r="AP90" s="43">
        <f>LN('2.ΤΙΜΕΣ ΚΛΕΙΣΙΜΑΤΟΣ'!AP91/'2.ΤΙΜΕΣ ΚΛΕΙΣΙΜΑΤΟΣ'!AP90)</f>
        <v>-2.8129413766147236E-3</v>
      </c>
      <c r="AQ90" s="43">
        <f>LN('2.ΤΙΜΕΣ ΚΛΕΙΣΙΜΑΤΟΣ'!AQ91/'2.ΤΙΜΕΣ ΚΛΕΙΣΙΜΑΤΟΣ'!AQ90)</f>
        <v>-6.5176072960250714E-2</v>
      </c>
      <c r="AR90" s="43">
        <f>LN('2.ΤΙΜΕΣ ΚΛΕΙΣΙΜΑΤΟΣ'!AR91/'2.ΤΙΜΕΣ ΚΛΕΙΣΙΜΑΤΟΣ'!AR90)</f>
        <v>-2.5317807984289897E-2</v>
      </c>
      <c r="AS90" s="43">
        <f>LN('2.ΤΙΜΕΣ ΚΛΕΙΣΙΜΑΤΟΣ'!AS91/'2.ΤΙΜΕΣ ΚΛΕΙΣΙΜΑΤΟΣ'!AS90)</f>
        <v>-2.9197101033348618E-3</v>
      </c>
      <c r="AT90" s="43">
        <f>LN('2.ΤΙΜΕΣ ΚΛΕΙΣΙΜΑΤΟΣ'!AT91/'2.ΤΙΜΕΣ ΚΛΕΙΣΙΜΑΤΟΣ'!AT90)</f>
        <v>-7.8749046432316255E-2</v>
      </c>
      <c r="AU90" s="43">
        <f>LN('2.ΤΙΜΕΣ ΚΛΕΙΣΙΜΑΤΟΣ'!AU91/'2.ΤΙΜΕΣ ΚΛΕΙΣΙΜΑΤΟΣ'!AU90)</f>
        <v>-8.2163087140620372E-3</v>
      </c>
    </row>
    <row r="91" spans="1:47">
      <c r="A91" s="41">
        <v>43685</v>
      </c>
      <c r="B91" s="43">
        <f>LN('2.ΤΙΜΕΣ ΚΛΕΙΣΙΜΑΤΟΣ'!B92/'2.ΤΙΜΕΣ ΚΛΕΙΣΙΜΑΤΟΣ'!B91)</f>
        <v>-3.6357666888878577E-3</v>
      </c>
      <c r="C91" s="43">
        <f>LN('2.ΤΙΜΕΣ ΚΛΕΙΣΙΜΑΤΟΣ'!C92/'2.ΤΙΜΕΣ ΚΛΕΙΣΙΜΑΤΟΣ'!C91)</f>
        <v>9.7641133749051413E-3</v>
      </c>
      <c r="D91" s="43">
        <f>LN('2.ΤΙΜΕΣ ΚΛΕΙΣΙΜΑΤΟΣ'!D92/'2.ΤΙΜΕΣ ΚΛΕΙΣΙΜΑΤΟΣ'!D91)</f>
        <v>-5.1575636812981767E-4</v>
      </c>
      <c r="E91" s="43">
        <f>LN('2.ΤΙΜΕΣ ΚΛΕΙΣΙΜΑΤΟΣ'!E92/'2.ΤΙΜΕΣ ΚΛΕΙΣΙΜΑΤΟΣ'!E91)</f>
        <v>0</v>
      </c>
      <c r="F91" s="43">
        <f>LN('2.ΤΙΜΕΣ ΚΛΕΙΣΙΜΑΤΟΣ'!F92/'2.ΤΙΜΕΣ ΚΛΕΙΣΙΜΑΤΟΣ'!F91)</f>
        <v>1.980262729617973E-2</v>
      </c>
      <c r="G91" s="43">
        <f>LN('2.ΤΙΜΕΣ ΚΛΕΙΣΙΜΑΤΟΣ'!G92/'2.ΤΙΜΕΣ ΚΛΕΙΣΙΜΑΤΟΣ'!G91)</f>
        <v>1.8617559016070515E-2</v>
      </c>
      <c r="H91" s="43">
        <f>LN('2.ΤΙΜΕΣ ΚΛΕΙΣΙΜΑΤΟΣ'!H92/'2.ΤΙΜΕΣ ΚΛΕΙΣΙΜΑΤΟΣ'!H91)</f>
        <v>0</v>
      </c>
      <c r="I91" s="43">
        <f>LN('2.ΤΙΜΕΣ ΚΛΕΙΣΙΜΑΤΟΣ'!I92/'2.ΤΙΜΕΣ ΚΛΕΙΣΙΜΑΤΟΣ'!I91)</f>
        <v>6.0626659258483416E-3</v>
      </c>
      <c r="J91" s="43">
        <f>LN('2.ΤΙΜΕΣ ΚΛΕΙΣΙΜΑΤΟΣ'!J92/'2.ΤΙΜΕΣ ΚΛΕΙΣΙΜΑΤΟΣ'!J91)</f>
        <v>-4.3869270280214246E-4</v>
      </c>
      <c r="K91" s="43">
        <f>LN('2.ΤΙΜΕΣ ΚΛΕΙΣΙΜΑΤΟΣ'!K92/'2.ΤΙΜΕΣ ΚΛΕΙΣΙΜΑΤΟΣ'!K91)</f>
        <v>2.1747955494109933E-2</v>
      </c>
      <c r="L91" s="43">
        <f>LN('2.ΤΙΜΕΣ ΚΛΕΙΣΙΜΑΤΟΣ'!L92/'2.ΤΙΜΕΣ ΚΛΕΙΣΙΜΑΤΟΣ'!L91)</f>
        <v>1.4556297774207454E-2</v>
      </c>
      <c r="M91" s="43">
        <f>LN('2.ΤΙΜΕΣ ΚΛΕΙΣΙΜΑΤΟΣ'!M92/'2.ΤΙΜΕΣ ΚΛΕΙΣΙΜΑΤΟΣ'!M91)</f>
        <v>3.7779939002637972E-2</v>
      </c>
      <c r="N91" s="43">
        <f>LN('2.ΤΙΜΕΣ ΚΛΕΙΣΙΜΑΤΟΣ'!N92/'2.ΤΙΜΕΣ ΚΛΕΙΣΙΜΑΤΟΣ'!N91)</f>
        <v>7.1195360661072543E-3</v>
      </c>
      <c r="O91" s="43">
        <f>LN('2.ΤΙΜΕΣ ΚΛΕΙΣΙΜΑΤΟΣ'!O92/'2.ΤΙΜΕΣ ΚΛΕΙΣΙΜΑΤΟΣ'!O91)</f>
        <v>1.6383479250524125E-2</v>
      </c>
      <c r="P91" s="43">
        <f>LN('2.ΤΙΜΕΣ ΚΛΕΙΣΙΜΑΤΟΣ'!P92/'2.ΤΙΜΕΣ ΚΛΕΙΣΙΜΑΤΟΣ'!P91)</f>
        <v>8.0450956848314385E-3</v>
      </c>
      <c r="Q91" s="43">
        <f>LN('2.ΤΙΜΕΣ ΚΛΕΙΣΙΜΑΤΟΣ'!Q92/'2.ΤΙΜΕΣ ΚΛΕΙΣΙΜΑΤΟΣ'!Q91)</f>
        <v>4.8175302584334084E-2</v>
      </c>
      <c r="R91" s="43">
        <f>LN('2.ΤΙΜΕΣ ΚΛΕΙΣΙΜΑΤΟΣ'!R92/'2.ΤΙΜΕΣ ΚΛΕΙΣΙΜΑΤΟΣ'!R91)</f>
        <v>-7.9082645481776191E-4</v>
      </c>
      <c r="S91" s="43">
        <f>LN('2.ΤΙΜΕΣ ΚΛΕΙΣΙΜΑΤΟΣ'!S92/'2.ΤΙΜΕΣ ΚΛΕΙΣΙΜΑΤΟΣ'!S91)</f>
        <v>4.0614719154190126E-2</v>
      </c>
      <c r="T91" s="43">
        <f>LN('2.ΤΙΜΕΣ ΚΛΕΙΣΙΜΑΤΟΣ'!T92/'2.ΤΙΜΕΣ ΚΛΕΙΣΙΜΑΤΟΣ'!T91)</f>
        <v>3.174869831458027E-2</v>
      </c>
      <c r="U91" s="43">
        <f>LN('2.ΤΙΜΕΣ ΚΛΕΙΣΙΜΑΤΟΣ'!U92/'2.ΤΙΜΕΣ ΚΛΕΙΣΙΜΑΤΟΣ'!U91)</f>
        <v>9.4740175093740546E-3</v>
      </c>
      <c r="V91" s="43">
        <f>LN('2.ΤΙΜΕΣ ΚΛΕΙΣΙΜΑΤΟΣ'!V92/'2.ΤΙΜΕΣ ΚΛΕΙΣΙΜΑΤΟΣ'!V91)</f>
        <v>1.4973541790162583E-2</v>
      </c>
      <c r="W91" s="43">
        <f>LN('2.ΤΙΜΕΣ ΚΛΕΙΣΙΜΑΤΟΣ'!W92/'2.ΤΙΜΕΣ ΚΛΕΙΣΙΜΑΤΟΣ'!W91)</f>
        <v>-1.2399257633204362E-3</v>
      </c>
      <c r="X91" s="43">
        <f>LN('2.ΤΙΜΕΣ ΚΛΕΙΣΙΜΑΤΟΣ'!X92/'2.ΤΙΜΕΣ ΚΛΕΙΣΙΜΑΤΟΣ'!X91)</f>
        <v>-1.4757081532966633E-2</v>
      </c>
      <c r="Y91" s="43">
        <f>LN('2.ΤΙΜΕΣ ΚΛΕΙΣΙΜΑΤΟΣ'!Y92/'2.ΤΙΜΕΣ ΚΛΕΙΣΙΜΑΤΟΣ'!Y91)</f>
        <v>2.1621630044950956E-3</v>
      </c>
      <c r="Z91" s="43">
        <f>LN('2.ΤΙΜΕΣ ΚΛΕΙΣΙΜΑΤΟΣ'!Z92/'2.ΤΙΜΕΣ ΚΛΕΙΣΙΜΑΤΟΣ'!Z91)</f>
        <v>0</v>
      </c>
      <c r="AA91" s="43">
        <f>LN('2.ΤΙΜΕΣ ΚΛΕΙΣΙΜΑΤΟΣ'!AA92/'2.ΤΙΜΕΣ ΚΛΕΙΣΙΜΑΤΟΣ'!AA91)</f>
        <v>1.0398707220898517E-2</v>
      </c>
      <c r="AB91" s="43">
        <f>LN('2.ΤΙΜΕΣ ΚΛΕΙΣΙΜΑΤΟΣ'!AB92/'2.ΤΙΜΕΣ ΚΛΕΙΣΙΜΑΤΟΣ'!AB91)</f>
        <v>1.6529301951210506E-2</v>
      </c>
      <c r="AC91" s="43">
        <f>LN('2.ΤΙΜΕΣ ΚΛΕΙΣΙΜΑΤΟΣ'!AC92/'2.ΤΙΜΕΣ ΚΛΕΙΣΙΜΑΤΟΣ'!AC91)</f>
        <v>-1.4174346809733935E-3</v>
      </c>
      <c r="AD91" s="43">
        <f>LN('2.ΤΙΜΕΣ ΚΛΕΙΣΙΜΑΤΟΣ'!AD92/'2.ΤΙΜΕΣ ΚΛΕΙΣΙΜΑΤΟΣ'!AD91)</f>
        <v>1.877311450792479E-2</v>
      </c>
      <c r="AE91" s="43">
        <f>LN('2.ΤΙΜΕΣ ΚΛΕΙΣΙΜΑΤΟΣ'!AE92/'2.ΤΙΜΕΣ ΚΛΕΙΣΙΜΑΤΟΣ'!AE91)</f>
        <v>7.782140442054949E-3</v>
      </c>
      <c r="AF91" s="43">
        <f>LN('2.ΤΙΜΕΣ ΚΛΕΙΣΙΜΑΤΟΣ'!AF92/'2.ΤΙΜΕΣ ΚΛΕΙΣΙΜΑΤΟΣ'!AF91)</f>
        <v>2.3641763057040709E-2</v>
      </c>
      <c r="AG91" s="43">
        <f>LN('2.ΤΙΜΕΣ ΚΛΕΙΣΙΜΑΤΟΣ'!AG92/'2.ΤΙΜΕΣ ΚΛΕΙΣΙΜΑΤΟΣ'!AG91)</f>
        <v>5.1293294387550481E-2</v>
      </c>
      <c r="AH91" s="43">
        <f>LN('2.ΤΙΜΕΣ ΚΛΕΙΣΙΜΑΤΟΣ'!AH92/'2.ΤΙΜΕΣ ΚΛΕΙΣΙΜΑΤΟΣ'!AH91)</f>
        <v>-1.8197359051907582E-2</v>
      </c>
      <c r="AI91" s="43">
        <f>LN('2.ΤΙΜΕΣ ΚΛΕΙΣΙΜΑΤΟΣ'!AI92/'2.ΤΙΜΕΣ ΚΛΕΙΣΙΜΑΤΟΣ'!AI91)</f>
        <v>0</v>
      </c>
      <c r="AJ91" s="43">
        <f>LN('2.ΤΙΜΕΣ ΚΛΕΙΣΙΜΑΤΟΣ'!AJ92/'2.ΤΙΜΕΣ ΚΛΕΙΣΙΜΑΤΟΣ'!AJ91)</f>
        <v>8.1633106391608354E-3</v>
      </c>
      <c r="AK91" s="43">
        <f>LN('2.ΤΙΜΕΣ ΚΛΕΙΣΙΜΑΤΟΣ'!AK92/'2.ΤΙΜΕΣ ΚΛΕΙΣΙΜΑΤΟΣ'!AK91)</f>
        <v>1.3857034661426281E-2</v>
      </c>
      <c r="AL91" s="43">
        <f>LN('2.ΤΙΜΕΣ ΚΛΕΙΣΙΜΑΤΟΣ'!AL92/'2.ΤΙΜΕΣ ΚΛΕΙΣΙΜΑΤΟΣ'!AL91)</f>
        <v>0</v>
      </c>
      <c r="AM91" s="43">
        <f>LN('2.ΤΙΜΕΣ ΚΛΕΙΣΙΜΑΤΟΣ'!AM92/'2.ΤΙΜΕΣ ΚΛΕΙΣΙΜΑΤΟΣ'!AM91)</f>
        <v>-4.8077015681030092E-3</v>
      </c>
      <c r="AN91" s="43">
        <f>LN('2.ΤΙΜΕΣ ΚΛΕΙΣΙΜΑΤΟΣ'!AN92/'2.ΤΙΜΕΣ ΚΛΕΙΣΙΜΑΤΟΣ'!AN91)</f>
        <v>-1.7196908795265881E-3</v>
      </c>
      <c r="AO91" s="43">
        <f>LN('2.ΤΙΜΕΣ ΚΛΕΙΣΙΜΑΤΟΣ'!AO92/'2.ΤΙΜΕΣ ΚΛΕΙΣΙΜΑΤΟΣ'!AO91)</f>
        <v>-1.1173300598125189E-2</v>
      </c>
      <c r="AP91" s="43">
        <f>LN('2.ΤΙΜΕΣ ΚΛΕΙΣΙΜΑΤΟΣ'!AP92/'2.ΤΙΜΕΣ ΚΛΕΙΣΙΜΑΤΟΣ'!AP91)</f>
        <v>0</v>
      </c>
      <c r="AQ91" s="43">
        <f>LN('2.ΤΙΜΕΣ ΚΛΕΙΣΙΜΑΤΟΣ'!AQ92/'2.ΤΙΜΕΣ ΚΛΕΙΣΙΜΑΤΟΣ'!AQ91)</f>
        <v>3.0153038170687457E-2</v>
      </c>
      <c r="AR91" s="43">
        <f>LN('2.ΤΙΜΕΣ ΚΛΕΙΣΙΜΑΤΟΣ'!AR92/'2.ΤΙΜΕΣ ΚΛΕΙΣΙΜΑΤΟΣ'!AR91)</f>
        <v>5.8107630807280757E-2</v>
      </c>
      <c r="AS91" s="43">
        <f>LN('2.ΤΙΜΕΣ ΚΛΕΙΣΙΜΑΤΟΣ'!AS92/'2.ΤΙΜΕΣ ΚΛΕΙΣΙΜΑΤΟΣ'!AS91)</f>
        <v>-8.810629682154807E-3</v>
      </c>
      <c r="AT91" s="43">
        <f>LN('2.ΤΙΜΕΣ ΚΛΕΙΣΙΜΑΤΟΣ'!AT92/'2.ΤΙΜΕΣ ΚΛΕΙΣΙΜΑΤΟΣ'!AT91)</f>
        <v>2.8987536873252406E-2</v>
      </c>
      <c r="AU91" s="43">
        <f>LN('2.ΤΙΜΕΣ ΚΛΕΙΣΙΜΑΤΟΣ'!AU92/'2.ΤΙΜΕΣ ΚΛΕΙΣΙΜΑΤΟΣ'!AU91)</f>
        <v>1.0971636336594469E-2</v>
      </c>
    </row>
    <row r="92" spans="1:47">
      <c r="A92" s="41">
        <v>43686</v>
      </c>
      <c r="B92" s="43">
        <f>LN('2.ΤΙΜΕΣ ΚΛΕΙΣΙΜΑΤΟΣ'!B93/'2.ΤΙΜΕΣ ΚΛΕΙΣΙΜΑΤΟΣ'!B92)</f>
        <v>-9.9834439841832625E-3</v>
      </c>
      <c r="C92" s="43">
        <f>LN('2.ΤΙΜΕΣ ΚΛΕΙΣΙΜΑΤΟΣ'!C93/'2.ΤΙΜΕΣ ΚΛΕΙΣΙΜΑΤΟΣ'!C92)</f>
        <v>-1.3040119580806035E-2</v>
      </c>
      <c r="D92" s="43">
        <f>LN('2.ΤΙΜΕΣ ΚΛΕΙΣΙΜΑΤΟΣ'!D93/'2.ΤΙΜΕΣ ΚΛΕΙΣΙΜΑΤΟΣ'!D92)</f>
        <v>1.2305323441963426E-2</v>
      </c>
      <c r="E92" s="43">
        <f>LN('2.ΤΙΜΕΣ ΚΛΕΙΣΙΜΑΤΟΣ'!E93/'2.ΤΙΜΕΣ ΚΛΕΙΣΙΜΑΤΟΣ'!E92)</f>
        <v>-8.4185704655957896E-3</v>
      </c>
      <c r="F92" s="43">
        <f>LN('2.ΤΙΜΕΣ ΚΛΕΙΣΙΜΑΤΟΣ'!F93/'2.ΤΙΜΕΣ ΚΛΕΙΣΙΜΑΤΟΣ'!F92)</f>
        <v>-7.6544933605321901E-3</v>
      </c>
      <c r="G92" s="43">
        <f>LN('2.ΤΙΜΕΣ ΚΛΕΙΣΙΜΑΤΟΣ'!G93/'2.ΤΙΜΕΣ ΚΛΕΙΣΙΜΑΤΟΣ'!G92)</f>
        <v>-1.8617559016070453E-2</v>
      </c>
      <c r="H92" s="43">
        <f>LN('2.ΤΙΜΕΣ ΚΛΕΙΣΙΜΑΤΟΣ'!H93/'2.ΤΙΜΕΣ ΚΛΕΙΣΙΜΑΤΟΣ'!H92)</f>
        <v>0</v>
      </c>
      <c r="I92" s="43">
        <f>LN('2.ΤΙΜΕΣ ΚΛΕΙΣΙΜΑΤΟΣ'!I93/'2.ΤΙΜΕΣ ΚΛΕΙΣΙΜΑΤΟΣ'!I92)</f>
        <v>-1.9668317981626986E-2</v>
      </c>
      <c r="J92" s="43">
        <f>LN('2.ΤΙΜΕΣ ΚΛΕΙΣΙΜΑΤΟΣ'!J93/'2.ΤΙΜΕΣ ΚΛΕΙΣΙΜΑΤΟΣ'!J92)</f>
        <v>-1.756697860633441E-3</v>
      </c>
      <c r="K92" s="43">
        <f>LN('2.ΤΙΜΕΣ ΚΛΕΙΣΙΜΑΤΟΣ'!K93/'2.ΤΙΜΕΣ ΚΛΕΙΣΙΜΑΤΟΣ'!K92)</f>
        <v>1.2491154485623542E-2</v>
      </c>
      <c r="L92" s="43">
        <f>LN('2.ΤΙΜΕΣ ΚΛΕΙΣΙΜΑΤΟΣ'!L93/'2.ΤΙΜΕΣ ΚΛΕΙΣΙΜΑΤΟΣ'!L92)</f>
        <v>-2.1422435587406832E-2</v>
      </c>
      <c r="M92" s="43">
        <f>LN('2.ΤΙΜΕΣ ΚΛΕΙΣΙΜΑΤΟΣ'!M93/'2.ΤΙΜΕΣ ΚΛΕΙΣΙΜΑΤΟΣ'!M92)</f>
        <v>6.1601837514576414E-3</v>
      </c>
      <c r="N92" s="43">
        <f>LN('2.ΤΙΜΕΣ ΚΛΕΙΣΙΜΑΤΟΣ'!N93/'2.ΤΙΜΕΣ ΚΛΕΙΣΙΜΑΤΟΣ'!N92)</f>
        <v>-8.4327338910676654E-3</v>
      </c>
      <c r="O92" s="43">
        <f>LN('2.ΤΙΜΕΣ ΚΛΕΙΣΙΜΑΤΟΣ'!O93/'2.ΤΙΜΕΣ ΚΛΕΙΣΙΜΑΤΟΣ'!O92)</f>
        <v>-1.6383479250524056E-2</v>
      </c>
      <c r="P92" s="43">
        <f>LN('2.ΤΙΜΕΣ ΚΛΕΙΣΙΜΑΤΟΣ'!P93/'2.ΤΙΜΕΣ ΚΛΕΙΣΙΜΑΤΟΣ'!P92)</f>
        <v>-3.2102756302483213E-3</v>
      </c>
      <c r="Q92" s="43">
        <f>LN('2.ΤΙΜΕΣ ΚΛΕΙΣΙΜΑΤΟΣ'!Q93/'2.ΤΙΜΕΣ ΚΛΕΙΣΙΜΑΤΟΣ'!Q92)</f>
        <v>-1.237729670855503E-2</v>
      </c>
      <c r="R92" s="43">
        <f>LN('2.ΤΙΜΕΣ ΚΛΕΙΣΙΜΑΤΟΣ'!R93/'2.ΤΙΜΕΣ ΚΛΕΙΣΙΜΑΤΟΣ'!R92)</f>
        <v>-4.7581374464169233E-3</v>
      </c>
      <c r="S92" s="43">
        <f>LN('2.ΤΙΜΕΣ ΚΛΕΙΣΙΜΑΤΟΣ'!S93/'2.ΤΙΜΕΣ ΚΛΕΙΣΙΜΑΤΟΣ'!S92)</f>
        <v>-1.1257154524634334E-2</v>
      </c>
      <c r="T92" s="43">
        <f>LN('2.ΤΙΜΕΣ ΚΛΕΙΣΙΜΑΤΟΣ'!T93/'2.ΤΙΜΕΣ ΚΛΕΙΣΙΜΑΤΟΣ'!T92)</f>
        <v>-1.4426479710223353E-2</v>
      </c>
      <c r="U92" s="43">
        <f>LN('2.ΤΙΜΕΣ ΚΛΕΙΣΙΜΑΤΟΣ'!U93/'2.ΤΙΜΕΣ ΚΛΕΙΣΙΜΑΤΟΣ'!U92)</f>
        <v>4.9505051598559835E-3</v>
      </c>
      <c r="V92" s="43">
        <f>LN('2.ΤΙΜΕΣ ΚΛΕΙΣΙΜΑΤΟΣ'!V93/'2.ΤΙΜΕΣ ΚΛΕΙΣΙΜΑΤΟΣ'!V92)</f>
        <v>-1.9293202934678896E-2</v>
      </c>
      <c r="W92" s="43">
        <f>LN('2.ΤΙΜΕΣ ΚΛΕΙΣΙΜΑΤΟΣ'!W93/'2.ΤΙΜΕΣ ΚΛΕΙΣΙΜΑΤΟΣ'!W92)</f>
        <v>-4.9751346401139549E-3</v>
      </c>
      <c r="X92" s="43">
        <f>LN('2.ΤΙΜΕΣ ΚΛΕΙΣΙΜΑΤΟΣ'!X93/'2.ΤΙΜΕΣ ΚΛΕΙΣΙΜΑΤΟΣ'!X92)</f>
        <v>-5.9338325498107638E-3</v>
      </c>
      <c r="Y92" s="43">
        <f>LN('2.ΤΙΜΕΣ ΚΛΕΙΣΙΜΑΤΟΣ'!Y93/'2.ΤΙΜΕΣ ΚΛΕΙΣΙΜΑΤΟΣ'!Y92)</f>
        <v>-1.0857869972049069E-2</v>
      </c>
      <c r="Z92" s="43">
        <f>LN('2.ΤΙΜΕΣ ΚΛΕΙΣΙΜΑΤΟΣ'!Z93/'2.ΤΙΜΕΣ ΚΛΕΙΣΙΜΑΤΟΣ'!Z92)</f>
        <v>1.0084119066626008E-2</v>
      </c>
      <c r="AA92" s="43">
        <f>LN('2.ΤΙΜΕΣ ΚΛΕΙΣΙΜΑΤΟΣ'!AA93/'2.ΤΙΜΕΣ ΚΛΕΙΣΙΜΑΤΟΣ'!AA92)</f>
        <v>0</v>
      </c>
      <c r="AB92" s="43">
        <f>LN('2.ΤΙΜΕΣ ΚΛΕΙΣΙΜΑΤΟΣ'!AB93/'2.ΤΙΜΕΣ ΚΛΕΙΣΙΜΑΤΟΣ'!AB92)</f>
        <v>-1.6529301951210582E-2</v>
      </c>
      <c r="AC92" s="43">
        <f>LN('2.ΤΙΜΕΣ ΚΛΕΙΣΙΜΑΤΟΣ'!AC93/'2.ΤΙΜΕΣ ΚΛΕΙΣΙΜΑΤΟΣ'!AC92)</f>
        <v>0</v>
      </c>
      <c r="AD92" s="43">
        <f>LN('2.ΤΙΜΕΣ ΚΛΕΙΣΙΜΑΤΟΣ'!AD93/'2.ΤΙΜΕΣ ΚΛΕΙΣΙΜΑΤΟΣ'!AD92)</f>
        <v>0</v>
      </c>
      <c r="AE92" s="43">
        <f>LN('2.ΤΙΜΕΣ ΚΛΕΙΣΙΜΑΤΟΣ'!AE93/'2.ΤΙΜΕΣ ΚΛΕΙΣΙΜΑΤΟΣ'!AE92)</f>
        <v>7.7220460939103185E-3</v>
      </c>
      <c r="AF92" s="43">
        <f>LN('2.ΤΙΜΕΣ ΚΛΕΙΣΙΜΑΤΟΣ'!AF93/'2.ΤΙΜΕΣ ΚΛΕΙΣΙΜΑΤΟΣ'!AF92)</f>
        <v>4.6620131058111502E-3</v>
      </c>
      <c r="AG92" s="43">
        <f>LN('2.ΤΙΜΕΣ ΚΛΕΙΣΙΜΑΤΟΣ'!AG93/'2.ΤΙΜΕΣ ΚΛΕΙΣΙΜΑΤΟΣ'!AG92)</f>
        <v>0</v>
      </c>
      <c r="AH92" s="43">
        <f>LN('2.ΤΙΜΕΣ ΚΛΕΙΣΙΜΑΤΟΣ'!AH93/'2.ΤΙΜΕΣ ΚΛΕΙΣΙΜΑΤΟΣ'!AH92)</f>
        <v>-1.5139061215684266E-2</v>
      </c>
      <c r="AI92" s="43">
        <f>LN('2.ΤΙΜΕΣ ΚΛΕΙΣΙΜΑΤΟΣ'!AI93/'2.ΤΙΜΕΣ ΚΛΕΙΣΙΜΑΤΟΣ'!AI92)</f>
        <v>0</v>
      </c>
      <c r="AJ92" s="43">
        <f>LN('2.ΤΙΜΕΣ ΚΛΕΙΣΙΜΑΤΟΣ'!AJ93/'2.ΤΙΜΕΣ ΚΛΕΙΣΙΜΑΤΟΣ'!AJ92)</f>
        <v>-2.4692612590371522E-2</v>
      </c>
      <c r="AK92" s="43">
        <f>LN('2.ΤΙΜΕΣ ΚΛΕΙΣΙΜΑΤΟΣ'!AK93/'2.ΤΙΜΕΣ ΚΛΕΙΣΙΜΑΤΟΣ'!AK92)</f>
        <v>0</v>
      </c>
      <c r="AL92" s="43">
        <f>LN('2.ΤΙΜΕΣ ΚΛΕΙΣΙΜΑΤΟΣ'!AL93/'2.ΤΙΜΕΣ ΚΛΕΙΣΙΜΑΤΟΣ'!AL92)</f>
        <v>-2.985296314968116E-2</v>
      </c>
      <c r="AM92" s="43">
        <f>LN('2.ΤΙΜΕΣ ΚΛΕΙΣΙΜΑΤΟΣ'!AM93/'2.ΤΙΜΕΣ ΚΛΕΙΣΙΜΑΤΟΣ'!AM92)</f>
        <v>7.202912294057796E-3</v>
      </c>
      <c r="AN92" s="43">
        <f>LN('2.ΤΙΜΕΣ ΚΛΕΙΣΙΜΑΤΟΣ'!AN93/'2.ΤΙΜΕΣ ΚΛΕΙΣΙΜΑΤΟΣ'!AN92)</f>
        <v>-2.6156678648728348E-2</v>
      </c>
      <c r="AO92" s="43">
        <f>LN('2.ΤΙΜΕΣ ΚΛΕΙΣΙΜΑΤΟΣ'!AO93/'2.ΤΙΜΕΣ ΚΛΕΙΣΙΜΑΤΟΣ'!AO92)</f>
        <v>-2.8129413766147236E-3</v>
      </c>
      <c r="AP92" s="43">
        <f>LN('2.ΤΙΜΕΣ ΚΛΕΙΣΙΜΑΤΟΣ'!AP93/'2.ΤΙΜΕΣ ΚΛΕΙΣΙΜΑΤΟΣ'!AP92)</f>
        <v>2.5036078161325047E-2</v>
      </c>
      <c r="AQ92" s="43">
        <f>LN('2.ΤΙΜΕΣ ΚΛΕΙΣΙΜΑΤΟΣ'!AQ93/'2.ΤΙΜΕΣ ΚΛΕΙΣΙΜΑΤΟΣ'!AQ92)</f>
        <v>-4.2473522558728154E-2</v>
      </c>
      <c r="AR92" s="43">
        <f>LN('2.ΤΙΜΕΣ ΚΛΕΙΣΙΜΑΤΟΣ'!AR93/'2.ΤΙΜΕΣ ΚΛΕΙΣΙΜΑΤΟΣ'!AR92)</f>
        <v>-2.9462032730316334E-2</v>
      </c>
      <c r="AS92" s="43">
        <f>LN('2.ΤΙΜΕΣ ΚΛΕΙΣΙΜΑΤΟΣ'!AS93/'2.ΤΙΜΕΣ ΚΛΕΙΣΙΜΑΤΟΣ'!AS92)</f>
        <v>2.0438667677273956E-2</v>
      </c>
      <c r="AT92" s="43">
        <f>LN('2.ΤΙΜΕΣ ΚΛΕΙΣΙΜΑΤΟΣ'!AT93/'2.ΤΙΜΕΣ ΚΛΕΙΣΙΜΑΤΟΣ'!AT92)</f>
        <v>-3.1090587070031119E-2</v>
      </c>
      <c r="AU92" s="43">
        <f>LN('2.ΤΙΜΕΣ ΚΛΕΙΣΙΜΑΤΟΣ'!AU93/'2.ΤΙΜΕΣ ΚΛΕΙΣΙΜΑΤΟΣ'!AU92)</f>
        <v>-7.7412704990185485E-3</v>
      </c>
    </row>
    <row r="93" spans="1:47">
      <c r="A93" s="41">
        <v>43689</v>
      </c>
      <c r="B93" s="43">
        <f>LN('2.ΤΙΜΕΣ ΚΛΕΙΣΙΜΑΤΟΣ'!B94/'2.ΤΙΜΕΣ ΚΛΕΙΣΙΜΑΤΟΣ'!B93)</f>
        <v>9.6522633221068389E-3</v>
      </c>
      <c r="C93" s="43">
        <f>LN('2.ΤΙΜΕΣ ΚΛΕΙΣΙΜΑΤΟΣ'!C94/'2.ΤΙΜΕΣ ΚΛΕΙΣΙΜΑΤΟΣ'!C93)</f>
        <v>8.2000824603074601E-4</v>
      </c>
      <c r="D93" s="43">
        <f>LN('2.ΤΙΜΕΣ ΚΛΕΙΣΙΜΑΤΟΣ'!D94/'2.ΤΙΜΕΣ ΚΛΕΙΣΙΜΑΤΟΣ'!D93)</f>
        <v>-5.6211502704298479E-3</v>
      </c>
      <c r="E93" s="43">
        <f>LN('2.ΤΙΜΕΣ ΚΛΕΙΣΙΜΑΤΟΣ'!E94/'2.ΤΙΜΕΣ ΚΛΕΙΣΙΜΑΤΟΣ'!E93)</f>
        <v>-7.2727593290795849E-3</v>
      </c>
      <c r="F93" s="43">
        <f>LN('2.ΤΙΜΕΣ ΚΛΕΙΣΙΜΑΤΟΣ'!F94/'2.ΤΙΜΕΣ ΚΛΕΙΣΙΜΑΤΟΣ'!F93)</f>
        <v>1.7410668305896795E-2</v>
      </c>
      <c r="G93" s="43">
        <f>LN('2.ΤΙΜΕΣ ΚΛΕΙΣΙΜΑΤΟΣ'!G94/'2.ΤΙΜΕΣ ΚΛΕΙΣΙΜΑΤΟΣ'!G93)</f>
        <v>-3.4133006369458582E-2</v>
      </c>
      <c r="H93" s="43">
        <f>LN('2.ΤΙΜΕΣ ΚΛΕΙΣΙΜΑΤΟΣ'!H94/'2.ΤΙΜΕΣ ΚΛΕΙΣΙΜΑΤΟΣ'!H93)</f>
        <v>-1.4787700154379389E-2</v>
      </c>
      <c r="I93" s="43">
        <f>LN('2.ΤΙΜΕΣ ΚΛΕΙΣΙΜΑΤΟΣ'!I94/'2.ΤΙΜΕΣ ΚΛΕΙΣΙΜΑΤΟΣ'!I93)</f>
        <v>-5.2736296080943233E-2</v>
      </c>
      <c r="J93" s="43">
        <f>LN('2.ΤΙΜΕΣ ΚΛΕΙΣΙΜΑΤΟΣ'!J94/'2.ΤΙΜΕΣ ΚΛΕΙΣΙΜΑΤΟΣ'!J93)</f>
        <v>-5.8840500022933347E-2</v>
      </c>
      <c r="K93" s="43">
        <f>LN('2.ΤΙΜΕΣ ΚΛΕΙΣΙΜΑΤΟΣ'!K94/'2.ΤΙΜΕΣ ΚΛΕΙΣΙΜΑΤΟΣ'!K93)</f>
        <v>1.0094498163125649E-2</v>
      </c>
      <c r="L93" s="43">
        <f>LN('2.ΤΙΜΕΣ ΚΛΕΙΣΙΜΑΤΟΣ'!L94/'2.ΤΙΜΕΣ ΚΛΕΙΣΙΜΑΤΟΣ'!L93)</f>
        <v>3.929278139889557E-3</v>
      </c>
      <c r="M93" s="43">
        <f>LN('2.ΤΙΜΕΣ ΚΛΕΙΣΙΜΑΤΟΣ'!M94/'2.ΤΙΜΕΣ ΚΛΕΙΣΙΜΑΤΟΣ'!M93)</f>
        <v>1.0183387390698871E-2</v>
      </c>
      <c r="N93" s="43">
        <f>LN('2.ΤΙΜΕΣ ΚΛΕΙΣΙΜΑΤΟΣ'!N94/'2.ΤΙΜΕΣ ΚΛΕΙΣΙΜΑΤΟΣ'!N93)</f>
        <v>-1.160156929158462E-2</v>
      </c>
      <c r="O93" s="43">
        <f>LN('2.ΤΙΜΕΣ ΚΛΕΙΣΙΜΑΤΟΣ'!O94/'2.ΤΙΜΕΣ ΚΛΕΙΣΙΜΑΤΟΣ'!O93)</f>
        <v>1.6383479250524125E-2</v>
      </c>
      <c r="P93" s="43">
        <f>LN('2.ΤΙΜΕΣ ΚΛΕΙΣΙΜΑΤΟΣ'!P94/'2.ΤΙΜΕΣ ΚΛΕΙΣΙΜΑΤΟΣ'!P93)</f>
        <v>-9.6931292056595692E-3</v>
      </c>
      <c r="Q93" s="43">
        <f>LN('2.ΤΙΜΕΣ ΚΛΕΙΣΙΜΑΤΟΣ'!Q94/'2.ΤΙΜΕΣ ΚΛΕΙΣΙΜΑΤΟΣ'!Q93)</f>
        <v>-6.3513405722325861E-2</v>
      </c>
      <c r="R93" s="43">
        <f>LN('2.ΤΙΜΕΣ ΚΛΕΙΣΙΜΑΤΟΣ'!R94/'2.ΤΙΜΕΣ ΚΛΕΙΣΙΜΑΤΟΣ'!R93)</f>
        <v>1.8898200220229554E-2</v>
      </c>
      <c r="S93" s="43">
        <f>LN('2.ΤΙΜΕΣ ΚΛΕΙΣΙΜΑΤΟΣ'!S94/'2.ΤΙΜΕΣ ΚΛΕΙΣΙΜΑΤΟΣ'!S93)</f>
        <v>2.9741969198737516E-2</v>
      </c>
      <c r="T93" s="43">
        <f>LN('2.ΤΙΜΕΣ ΚΛΕΙΣΙΜΑΤΟΣ'!T94/'2.ΤΙΜΕΣ ΚΛΕΙΣΙΜΑΤΟΣ'!T93)</f>
        <v>-2.6775361248112209E-2</v>
      </c>
      <c r="U93" s="43">
        <f>LN('2.ΤΙΜΕΣ ΚΛΕΙΣΙΜΑΤΟΣ'!U94/'2.ΤΙΜΕΣ ΚΛΕΙΣΙΜΑΤΟΣ'!U93)</f>
        <v>-1.7435061822101423E-2</v>
      </c>
      <c r="V93" s="43">
        <f>LN('2.ΤΙΜΕΣ ΚΛΕΙΣΙΜΑΤΟΣ'!V94/'2.ΤΙΜΕΣ ΚΛΕΙΣΙΜΑΤΟΣ'!V93)</f>
        <v>-4.3384015985982417E-3</v>
      </c>
      <c r="W93" s="43">
        <f>LN('2.ΤΙΜΕΣ ΚΛΕΙΣΙΜΑΤΟΣ'!W94/'2.ΤΙΜΕΣ ΚΛΕΙΣΙΜΑΤΟΣ'!W93)</f>
        <v>0</v>
      </c>
      <c r="X93" s="43">
        <f>LN('2.ΤΙΜΕΣ ΚΛΕΙΣΙΜΑΤΟΣ'!X94/'2.ΤΙΜΕΣ ΚΛΕΙΣΙΜΑΤΟΣ'!X93)</f>
        <v>-1.817111900926989E-2</v>
      </c>
      <c r="Y93" s="43">
        <f>LN('2.ΤΙΜΕΣ ΚΛΕΙΣΙΜΑΤΟΣ'!Y94/'2.ΤΙΜΕΣ ΚΛΕΙΣΙΜΑΤΟΣ'!Y93)</f>
        <v>-2.3192646399275037E-2</v>
      </c>
      <c r="Z93" s="43">
        <f>LN('2.ΤΙΜΕΣ ΚΛΕΙΣΙΜΑΤΟΣ'!Z94/'2.ΤΙΜΕΣ ΚΛΕΙΣΙΜΑΤΟΣ'!Z93)</f>
        <v>-1.0084119066625935E-2</v>
      </c>
      <c r="AA93" s="43">
        <f>LN('2.ΤΙΜΕΣ ΚΛΕΙΣΙΜΑΤΟΣ'!AA94/'2.ΤΙΜΕΣ ΚΛΕΙΣΙΜΑΤΟΣ'!AA93)</f>
        <v>-1.0398707220898511E-2</v>
      </c>
      <c r="AB93" s="43">
        <f>LN('2.ΤΙΜΕΣ ΚΛΕΙΣΙΜΑΤΟΣ'!AB94/'2.ΤΙΜΕΣ ΚΛΕΙΣΙΜΑΤΟΣ'!AB93)</f>
        <v>-1.1173300598125302E-2</v>
      </c>
      <c r="AC93" s="43">
        <f>LN('2.ΤΙΜΕΣ ΚΛΕΙΣΙΜΑΤΟΣ'!AC94/'2.ΤΙΜΕΣ ΚΛΕΙΣΙΜΑΤΟΣ'!AC93)</f>
        <v>-7.1174677688639896E-3</v>
      </c>
      <c r="AD93" s="43">
        <f>LN('2.ΤΙΜΕΣ ΚΛΕΙΣΙΜΑΤΟΣ'!AD94/'2.ΤΙΜΕΣ ΚΛΕΙΣΙΜΑΤΟΣ'!AD93)</f>
        <v>-3.1979469321535156E-2</v>
      </c>
      <c r="AE93" s="43">
        <f>LN('2.ΤΙΜΕΣ ΚΛΕΙΣΙΜΑΤΟΣ'!AE94/'2.ΤΙΜΕΣ ΚΛΕΙΣΙΜΑΤΟΣ'!AE93)</f>
        <v>-2.3347363996991177E-2</v>
      </c>
      <c r="AF93" s="43">
        <f>LN('2.ΤΙΜΕΣ ΚΛΕΙΣΙΜΑΤΟΣ'!AF94/'2.ΤΙΜΕΣ ΚΛΕΙΣΙΜΑΤΟΣ'!AF93)</f>
        <v>-1.1696039763191187E-2</v>
      </c>
      <c r="AG93" s="43">
        <f>LN('2.ΤΙΜΕΣ ΚΛΕΙΣΙΜΑΤΟΣ'!AG94/'2.ΤΙΜΕΣ ΚΛΕΙΣΙΜΑΤΟΣ'!AG93)</f>
        <v>-8.3381608939051138E-2</v>
      </c>
      <c r="AH93" s="43">
        <f>LN('2.ΤΙΜΕΣ ΚΛΕΙΣΙΜΑΤΟΣ'!AH94/'2.ΤΙΜΕΣ ΚΛΕΙΣΙΜΑΤΟΣ'!AH93)</f>
        <v>-0.10724553035359756</v>
      </c>
      <c r="AI93" s="43">
        <f>LN('2.ΤΙΜΕΣ ΚΛΕΙΣΙΜΑΤΟΣ'!AI94/'2.ΤΙΜΕΣ ΚΛΕΙΣΙΜΑΤΟΣ'!AI93)</f>
        <v>-8.1633106391610939E-3</v>
      </c>
      <c r="AJ93" s="43">
        <f>LN('2.ΤΙΜΕΣ ΚΛΕΙΣΙΜΑΤΟΣ'!AJ94/'2.ΤΙΜΕΣ ΚΛΕΙΣΙΜΑΤΟΣ'!AJ93)</f>
        <v>-8.247622182423843E-2</v>
      </c>
      <c r="AK93" s="43">
        <f>LN('2.ΤΙΜΕΣ ΚΛΕΙΣΙΜΑΤΟΣ'!AK94/'2.ΤΙΜΕΣ ΚΛΕΙΣΙΜΑΤΟΣ'!AK93)</f>
        <v>-4.5977092486295425E-3</v>
      </c>
      <c r="AL93" s="43">
        <f>LN('2.ΤΙΜΕΣ ΚΛΕΙΣΙΜΑΤΟΣ'!AL94/'2.ΤΙΜΕΣ ΚΛΕΙΣΙΜΑΤΟΣ'!AL93)</f>
        <v>-4.6520015634892928E-2</v>
      </c>
      <c r="AM93" s="43">
        <f>LN('2.ΤΙΜΕΣ ΚΛΕΙΣΙΜΑΤΟΣ'!AM94/'2.ΤΙΜΕΣ ΚΛΕΙΣΙΜΑΤΟΣ'!AM93)</f>
        <v>-4.7961722634929441E-3</v>
      </c>
      <c r="AN93" s="43">
        <f>LN('2.ΤΙΜΕΣ ΚΛΕΙΣΙΜΑΤΟΣ'!AN94/'2.ΤΙΜΕΣ ΚΛΕΙΣΙΜΑΤΟΣ'!AN93)</f>
        <v>-0.10811263062470099</v>
      </c>
      <c r="AO93" s="43">
        <f>LN('2.ΤΙΜΕΣ ΚΛΕΙΣΙΜΑΤΟΣ'!AO94/'2.ΤΙΜΕΣ ΚΛΕΙΣΙΜΑΤΟΣ'!AO93)</f>
        <v>-1.7045867272988496E-2</v>
      </c>
      <c r="AP93" s="43">
        <f>LN('2.ΤΙΜΕΣ ΚΛΕΙΣΙΜΑΤΟΣ'!AP94/'2.ΤΙΜΕΣ ΚΛΕΙΣΙΜΑΤΟΣ'!AP93)</f>
        <v>-7.410797215372196E-2</v>
      </c>
      <c r="AQ93" s="43">
        <f>LN('2.ΤΙΜΕΣ ΚΛΕΙΣΙΜΑΤΟΣ'!AQ94/'2.ΤΙΜΕΣ ΚΛΕΙΣΙΜΑΤΟΣ'!AQ93)</f>
        <v>-2.935221201252745E-2</v>
      </c>
      <c r="AR93" s="43">
        <f>LN('2.ΤΙΜΕΣ ΚΛΕΙΣΙΜΑΤΟΣ'!AR94/'2.ΤΙΜΕΣ ΚΛΕΙΣΙΜΑΤΟΣ'!AR93)</f>
        <v>-4.7628048989254476E-2</v>
      </c>
      <c r="AS93" s="43">
        <f>LN('2.ΤΙΜΕΣ ΚΛΕΙΣΙΜΑΤΟΣ'!AS94/'2.ΤΙΜΕΣ ΚΛΕΙΣΙΜΑΤΟΣ'!AS93)</f>
        <v>-1.749315744751723E-2</v>
      </c>
      <c r="AT93" s="43">
        <f>LN('2.ΤΙΜΕΣ ΚΛΕΙΣΙΜΑΤΟΣ'!AT94/'2.ΤΙΜΕΣ ΚΛΕΙΣΙΜΑΤΟΣ'!AT93)</f>
        <v>-3.2088314551500394E-2</v>
      </c>
      <c r="AU93" s="43">
        <f>LN('2.ΤΙΜΕΣ ΚΛΕΙΣΙΜΑΤΟΣ'!AU94/'2.ΤΙΜΕΣ ΚΛΕΙΣΙΜΑΤΟΣ'!AU93)</f>
        <v>-1.0900953330012206E-2</v>
      </c>
    </row>
    <row r="94" spans="1:47">
      <c r="A94" s="41">
        <v>43690</v>
      </c>
      <c r="B94" s="43">
        <f>LN('2.ΤΙΜΕΣ ΚΛΕΙΣΙΜΑΤΟΣ'!B95/'2.ΤΙΜΕΣ ΚΛΕΙΣΙΜΑΤΟΣ'!B94)</f>
        <v>-1.6575505203980791E-3</v>
      </c>
      <c r="C94" s="43">
        <f>LN('2.ΤΙΜΕΣ ΚΛΕΙΣΙΜΑΤΟΣ'!C95/'2.ΤΙΜΕΣ ΚΛΕΙΣΙΜΑΤΟΣ'!C94)</f>
        <v>-1.486402263214928E-2</v>
      </c>
      <c r="D94" s="43">
        <f>LN('2.ΤΙΜΕΣ ΚΛΕΙΣΙΜΑΤΟΣ'!D95/'2.ΤΙΜΕΣ ΚΛΕΙΣΙΜΑΤΟΣ'!D94)</f>
        <v>-6.6841731715336613E-3</v>
      </c>
      <c r="E94" s="43">
        <f>LN('2.ΤΙΜΕΣ ΚΛΕΙΣΙΜΑΤΟΣ'!E95/'2.ΤΙΜΕΣ ΚΛΕΙΣΙΜΑΤΟΣ'!E94)</f>
        <v>-2.7128667388252699E-2</v>
      </c>
      <c r="F94" s="43">
        <f>LN('2.ΤΙΜΕΣ ΚΛΕΙΣΙΜΑΤΟΣ'!F95/'2.ΤΙΜΕΣ ΚΛΕΙΣΙΜΑΤΟΣ'!F94)</f>
        <v>-2.4018621865928895E-2</v>
      </c>
      <c r="G94" s="43">
        <f>LN('2.ΤΙΜΕΣ ΚΛΕΙΣΙΜΑΤΟΣ'!G95/'2.ΤΙΜΕΣ ΚΛΕΙΣΙΜΑΤΟΣ'!G94)</f>
        <v>-2.8170876966696335E-2</v>
      </c>
      <c r="H94" s="43">
        <f>LN('2.ΤΙΜΕΣ ΚΛΕΙΣΙΜΑΤΟΣ'!H95/'2.ΤΙΜΕΣ ΚΛΕΙΣΙΜΑΤΟΣ'!H94)</f>
        <v>-1.2178136454826934E-2</v>
      </c>
      <c r="I94" s="43">
        <f>LN('2.ΤΙΜΕΣ ΚΛΕΙΣΙΜΑΤΟΣ'!I95/'2.ΤΙΜΕΣ ΚΛΕΙΣΙΜΑΤΟΣ'!I94)</f>
        <v>-3.6166404701885504E-3</v>
      </c>
      <c r="J94" s="43">
        <f>LN('2.ΤΙΜΕΣ ΚΛΕΙΣΙΜΑΤΟΣ'!J95/'2.ΤΙΜΕΣ ΚΛΕΙΣΙΜΑΤΟΣ'!J94)</f>
        <v>-2.215504240587499E-2</v>
      </c>
      <c r="K94" s="43">
        <f>LN('2.ΤΙΜΕΣ ΚΛΕΙΣΙΜΑΤΟΣ'!K95/'2.ΤΙΜΕΣ ΚΛΕΙΣΙΜΑΤΟΣ'!K94)</f>
        <v>-2.7067520728857122E-2</v>
      </c>
      <c r="L94" s="43">
        <f>LN('2.ΤΙΜΕΣ ΚΛΕΙΣΙΜΑΤΟΣ'!L95/'2.ΤΙΜΕΣ ΚΛΕΙΣΙΜΑΤΟΣ'!L94)</f>
        <v>-2.3810648693718333E-2</v>
      </c>
      <c r="M94" s="43">
        <f>LN('2.ΤΙΜΕΣ ΚΛΕΙΣΙΜΑΤΟΣ'!M95/'2.ΤΙΜΕΣ ΚΛΕΙΣΙΜΑΤΟΣ'!M94)</f>
        <v>-1.7373967936053069E-2</v>
      </c>
      <c r="N94" s="43">
        <f>LN('2.ΤΙΜΕΣ ΚΛΕΙΣΙΜΑΤΟΣ'!N95/'2.ΤΙΜΕΣ ΚΛΕΙΣΙΜΑΤΟΣ'!N94)</f>
        <v>-1.4581421867738026E-2</v>
      </c>
      <c r="O94" s="43">
        <f>LN('2.ΤΙΜΕΣ ΚΛΕΙΣΙΜΑΤΟΣ'!O95/'2.ΤΙΜΕΣ ΚΛΕΙΣΙΜΑΤΟΣ'!O94)</f>
        <v>-1.765493523872071E-2</v>
      </c>
      <c r="P94" s="43">
        <f>LN('2.ΤΙΜΕΣ ΚΛΕΙΣΙΜΑΤΟΣ'!P95/'2.ΤΙΜΕΣ ΚΛΕΙΣΙΜΑΤΟΣ'!P94)</f>
        <v>-1.3072081567352775E-2</v>
      </c>
      <c r="Q94" s="43">
        <f>LN('2.ΤΙΜΕΣ ΚΛΕΙΣΙΜΑΤΟΣ'!Q95/'2.ΤΙΜΕΣ ΚΛΕΙΣΙΜΑΤΟΣ'!Q94)</f>
        <v>-1.6529301951210471E-2</v>
      </c>
      <c r="R94" s="43">
        <f>LN('2.ΤΙΜΕΣ ΚΛΕΙΣΙΜΑΤΟΣ'!R95/'2.ΤΙΜΕΣ ΚΛΕΙΣΙΜΑΤΟΣ'!R94)</f>
        <v>-1.7309637535091731E-2</v>
      </c>
      <c r="S94" s="43">
        <f>LN('2.ΤΙΜΕΣ ΚΛΕΙΣΙΜΑΤΟΣ'!S95/'2.ΤΙΜΕΣ ΚΛΕΙΣΙΜΑΤΟΣ'!S94)</f>
        <v>-2.5975486403260563E-2</v>
      </c>
      <c r="T94" s="43">
        <f>LN('2.ΤΙΜΕΣ ΚΛΕΙΣΙΜΑΤΟΣ'!T95/'2.ΤΙΜΕΣ ΚΛΕΙΣΙΜΑΤΟΣ'!T94)</f>
        <v>-4.0788635748210044E-3</v>
      </c>
      <c r="U94" s="43">
        <f>LN('2.ΤΙΜΕΣ ΚΛΕΙΣΙΜΑΤΟΣ'!U95/'2.ΤΙΜΕΣ ΚΛΕΙΣΙΜΑΤΟΣ'!U94)</f>
        <v>-9.0863825559573709E-3</v>
      </c>
      <c r="V94" s="43">
        <f>LN('2.ΤΙΜΕΣ ΚΛΕΙΣΙΜΑΤΟΣ'!V95/'2.ΤΙΜΕΣ ΚΛΕΙΣΙΜΑΤΟΣ'!V94)</f>
        <v>-8.7336799687545534E-3</v>
      </c>
      <c r="W94" s="43">
        <f>LN('2.ΤΙΜΕΣ ΚΛΕΙΣΙΜΑΤΟΣ'!W95/'2.ΤΙΜΕΣ ΚΛΕΙΣΙΜΑΤΟΣ'!W94)</f>
        <v>-3.4245578513167459E-2</v>
      </c>
      <c r="X94" s="43">
        <f>LN('2.ΤΙΜΕΣ ΚΛΕΙΣΙΜΑΤΟΣ'!X95/'2.ΤΙΜΕΣ ΚΛΕΙΣΙΜΑΤΟΣ'!X94)</f>
        <v>-9.2108995601759662E-3</v>
      </c>
      <c r="Y94" s="43">
        <f>LN('2.ΤΙΜΕΣ ΚΛΕΙΣΙΜΑΤΟΣ'!Y95/'2.ΤΙΜΕΣ ΚΛΕΙΣΙΜΑΤΟΣ'!Y94)</f>
        <v>-3.7568447611162292E-2</v>
      </c>
      <c r="Z94" s="43">
        <f>LN('2.ΤΙΜΕΣ ΚΛΕΙΣΙΜΑΤΟΣ'!Z95/'2.ΤΙΜΕΣ ΚΛΕΙΣΙΜΑΤΟΣ'!Z94)</f>
        <v>0</v>
      </c>
      <c r="AA94" s="43">
        <f>LN('2.ΤΙΜΕΣ ΚΛΕΙΣΙΜΑΤΟΣ'!AA95/'2.ΤΙΜΕΣ ΚΛΕΙΣΙΜΑΤΟΣ'!AA94)</f>
        <v>-1.0507977598415206E-2</v>
      </c>
      <c r="AB94" s="43">
        <f>LN('2.ΤΙΜΕΣ ΚΛΕΙΣΙΜΑΤΟΣ'!AB95/'2.ΤΙΜΕΣ ΚΛΕΙΣΙΜΑΤΟΣ'!AB94)</f>
        <v>-1.6997576368571021E-2</v>
      </c>
      <c r="AC94" s="43">
        <f>LN('2.ΤΙΜΕΣ ΚΛΕΙΣΙΜΑΤΟΣ'!AC95/'2.ΤΙΜΕΣ ΚΛΕΙΣΙΜΑΤΟΣ'!AC94)</f>
        <v>-7.168489478612516E-3</v>
      </c>
      <c r="AD94" s="43">
        <f>LN('2.ΤΙΜΕΣ ΚΛΕΙΣΙΜΑΤΟΣ'!AD95/'2.ΤΙΜΕΣ ΚΛΕΙΣΙΜΑΤΟΣ'!AD94)</f>
        <v>-4.4411619999679365E-3</v>
      </c>
      <c r="AE94" s="43">
        <f>LN('2.ΤΙΜΕΣ ΚΛΕΙΣΙΜΑΤΟΣ'!AE95/'2.ΤΙΜΕΣ ΚΛΕΙΣΙΜΑΤΟΣ'!AE94)</f>
        <v>0</v>
      </c>
      <c r="AF94" s="43">
        <f>LN('2.ΤΙΜΕΣ ΚΛΕΙΣΙΜΑΤΟΣ'!AF95/'2.ΤΙΜΕΣ ΚΛΕΙΣΙΜΑΤΟΣ'!AF94)</f>
        <v>-3.8374012881615155E-2</v>
      </c>
      <c r="AG94" s="43">
        <f>LN('2.ΤΙΜΕΣ ΚΛΕΙΣΙΜΑΤΟΣ'!AG95/'2.ΤΙΜΕΣ ΚΛΕΙΣΙΜΑΤΟΣ'!AG94)</f>
        <v>-1.0929070532190317E-2</v>
      </c>
      <c r="AH94" s="43">
        <f>LN('2.ΤΙΜΕΣ ΚΛΕΙΣΙΜΑΤΟΣ'!AH95/'2.ΤΙΜΕΣ ΚΛΕΙΣΙΜΑΤΟΣ'!AH94)</f>
        <v>2.4232313387768024E-2</v>
      </c>
      <c r="AI94" s="43">
        <f>LN('2.ΤΙΜΕΣ ΚΛΕΙΣΙΜΑΤΟΣ'!AI95/'2.ΤΙΜΕΣ ΚΛΕΙΣΙΜΑΤΟΣ'!AI94)</f>
        <v>-1.6529301951210471E-2</v>
      </c>
      <c r="AJ94" s="43">
        <f>LN('2.ΤΙΜΕΣ ΚΛΕΙΣΙΜΑΤΟΣ'!AJ95/'2.ΤΙΜΕΣ ΚΛΕΙΣΙΜΑΤΟΣ'!AJ94)</f>
        <v>-3.6870535808327685E-2</v>
      </c>
      <c r="AK94" s="43">
        <f>LN('2.ΤΙΜΕΣ ΚΛΕΙΣΙΜΑΤΟΣ'!AK95/'2.ΤΙΜΕΣ ΚΛΕΙΣΙΜΑΤΟΣ'!AK94)</f>
        <v>-3.2789822822990838E-2</v>
      </c>
      <c r="AL94" s="43">
        <f>LN('2.ΤΙΜΕΣ ΚΛΕΙΣΙΜΑΤΟΣ'!AL95/'2.ΤΙΜΕΣ ΚΛΕΙΣΙΜΑΤΟΣ'!AL94)</f>
        <v>1.5748356968139112E-2</v>
      </c>
      <c r="AM94" s="43">
        <f>LN('2.ΤΙΜΕΣ ΚΛΕΙΣΙΜΑΤΟΣ'!AM95/'2.ΤΙΜΕΣ ΚΛΕΙΣΙΜΑΤΟΣ'!AM94)</f>
        <v>-1.4528100562909969E-2</v>
      </c>
      <c r="AN94" s="43">
        <f>LN('2.ΤΙΜΕΣ ΚΛΕΙΣΙΜΑΤΟΣ'!AN95/'2.ΤΙΜΕΣ ΚΛΕΙΣΙΜΑΤΟΣ'!AN94)</f>
        <v>-3.8118958103609914E-2</v>
      </c>
      <c r="AO94" s="43">
        <f>LN('2.ΤΙΜΕΣ ΚΛΕΙΣΙΜΑΤΟΣ'!AO95/'2.ΤΙΜΕΣ ΚΛΕΙΣΙΜΑΤΟΣ'!AO94)</f>
        <v>-2.6126304592220151E-2</v>
      </c>
      <c r="AP94" s="43">
        <f>LN('2.ΤΙΜΕΣ ΚΛΕΙΣΙΜΑΤΟΣ'!AP95/'2.ΤΙΜΕΣ ΚΛΕΙΣΙΜΑΤΟΣ'!AP94)</f>
        <v>-8.9153636579522803E-3</v>
      </c>
      <c r="AQ94" s="43">
        <f>LN('2.ΤΙΜΕΣ ΚΛΕΙΣΙΜΑΤΟΣ'!AQ95/'2.ΤΙΜΕΣ ΚΛΕΙΣΙΜΑΤΟΣ'!AQ94)</f>
        <v>-1.0643960557867014E-3</v>
      </c>
      <c r="AR94" s="43">
        <f>LN('2.ΤΙΜΕΣ ΚΛΕΙΣΙΜΑΤΟΣ'!AR95/'2.ΤΙΜΕΣ ΚΛΕΙΣΙΜΑΤΟΣ'!AR94)</f>
        <v>-1.7575144821507602E-2</v>
      </c>
      <c r="AS94" s="43">
        <f>LN('2.ΤΙΜΕΣ ΚΛΕΙΣΙΜΑΤΟΣ'!AS95/'2.ΤΙΜΕΣ ΚΛΕΙΣΙΜΑΤΟΣ'!AS94)</f>
        <v>-2.0803127629763173E-2</v>
      </c>
      <c r="AT94" s="43">
        <f>LN('2.ΤΙΜΕΣ ΚΛΕΙΣΙΜΑΤΟΣ'!AT95/'2.ΤΙΜΕΣ ΚΛΕΙΣΙΜΑΤΟΣ'!AT94)</f>
        <v>4.6717624567459572E-2</v>
      </c>
      <c r="AU94" s="43">
        <f>LN('2.ΤΙΜΕΣ ΚΛΕΙΣΙΜΑΤΟΣ'!AU95/'2.ΤΙΜΕΣ ΚΛΕΙΣΙΜΑΤΟΣ'!AU94)</f>
        <v>-1.5336701224138886E-2</v>
      </c>
    </row>
    <row r="95" spans="1:47">
      <c r="A95" s="41">
        <v>43691</v>
      </c>
      <c r="B95" s="43">
        <f>LN('2.ΤΙΜΕΣ ΚΛΕΙΣΙΜΑΤΟΣ'!B96/'2.ΤΙΜΕΣ ΚΛΕΙΣΙΜΑΤΟΣ'!B95)</f>
        <v>-2.0785193466077639E-2</v>
      </c>
      <c r="C95" s="43">
        <f>LN('2.ΤΙΜΕΣ ΚΛΕΙΣΙΜΑΤΟΣ'!C96/'2.ΤΙΜΕΣ ΚΛΕΙΣΙΜΑΤΟΣ'!C95)</f>
        <v>-1.0033528989577697E-2</v>
      </c>
      <c r="D95" s="43">
        <f>LN('2.ΤΙΜΕΣ ΚΛΕΙΣΙΜΑΤΟΣ'!D96/'2.ΤΙΜΕΣ ΚΛΕΙΣΙΜΑΤΟΣ'!D95)</f>
        <v>-1.5597695860364016E-2</v>
      </c>
      <c r="E95" s="43">
        <f>LN('2.ΤΙΜΕΣ ΚΛΕΙΣΙΜΑΤΟΣ'!E96/'2.ΤΙΜΕΣ ΚΛΕΙΣΙΜΑΤΟΣ'!E95)</f>
        <v>-2.4036577828241382E-2</v>
      </c>
      <c r="F95" s="43">
        <f>LN('2.ΤΙΜΕΣ ΚΛΕΙΣΙΜΑΤΟΣ'!F96/'2.ΤΙΜΕΣ ΚΛΕΙΣΙΜΑΤΟΣ'!F95)</f>
        <v>-2.2123902829408516E-3</v>
      </c>
      <c r="G95" s="43">
        <f>LN('2.ΤΙΜΕΣ ΚΛΕΙΣΙΜΑΤΟΣ'!G96/'2.ΤΙΜΕΣ ΚΛΕΙΣΙΜΑΤΟΣ'!G95)</f>
        <v>-7.1035773116751647E-2</v>
      </c>
      <c r="H95" s="43">
        <f>LN('2.ΤΙΜΕΣ ΚΛΕΙΣΙΜΑΤΟΣ'!H96/'2.ΤΙΜΕΣ ΚΛΕΙΣΙΜΑΤΟΣ'!H95)</f>
        <v>-1.7110683613210626E-2</v>
      </c>
      <c r="I95" s="43">
        <f>LN('2.ΤΙΜΕΣ ΚΛΕΙΣΙΜΑΤΟΣ'!I96/'2.ΤΙΜΕΣ ΚΛΕΙΣΙΜΑΤΟΣ'!I95)</f>
        <v>-3.690455693545075E-2</v>
      </c>
      <c r="J95" s="43">
        <f>LN('2.ΤΙΜΕΣ ΚΛΕΙΣΙΜΑΤΟΣ'!J96/'2.ΤΙΜΕΣ ΚΛΕΙΣΙΜΑΤΟΣ'!J95)</f>
        <v>-8.0360521119720155E-2</v>
      </c>
      <c r="K95" s="43">
        <f>LN('2.ΤΙΜΕΣ ΚΛΕΙΣΙΜΑΤΟΣ'!K96/'2.ΤΙΜΕΣ ΚΛΕΙΣΙΜΑΤΟΣ'!K95)</f>
        <v>-3.3704813757161819E-2</v>
      </c>
      <c r="L95" s="43">
        <f>LN('2.ΤΙΜΕΣ ΚΛΕΙΣΙΜΑΤΟΣ'!L96/'2.ΤΙΜΕΣ ΚΛΕΙΣΙΜΑΤΟΣ'!L95)</f>
        <v>-3.421319142265903E-2</v>
      </c>
      <c r="M95" s="43">
        <f>LN('2.ΤΙΜΕΣ ΚΛΕΙΣΙΜΑΤΟΣ'!M96/'2.ΤΙΜΕΣ ΚΛΕΙΣΙΜΑΤΟΣ'!M95)</f>
        <v>-1.7681167843226445E-2</v>
      </c>
      <c r="N95" s="43">
        <f>LN('2.ΤΙΜΕΣ ΚΛΕΙΣΙΜΑΤΟΣ'!N96/'2.ΤΙΜΕΣ ΚΛΕΙΣΙΜΑΤΟΣ'!N95)</f>
        <v>-1.0244138998563994E-2</v>
      </c>
      <c r="O95" s="43">
        <f>LN('2.ΤΙΜΕΣ ΚΛΕΙΣΙΜΑΤΟΣ'!O96/'2.ΤΙΜΕΣ ΚΛΕΙΣΙΜΑΤΟΣ'!O95)</f>
        <v>-2.0566277581477083E-2</v>
      </c>
      <c r="P95" s="43">
        <f>LN('2.ΤΙΜΕΣ ΚΛΕΙΣΙΜΑΤΟΣ'!P96/'2.ΤΙΜΕΣ ΚΛΕΙΣΙΜΑΤΟΣ'!P95)</f>
        <v>-1.324522675002068E-2</v>
      </c>
      <c r="Q95" s="43">
        <f>LN('2.ΤΙΜΕΣ ΚΛΕΙΣΙΜΑΤΟΣ'!Q96/'2.ΤΙΜΕΣ ΚΛΕΙΣΙΜΑΤΟΣ'!Q95)</f>
        <v>-6.7293635733991775E-2</v>
      </c>
      <c r="R95" s="43">
        <f>LN('2.ΤΙΜΕΣ ΚΛΕΙΣΙΜΑΤΟΣ'!R96/'2.ΤΙΜΕΣ ΚΛΕΙΣΙΜΑΤΟΣ'!R95)</f>
        <v>-2.8170876966696221E-2</v>
      </c>
      <c r="S95" s="43">
        <f>LN('2.ΤΙΜΕΣ ΚΛΕΙΣΙΜΑΤΟΣ'!S96/'2.ΤΙΜΕΣ ΚΛΕΙΣΙΜΑΤΟΣ'!S95)</f>
        <v>-4.2232763623272898E-2</v>
      </c>
      <c r="T95" s="43">
        <f>LN('2.ΤΙΜΕΣ ΚΛΕΙΣΙΜΑΤΟΣ'!T96/'2.ΤΙΜΕΣ ΚΛΕΙΣΙΜΑΤΟΣ'!T95)</f>
        <v>0</v>
      </c>
      <c r="U95" s="43">
        <f>LN('2.ΤΙΜΕΣ ΚΛΕΙΣΙΜΑΤΟΣ'!U96/'2.ΤΙΜΕΣ ΚΛΕΙΣΙΜΑΤΟΣ'!U95)</f>
        <v>-1.6360283105206909E-2</v>
      </c>
      <c r="V95" s="43">
        <f>LN('2.ΤΙΜΕΣ ΚΛΕΙΣΙΜΑΤΟΣ'!V96/'2.ΤΙΜΕΣ ΚΛΕΙΣΙΜΑΤΟΣ'!V95)</f>
        <v>-1.5469921772131891E-2</v>
      </c>
      <c r="W95" s="43">
        <f>LN('2.ΤΙΜΕΣ ΚΛΕΙΣΙΜΑΤΟΣ'!W96/'2.ΤΙΜΕΣ ΚΛΕΙΣΙΜΑΤΟΣ'!W95)</f>
        <v>-3.0126705403507273E-2</v>
      </c>
      <c r="X95" s="43">
        <f>LN('2.ΤΙΜΕΣ ΚΛΕΙΣΙΜΑΤΟΣ'!X96/'2.ΤΙΜΕΣ ΚΛΕΙΣΙΜΑΤΟΣ'!X95)</f>
        <v>1.2314082810691929E-2</v>
      </c>
      <c r="Y95" s="43">
        <f>LN('2.ΤΙΜΕΣ ΚΛΕΙΣΙΜΑΤΟΣ'!Y96/'2.ΤΙΜΕΣ ΚΛΕΙΣΙΜΑΤΟΣ'!Y95)</f>
        <v>4.6296378987421968E-3</v>
      </c>
      <c r="Z95" s="43">
        <f>LN('2.ΤΙΜΕΣ ΚΛΕΙΣΙΜΑΤΟΣ'!Z96/'2.ΤΙΜΕΣ ΚΛΕΙΣΙΜΑΤΟΣ'!Z95)</f>
        <v>-2.3932766211628362E-2</v>
      </c>
      <c r="AA95" s="43">
        <f>LN('2.ΤΙΜΕΣ ΚΛΕΙΣΙΜΑΤΟΣ'!AA96/'2.ΤΙΜΕΣ ΚΛΕΙΣΙΜΑΤΟΣ'!AA95)</f>
        <v>-2.1353124470568946E-2</v>
      </c>
      <c r="AB95" s="43">
        <f>LN('2.ΤΙΜΕΣ ΚΛΕΙΣΙΜΑΤΟΣ'!AB96/'2.ΤΙΜΕΣ ΚΛΕΙΣΙΜΑΤΟΣ'!AB95)</f>
        <v>3.8022859497384787E-3</v>
      </c>
      <c r="AC95" s="43">
        <f>LN('2.ΤΙΜΕΣ ΚΛΕΙΣΙΜΑΤΟΣ'!AC96/'2.ΤΙΜΕΣ ΚΛΕΙΣΙΜΑΤΟΣ'!AC95)</f>
        <v>0</v>
      </c>
      <c r="AD95" s="43">
        <f>LN('2.ΤΙΜΕΣ ΚΛΕΙΣΙΜΑΤΟΣ'!AD96/'2.ΤΙΜΕΣ ΚΛΕΙΣΙΜΑΤΟΣ'!AD95)</f>
        <v>-1.484781267579225E-3</v>
      </c>
      <c r="AE95" s="43">
        <f>LN('2.ΤΙΜΕΣ ΚΛΕΙΣΙΜΑΤΟΣ'!AE96/'2.ΤΙΜΕΣ ΚΛΕΙΣΙΜΑΤΟΣ'!AE95)</f>
        <v>-1.5873349156290122E-2</v>
      </c>
      <c r="AF95" s="43">
        <f>LN('2.ΤΙΜΕΣ ΚΛΕΙΣΙΜΑΤΟΣ'!AF96/'2.ΤΙΜΕΣ ΚΛΕΙΣΙΜΑΤΟΣ'!AF95)</f>
        <v>-2.2250608934819692E-2</v>
      </c>
      <c r="AG95" s="43">
        <f>LN('2.ΤΙΜΕΣ ΚΛΕΙΣΙΜΑΤΟΣ'!AG96/'2.ΤΙΜΕΣ ΚΛΕΙΣΙΜΑΤΟΣ'!AG95)</f>
        <v>1.6349138001529411E-2</v>
      </c>
      <c r="AH95" s="43">
        <f>LN('2.ΤΙΜΕΣ ΚΛΕΙΣΙΜΑΤΟΣ'!AH96/'2.ΤΙΜΕΣ ΚΛΕΙΣΙΜΑΤΟΣ'!AH95)</f>
        <v>-4.3280508358462401E-2</v>
      </c>
      <c r="AI95" s="43">
        <f>LN('2.ΤΙΜΕΣ ΚΛΕΙΣΙΜΑΤΟΣ'!AI96/'2.ΤΙΜΕΣ ΚΛΕΙΣΙΜΑΤΟΣ'!AI95)</f>
        <v>-8.3682496705165792E-3</v>
      </c>
      <c r="AJ95" s="43">
        <f>LN('2.ΤΙΜΕΣ ΚΛΕΙΣΙΜΑΤΟΣ'!AJ96/'2.ΤΙΜΕΣ ΚΛΕΙΣΙΜΑΤΟΣ'!AJ95)</f>
        <v>-2.375408600810703E-2</v>
      </c>
      <c r="AK95" s="43">
        <f>LN('2.ΤΙΜΕΣ ΚΛΕΙΣΙΜΑΤΟΣ'!AK96/'2.ΤΙΜΕΣ ΚΛΕΙΣΙΜΑΤΟΣ'!AK95)</f>
        <v>-4.7732787526577709E-3</v>
      </c>
      <c r="AL95" s="43">
        <f>LN('2.ΤΙΜΕΣ ΚΛΕΙΣΙΜΑΤΟΣ'!AL96/'2.ΤΙΜΕΣ ΚΛΕΙΣΙΜΑΤΟΣ'!AL95)</f>
        <v>-7.8431774610258926E-3</v>
      </c>
      <c r="AM95" s="43">
        <f>LN('2.ΤΙΜΕΣ ΚΛΕΙΣΙΜΑΤΟΣ'!AM96/'2.ΤΙΜΕΣ ΚΛΕΙΣΙΜΑΤΟΣ'!AM95)</f>
        <v>-4.8899852941916809E-3</v>
      </c>
      <c r="AN95" s="43">
        <f>LN('2.ΤΙΜΕΣ ΚΛΕΙΣΙΜΑΤΟΣ'!AN96/'2.ΤΙΜΕΣ ΚΛΕΙΣΙΜΑΤΟΣ'!AN95)</f>
        <v>1.0173027713050568E-2</v>
      </c>
      <c r="AO95" s="43">
        <f>LN('2.ΤΙΜΕΣ ΚΛΕΙΣΙΜΑΤΟΣ'!AO96/'2.ΤΙΜΕΣ ΚΛΕΙΣΙΜΑΤΟΣ'!AO95)</f>
        <v>1.4598799421152851E-2</v>
      </c>
      <c r="AP95" s="43">
        <f>LN('2.ΤΙΜΕΣ ΚΛΕΙΣΙΜΑΤΟΣ'!AP96/'2.ΤΙΜΕΣ ΚΛΕΙΣΙΜΑΤΟΣ'!AP95)</f>
        <v>2.0680205237538603E-2</v>
      </c>
      <c r="AQ95" s="43">
        <f>LN('2.ΤΙΜΕΣ ΚΛΕΙΣΙΜΑΤΟΣ'!AQ96/'2.ΤΙΜΕΣ ΚΛΕΙΣΙΜΑΤΟΣ'!AQ95)</f>
        <v>-4.7991760933407436E-2</v>
      </c>
      <c r="AR95" s="43">
        <f>LN('2.ΤΙΜΕΣ ΚΛΕΙΣΙΜΑΤΟΣ'!AR96/'2.ΤΙΜΕΣ ΚΛΕΙΣΙΜΑΤΟΣ'!AR95)</f>
        <v>-4.3485111939738662E-2</v>
      </c>
      <c r="AS95" s="43">
        <f>LN('2.ΤΙΜΕΣ ΚΛΕΙΣΙΜΑΤΟΣ'!AS96/'2.ΤΙΜΕΣ ΚΛΕΙΣΙΜΑΤΟΣ'!AS95)</f>
        <v>-3.9821494186671608E-2</v>
      </c>
      <c r="AT95" s="43">
        <f>LN('2.ΤΙΜΕΣ ΚΛΕΙΣΙΜΑΤΟΣ'!AT96/'2.ΤΙΜΕΣ ΚΛΕΙΣΙΜΑΤΟΣ'!AT95)</f>
        <v>-2.5211419346496056E-2</v>
      </c>
      <c r="AU95" s="43">
        <f>LN('2.ΤΙΜΕΣ ΚΛΕΙΣΙΜΑΤΟΣ'!AU96/'2.ΤΙΜΕΣ ΚΛΕΙΣΙΜΑΤΟΣ'!AU95)</f>
        <v>-2.426235000905045E-2</v>
      </c>
    </row>
    <row r="96" spans="1:47">
      <c r="A96" s="41">
        <v>43693</v>
      </c>
      <c r="B96" s="43">
        <f>LN('2.ΤΙΜΕΣ ΚΛΕΙΣΙΜΑΤΟΣ'!B97/'2.ΤΙΜΕΣ ΚΛΕΙΣΙΜΑΤΟΣ'!B96)</f>
        <v>1.6923341321140423E-3</v>
      </c>
      <c r="C96" s="43">
        <f>LN('2.ΤΙΜΕΣ ΚΛΕΙΣΙΜΑΤΟΣ'!C97/'2.ΤΙΜΕΣ ΚΛΕΙΣΙΜΑΤΟΣ'!C96)</f>
        <v>0</v>
      </c>
      <c r="D96" s="43">
        <f>LN('2.ΤΙΜΕΣ ΚΛΕΙΣΙΜΑΤΟΣ'!D97/'2.ΤΙΜΕΣ ΚΛΕΙΣΙΜΑΤΟΣ'!D96)</f>
        <v>-2.547367629201007E-2</v>
      </c>
      <c r="E96" s="43">
        <f>LN('2.ΤΙΜΕΣ ΚΛΕΙΣΙΜΑΤΟΣ'!E97/'2.ΤΙΜΕΣ ΚΛΕΙΣΙΜΑΤΟΣ'!E96)</f>
        <v>-4.1836166322466402E-2</v>
      </c>
      <c r="F96" s="43">
        <f>LN('2.ΤΙΜΕΣ ΚΛΕΙΣΙΜΑΤΟΣ'!F97/'2.ΤΙΜΕΣ ΚΛΕΙΣΙΜΑΤΟΣ'!F96)</f>
        <v>-1.675081042481524E-2</v>
      </c>
      <c r="G96" s="43">
        <f>LN('2.ΤΙΜΕΣ ΚΛΕΙΣΙΜΑΤΟΣ'!G97/'2.ΤΙΜΕΣ ΚΛΕΙΣΙΜΑΤΟΣ'!G96)</f>
        <v>-2.0140107549118144E-2</v>
      </c>
      <c r="H96" s="43">
        <f>LN('2.ΤΙΜΕΣ ΚΛΕΙΣΙΜΑΤΟΣ'!H97/'2.ΤΙΜΕΣ ΚΛΕΙΣΙΜΑΤΟΣ'!H96)</f>
        <v>-2.229854872245568E-2</v>
      </c>
      <c r="I96" s="43">
        <f>LN('2.ΤΙΜΕΣ ΚΛΕΙΣΙΜΑΤΟΣ'!I97/'2.ΤΙΜΕΣ ΚΛΕΙΣΙΜΑΤΟΣ'!I96)</f>
        <v>8.2366620658790683E-3</v>
      </c>
      <c r="J96" s="43">
        <f>LN('2.ΤΙΜΕΣ ΚΛΕΙΣΙΜΑΤΟΣ'!J97/'2.ΤΙΜΕΣ ΚΛΕΙΣΙΜΑΤΟΣ'!J96)</f>
        <v>1.5377032870589512E-2</v>
      </c>
      <c r="K96" s="43">
        <f>LN('2.ΤΙΜΕΣ ΚΛΕΙΣΙΜΑΤΟΣ'!K97/'2.ΤΙΜΕΣ ΚΛΕΙΣΙΜΑΤΟΣ'!K96)</f>
        <v>-7.1829431131599508E-3</v>
      </c>
      <c r="L96" s="43">
        <f>LN('2.ΤΙΜΕΣ ΚΛΕΙΣΙΜΑΤΟΣ'!L97/'2.ΤΙΜΕΣ ΚΛΕΙΣΙΜΑΤΟΣ'!L96)</f>
        <v>1.038421692481704E-3</v>
      </c>
      <c r="M96" s="43">
        <f>LN('2.ΤΙΜΕΣ ΚΛΕΙΣΙΜΑΤΟΣ'!M97/'2.ΤΙΜΕΣ ΚΛΕΙΣΙΜΑΤΟΣ'!M96)</f>
        <v>-2.1008411088117279E-3</v>
      </c>
      <c r="N96" s="43">
        <f>LN('2.ΤΙΜΕΣ ΚΛΕΙΣΙΜΑΤΟΣ'!N97/'2.ΤΙΜΕΣ ΚΛΕΙΣΙΜΑΤΟΣ'!N96)</f>
        <v>-2.8724807289503353E-2</v>
      </c>
      <c r="O96" s="43">
        <f>LN('2.ΤΙΜΕΣ ΚΛΕΙΣΙΜΑΤΟΣ'!O97/'2.ΤΙΜΕΣ ΚΛΕΙΣΙΜΑΤΟΣ'!O96)</f>
        <v>1.0336009330662073E-2</v>
      </c>
      <c r="P96" s="43">
        <f>LN('2.ΤΙΜΕΣ ΚΛΕΙΣΙΜΑΤΟΣ'!P97/'2.ΤΙΜΕΣ ΚΛΕΙΣΙΜΑΤΟΣ'!P96)</f>
        <v>-8.3682496705165792E-3</v>
      </c>
      <c r="Q96" s="43">
        <f>LN('2.ΤΙΜΕΣ ΚΛΕΙΣΙΜΑΤΟΣ'!Q97/'2.ΤΙΜΕΣ ΚΛΕΙΣΙΜΑΤΟΣ'!Q96)</f>
        <v>-1.7123706078591514E-2</v>
      </c>
      <c r="R96" s="43">
        <f>LN('2.ΤΙΜΕΣ ΚΛΕΙΣΙΜΑΤΟΣ'!R97/'2.ΤΙΜΕΣ ΚΛΕΙΣΙΜΑΤΟΣ'!R96)</f>
        <v>-1.1494379425735134E-2</v>
      </c>
      <c r="S96" s="43">
        <f>LN('2.ΤΙΜΕΣ ΚΛΕΙΣΙΜΑΤΟΣ'!S97/'2.ΤΙΜΕΣ ΚΛΕΙΣΙΜΑΤΟΣ'!S96)</f>
        <v>-1.9802627296179754E-2</v>
      </c>
      <c r="T96" s="43">
        <f>LN('2.ΤΙΜΕΣ ΚΛΕΙΣΙΜΑΤΟΣ'!T97/'2.ΤΙΜΕΣ ΚΛΕΙΣΙΜΑΤΟΣ'!T96)</f>
        <v>-2.6226485920507806E-2</v>
      </c>
      <c r="U96" s="43">
        <f>LN('2.ΤΙΜΕΣ ΚΛΕΙΣΙΜΑΤΟΣ'!U97/'2.ΤΙΜΕΣ ΚΛΕΙΣΙΜΑΤΟΣ'!U96)</f>
        <v>4.1152321451065794E-3</v>
      </c>
      <c r="V96" s="43">
        <f>LN('2.ΤΙΜΕΣ ΚΛΕΙΣΙΜΑΤΟΣ'!V97/'2.ΤΙΜΕΣ ΚΛΕΙΣΙΜΑΤΟΣ'!V96)</f>
        <v>-1.571300566455611E-2</v>
      </c>
      <c r="W96" s="43">
        <f>LN('2.ΤΙΜΕΣ ΚΛΕΙΣΙΜΑΤΟΣ'!W97/'2.ΤΙΜΕΣ ΚΛΕΙΣΙΜΑΤΟΣ'!W96)</f>
        <v>2.365419089788981E-2</v>
      </c>
      <c r="X96" s="43">
        <f>LN('2.ΤΙΜΕΣ ΚΛΕΙΣΙΜΑΤΟΣ'!X97/'2.ΤΙΜΕΣ ΚΛΕΙΣΙΜΑΤΟΣ'!X96)</f>
        <v>-3.1031832505158956E-3</v>
      </c>
      <c r="Y96" s="43">
        <f>LN('2.ΤΙΜΕΣ ΚΛΕΙΣΙΜΑΤΟΣ'!Y97/'2.ΤΙΜΕΣ ΚΛΕΙΣΙΜΑΤΟΣ'!Y96)</f>
        <v>-9.2808090744728559E-3</v>
      </c>
      <c r="Z96" s="43">
        <f>LN('2.ΤΙΜΕΣ ΚΛΕΙΣΙΜΑΤΟΣ'!Z97/'2.ΤΙΜΕΣ ΚΛΕΙΣΙΜΑΤΟΣ'!Z96)</f>
        <v>-3.4662079764861725E-3</v>
      </c>
      <c r="AA96" s="43">
        <f>LN('2.ΤΙΜΕΣ ΚΛΕΙΣΙΜΑΤΟΣ'!AA97/'2.ΤΙΜΕΣ ΚΛΕΙΣΙΜΑΤΟΣ'!AA96)</f>
        <v>7.168489478612497E-3</v>
      </c>
      <c r="AB96" s="43">
        <f>LN('2.ΤΙΜΕΣ ΚΛΕΙΣΙΜΑΤΟΣ'!AB97/'2.ΤΙΜΕΣ ΚΛΕΙΣΙΜΑΤΟΣ'!AB96)</f>
        <v>-5.2592450119170499E-2</v>
      </c>
      <c r="AC96" s="43">
        <f>LN('2.ΤΙΜΕΣ ΚΛΕΙΣΙΜΑΤΟΣ'!AC97/'2.ΤΙΜΕΣ ΚΛΕΙΣΙΜΑΤΟΣ'!AC96)</f>
        <v>7.168489478612497E-3</v>
      </c>
      <c r="AD96" s="43">
        <f>LN('2.ΤΙΜΕΣ ΚΛΕΙΣΙΜΑΤΟΣ'!AD97/'2.ΤΙΜΕΣ ΚΛΕΙΣΙΜΑΤΟΣ'!AD96)</f>
        <v>-1.0455659104338631E-2</v>
      </c>
      <c r="AE96" s="43">
        <f>LN('2.ΤΙΜΕΣ ΚΛΕΙΣΙΜΑΤΟΣ'!AE97/'2.ΤΙΜΕΣ ΚΛΕΙΣΙΜΑΤΟΣ'!AE96)</f>
        <v>1.5873349156290163E-2</v>
      </c>
      <c r="AF96" s="43">
        <f>LN('2.ΤΙΜΕΣ ΚΛΕΙΣΙΜΑΤΟΣ'!AF97/'2.ΤΙΜΕΣ ΚΛΕΙΣΙΜΑΤΟΣ'!AF96)</f>
        <v>4.9875415110389679E-3</v>
      </c>
      <c r="AG96" s="43">
        <f>LN('2.ΤΙΜΕΣ ΚΛΕΙΣΙΜΑΤΟΣ'!AG97/'2.ΤΙΜΕΣ ΚΛΕΙΣΙΜΑΤΟΣ'!AG96)</f>
        <v>2.139118998131756E-2</v>
      </c>
      <c r="AH96" s="43">
        <f>LN('2.ΤΙΜΕΣ ΚΛΕΙΣΙΜΑΤΟΣ'!AH97/'2.ΤΙΜΕΣ ΚΛΕΙΣΙΜΑΤΟΣ'!AH96)</f>
        <v>-3.8535693159899662E-3</v>
      </c>
      <c r="AI96" s="43">
        <f>LN('2.ΤΙΜΕΣ ΚΛΕΙΣΙΜΑΤΟΣ'!AI97/'2.ΤΙΜΕΣ ΚΛΕΙΣΙΜΑΤΟΣ'!AI96)</f>
        <v>0</v>
      </c>
      <c r="AJ96" s="43">
        <f>LN('2.ΤΙΜΕΣ ΚΛΕΙΣΙΜΑΤΟΣ'!AJ97/'2.ΤΙΜΕΣ ΚΛΕΙΣΙΜΑΤΟΣ'!AJ96)</f>
        <v>1.9048194970694411E-2</v>
      </c>
      <c r="AK96" s="43">
        <f>LN('2.ΤΙΜΕΣ ΚΛΕΙΣΙΜΑΤΟΣ'!AK97/'2.ΤΙΜΕΣ ΚΛΕΙΣΙΜΑΤΟΣ'!AK96)</f>
        <v>-4.7961722634929441E-3</v>
      </c>
      <c r="AL96" s="43">
        <f>LN('2.ΤΙΜΕΣ ΚΛΕΙΣΙΜΑΤΟΣ'!AL97/'2.ΤΙΜΕΣ ΚΛΕΙΣΙΜΑΤΟΣ'!AL96)</f>
        <v>-1.5873349156290122E-2</v>
      </c>
      <c r="AM96" s="43">
        <f>LN('2.ΤΙΜΕΣ ΚΛΕΙΣΙΜΑΤΟΣ'!AM97/'2.ΤΙΜΕΣ ΚΛΕΙΣΙΜΑΤΟΣ'!AM96)</f>
        <v>-1.4815085785140812E-2</v>
      </c>
      <c r="AN96" s="43">
        <f>LN('2.ΤΙΜΕΣ ΚΛΕΙΣΙΜΑΤΟΣ'!AN97/'2.ΤΙΜΕΣ ΚΛΕΙΣΙΜΑΤΟΣ'!AN96)</f>
        <v>1.8054652911816706E-2</v>
      </c>
      <c r="AO96" s="43">
        <f>LN('2.ΤΙΜΕΣ ΚΛΕΙΣΙΜΑΤΟΣ'!AO97/'2.ΤΙΜΕΣ ΚΛΕΙΣΙΜΑΤΟΣ'!AO96)</f>
        <v>-2.9413885206293341E-2</v>
      </c>
      <c r="AP96" s="43">
        <f>LN('2.ΤΙΜΕΣ ΚΛΕΙΣΙΜΑΤΟΣ'!AP97/'2.ΤΙΜΕΣ ΚΛΕΙΣΙΜΑΤΟΣ'!AP96)</f>
        <v>2.9197101033348462E-3</v>
      </c>
      <c r="AQ96" s="43">
        <f>LN('2.ΤΙΜΕΣ ΚΛΕΙΣΙΜΑΤΟΣ'!AQ97/'2.ΤΙΜΕΣ ΚΛΕΙΣΙΜΑΤΟΣ'!AQ96)</f>
        <v>-2.603429436587577E-2</v>
      </c>
      <c r="AR96" s="43">
        <f>LN('2.ΤΙΜΕΣ ΚΛΕΙΣΙΜΑΤΟΣ'!AR97/'2.ΤΙΜΕΣ ΚΛΕΙΣΙΜΑΤΟΣ'!AR96)</f>
        <v>-2.8170876966696335E-2</v>
      </c>
      <c r="AS96" s="43">
        <f>LN('2.ΤΙΜΕΣ ΚΛΕΙΣΙΜΑΤΟΣ'!AS97/'2.ΤΙΜΕΣ ΚΛΕΙΣΙΜΑΤΟΣ'!AS96)</f>
        <v>-6.2696130135953742E-3</v>
      </c>
      <c r="AT96" s="43">
        <f>LN('2.ΤΙΜΕΣ ΚΛΕΙΣΙΜΑΤΟΣ'!AT97/'2.ΤΙΜΕΣ ΚΛΕΙΣΙΜΑΤΟΣ'!AT96)</f>
        <v>1.8967902706811045E-2</v>
      </c>
      <c r="AU96" s="43">
        <f>LN('2.ΤΙΜΕΣ ΚΛΕΙΣΙΜΑΤΟΣ'!AU97/'2.ΤΙΜΕΣ ΚΛΕΙΣΙΜΑΤΟΣ'!AU96)</f>
        <v>-8.5861176777667445E-3</v>
      </c>
    </row>
    <row r="97" spans="1:47">
      <c r="A97" s="41">
        <v>43696</v>
      </c>
      <c r="B97" s="43">
        <f>LN('2.ΤΙΜΕΣ ΚΛΕΙΣΙΜΑΤΟΣ'!B98/'2.ΤΙΜΕΣ ΚΛΕΙΣΙΜΑΤΟΣ'!B97)</f>
        <v>1.2100988000221715E-2</v>
      </c>
      <c r="C97" s="43">
        <f>LN('2.ΤΙΜΕΣ ΚΛΕΙΣΙΜΑΤΟΣ'!C98/'2.ΤΙΜΕΣ ΚΛΕΙΣΙΜΑΤΟΣ'!C97)</f>
        <v>1.0033528989577784E-2</v>
      </c>
      <c r="D97" s="43">
        <f>LN('2.ΤΙΜΕΣ ΚΛΕΙΣΙΜΑΤΟΣ'!D98/'2.ΤΙΜΕΣ ΚΛΕΙΣΙΜΑΤΟΣ'!D97)</f>
        <v>3.2262568625696077E-2</v>
      </c>
      <c r="E97" s="43">
        <f>LN('2.ΤΙΜΕΣ ΚΛΕΙΣΙΜΑΤΟΣ'!E98/'2.ΤΙΜΕΣ ΚΛΕΙΣΙΜΑΤΟΣ'!E97)</f>
        <v>6.4621962249055101E-2</v>
      </c>
      <c r="F97" s="43">
        <f>LN('2.ΤΙΜΕΣ ΚΛΕΙΣΙΜΑΤΟΣ'!F98/'2.ΤΙΜΕΣ ΚΛΕΙΣΙΜΑΤΟΣ'!F97)</f>
        <v>5.0504695236672371E-2</v>
      </c>
      <c r="G97" s="43">
        <f>LN('2.ΤΙΜΕΣ ΚΛΕΙΣΙΜΑΤΟΣ'!G98/'2.ΤΙΜΕΣ ΚΛΕΙΣΙΜΑΤΟΣ'!G97)</f>
        <v>8.4007391187257266E-2</v>
      </c>
      <c r="H97" s="43">
        <f>LN('2.ΤΙΜΕΣ ΚΛΕΙΣΙΜΑΤΟΣ'!H98/'2.ΤΙΜΕΣ ΚΛΕΙΣΙΜΑΤΟΣ'!H97)</f>
        <v>3.8466280827796143E-2</v>
      </c>
      <c r="I97" s="43">
        <f>LN('2.ΤΙΜΕΣ ΚΛΕΙΣΙΜΑΤΟΣ'!I98/'2.ΤΙΜΕΣ ΚΛΕΙΣΙΜΑΤΟΣ'!I97)</f>
        <v>7.8147952132941539E-2</v>
      </c>
      <c r="J97" s="43">
        <f>LN('2.ΤΙΜΕΣ ΚΛΕΙΣΙΜΑΤΟΣ'!J98/'2.ΤΙΜΕΣ ΚΛΕΙΣΙΜΑΤΟΣ'!J97)</f>
        <v>9.4570055799774122E-2</v>
      </c>
      <c r="K97" s="43">
        <f>LN('2.ΤΙΜΕΣ ΚΛΕΙΣΙΜΑΤΟΣ'!K98/'2.ΤΙΜΕΣ ΚΛΕΙΣΙΜΑΤΟΣ'!K97)</f>
        <v>4.886845219110357E-2</v>
      </c>
      <c r="L97" s="43">
        <f>LN('2.ΤΙΜΕΣ ΚΛΕΙΣΙΜΑΤΟΣ'!L98/'2.ΤΙΜΕΣ ΚΛΕΙΣΙΜΑΤΟΣ'!L97)</f>
        <v>3.568166500144869E-2</v>
      </c>
      <c r="M97" s="43">
        <f>LN('2.ΤΙΜΕΣ ΚΛΕΙΣΙΜΑΤΟΣ'!M98/'2.ΤΙΜΕΣ ΚΛΕΙΣΙΜΑΤΟΣ'!M97)</f>
        <v>2.4923408452456934E-2</v>
      </c>
      <c r="N97" s="43">
        <f>LN('2.ΤΙΜΕΣ ΚΛΕΙΣΙΜΑΤΟΣ'!N98/'2.ΤΙΜΕΣ ΚΛΕΙΣΙΜΑΤΟΣ'!N97)</f>
        <v>6.6465135272350359E-2</v>
      </c>
      <c r="O97" s="43">
        <f>LN('2.ΤΙΜΕΣ ΚΛΕΙΣΙΜΑΤΟΣ'!O98/'2.ΤΙΜΕΣ ΚΛΕΙΣΙΜΑΤΟΣ'!O97)</f>
        <v>3.2872745000574549E-2</v>
      </c>
      <c r="P97" s="43">
        <f>LN('2.ΤΙΜΕΣ ΚΛΕΙΣΙΜΑΤΟΣ'!P98/'2.ΤΙΜΕΣ ΚΛΕΙΣΙΜΑΤΟΣ'!P97)</f>
        <v>5.0788965554468803E-2</v>
      </c>
      <c r="Q97" s="43">
        <f>LN('2.ΤΙΜΕΣ ΚΛΕΙΣΙΜΑΤΟΣ'!Q98/'2.ΤΙΜΕΣ ΚΛΕΙΣΙΜΑΤΟΣ'!Q97)</f>
        <v>8.5210677831979026E-2</v>
      </c>
      <c r="R97" s="43">
        <f>LN('2.ΤΙΜΕΣ ΚΛΕΙΣΙΜΑΤΟΣ'!R98/'2.ΤΙΜΕΣ ΚΛΕΙΣΙΜΑΤΟΣ'!R97)</f>
        <v>4.6782724161295218E-2</v>
      </c>
      <c r="S97" s="43">
        <f>LN('2.ΤΙΜΕΣ ΚΛΕΙΣΙΜΑΤΟΣ'!S98/'2.ΤΙΜΕΣ ΚΛΕΙΣΙΜΑΤΟΣ'!S97)</f>
        <v>6.703540133615829E-2</v>
      </c>
      <c r="T97" s="43">
        <f>LN('2.ΤΙΜΕΣ ΚΛΕΙΣΙΜΑΤΟΣ'!T98/'2.ΤΙΜΕΣ ΚΛΕΙΣΙΜΑΤΟΣ'!T97)</f>
        <v>9.0850153296795508E-2</v>
      </c>
      <c r="U97" s="43">
        <f>LN('2.ΤΙΜΕΣ ΚΛΕΙΣΙΜΑΤΟΣ'!U98/'2.ΤΙΜΕΣ ΚΛΕΙΣΙΜΑΤΟΣ'!U97)</f>
        <v>4.3692613674215015E-2</v>
      </c>
      <c r="V97" s="43">
        <f>LN('2.ΤΙΜΕΣ ΚΛΕΙΣΙΜΑΤΟΣ'!V98/'2.ΤΙΜΕΣ ΚΛΕΙΣΙΜΑΤΟΣ'!V97)</f>
        <v>2.6787315963649763E-2</v>
      </c>
      <c r="W97" s="43">
        <f>LN('2.ΤΙΜΕΣ ΚΛΕΙΣΙΜΑΤΟΣ'!W98/'2.ΤΙΜΕΣ ΚΛΕΙΣΙΜΑΤΟΣ'!W97)</f>
        <v>5.1877539267683244E-2</v>
      </c>
      <c r="X97" s="43">
        <f>LN('2.ΤΙΜΕΣ ΚΛΕΙΣΙΜΑΤΟΣ'!X98/'2.ΤΙΜΕΣ ΚΛΕΙΣΙΜΑΤΟΣ'!X97)</f>
        <v>2.1066359126931746E-2</v>
      </c>
      <c r="Y97" s="43">
        <f>LN('2.ΤΙΜΕΣ ΚΛΕΙΣΙΜΑΤΟΣ'!Y98/'2.ΤΙΜΕΣ ΚΛΕΙΣΙΜΑΤΟΣ'!Y97)</f>
        <v>6.1035890586369088E-2</v>
      </c>
      <c r="Z97" s="43">
        <f>LN('2.ΤΙΜΕΣ ΚΛΕΙΣΙΜΑΤΟΣ'!Z98/'2.ΤΙΜΕΣ ΚΛΕΙΣΙΜΑΤΟΣ'!Z97)</f>
        <v>6.920442844573757E-3</v>
      </c>
      <c r="AA97" s="43">
        <f>LN('2.ΤΙΜΕΣ ΚΛΕΙΣΙΜΑΤΟΣ'!AA98/'2.ΤΙΜΕΣ ΚΛΕΙΣΙΜΑΤΟΣ'!AA97)</f>
        <v>1.4184634991956381E-2</v>
      </c>
      <c r="AB97" s="43">
        <f>LN('2.ΤΙΜΕΣ ΚΛΕΙΣΙΜΑΤΟΣ'!AB98/'2.ΤΙΜΕΣ ΚΛΕΙΣΙΜΑΤΟΣ'!AB97)</f>
        <v>5.8268908123975824E-2</v>
      </c>
      <c r="AC97" s="43">
        <f>LN('2.ΤΙΜΕΣ ΚΛΕΙΣΙΜΑΤΟΣ'!AC98/'2.ΤΙΜΕΣ ΚΛΕΙΣΙΜΑΤΟΣ'!AC97)</f>
        <v>-1.4295928095944335E-3</v>
      </c>
      <c r="AD97" s="43">
        <f>LN('2.ΤΙΜΕΣ ΚΛΕΙΣΙΜΑΤΟΣ'!AD98/'2.ΤΙΜΕΣ ΚΛΕΙΣΙΜΑΤΟΣ'!AD97)</f>
        <v>3.9740328649513913E-2</v>
      </c>
      <c r="AE97" s="43">
        <f>LN('2.ΤΙΜΕΣ ΚΛΕΙΣΙΜΑΤΟΣ'!AE98/'2.ΤΙΜΕΣ ΚΛΕΙΣΙΜΑΤΟΣ'!AE97)</f>
        <v>4.9914391381712858E-2</v>
      </c>
      <c r="AF97" s="43">
        <f>LN('2.ΤΙΜΕΣ ΚΛΕΙΣΙΜΑΤΟΣ'!AF98/'2.ΤΙΜΕΣ ΚΛΕΙΣΙΜΑΤΟΣ'!AF97)</f>
        <v>6.733312006858716E-2</v>
      </c>
      <c r="AG97" s="43">
        <f>LN('2.ΤΙΜΕΣ ΚΛΕΙΣΙΜΑΤΟΣ'!AG98/'2.ΤΙΜΕΣ ΚΛΕΙΣΙΜΑΤΟΣ'!AG97)</f>
        <v>0.10536051565782635</v>
      </c>
      <c r="AH97" s="43">
        <f>LN('2.ΤΙΜΕΣ ΚΛΕΙΣΙΜΑΤΟΣ'!AH98/'2.ΤΙΜΕΣ ΚΛΕΙΣΙΜΑΤΟΣ'!AH97)</f>
        <v>3.9740328649514121E-2</v>
      </c>
      <c r="AI97" s="43">
        <f>LN('2.ΤΙΜΕΣ ΚΛΕΙΣΙΜΑΤΟΣ'!AI98/'2.ΤΙΜΕΣ ΚΛΕΙΣΙΜΑΤΟΣ'!AI97)</f>
        <v>2.4897551621727087E-2</v>
      </c>
      <c r="AJ97" s="43">
        <f>LN('2.ΤΙΜΕΣ ΚΛΕΙΣΙΜΑΤΟΣ'!AJ98/'2.ΤΙΜΕΣ ΚΛΕΙΣΙΜΑΤΟΣ'!AJ97)</f>
        <v>3.7041271680349076E-2</v>
      </c>
      <c r="AK97" s="43">
        <f>LN('2.ΤΙΜΕΣ ΚΛΕΙΣΙΜΑΤΟΣ'!AK98/'2.ΤΙΜΕΣ ΚΛΕΙΣΙΜΑΤΟΣ'!AK97)</f>
        <v>3.3099948426344707E-2</v>
      </c>
      <c r="AL97" s="43">
        <f>LN('2.ΤΙΜΕΣ ΚΛΕΙΣΙΜΑΤΟΣ'!AL98/'2.ΤΙΜΕΣ ΚΛΕΙΣΙΜΑΤΟΣ'!AL97)</f>
        <v>7.6961041136128394E-2</v>
      </c>
      <c r="AM97" s="43">
        <f>LN('2.ΤΙΜΕΣ ΚΛΕΙΣΙΜΑΤΟΣ'!AM98/'2.ΤΙΜΕΣ ΚΛΕΙΣΙΜΑΤΟΣ'!AM97)</f>
        <v>1.9705071079332337E-2</v>
      </c>
      <c r="AN97" s="43">
        <f>LN('2.ΤΙΜΕΣ ΚΛΕΙΣΙΜΑΤΟΣ'!AN98/'2.ΤΙΜΕΣ ΚΛΕΙΣΙΜΑΤΟΣ'!AN97)</f>
        <v>9.114463905317538E-2</v>
      </c>
      <c r="AO97" s="43">
        <f>LN('2.ΤΙΜΕΣ ΚΛΕΙΣΙΜΑΤΟΣ'!AO98/'2.ΤΙΜΕΣ ΚΛΕΙΣΙΜΑΤΟΣ'!AO97)</f>
        <v>2.0680205237538603E-2</v>
      </c>
      <c r="AP97" s="43">
        <f>LN('2.ΤΙΜΕΣ ΚΛΕΙΣΙΜΑΤΟΣ'!AP98/'2.ΤΙΜΕΣ ΚΛΕΙΣΙΜΑΤΟΣ'!AP97)</f>
        <v>5.9423420470800806E-2</v>
      </c>
      <c r="AQ97" s="43">
        <f>LN('2.ΤΙΜΕΣ ΚΛΕΙΣΙΜΑΤΟΣ'!AQ98/'2.ΤΙΜΕΣ ΚΛΕΙΣΙΜΑΤΟΣ'!AQ97)</f>
        <v>8.4619374700948241E-2</v>
      </c>
      <c r="AR97" s="43">
        <f>LN('2.ΤΙΜΕΣ ΚΛΕΙΣΙΜΑΤΟΣ'!AR98/'2.ΤΙΜΕΣ ΚΛΕΙΣΙΜΑΤΟΣ'!AR97)</f>
        <v>6.4538521137571164E-2</v>
      </c>
      <c r="AS97" s="43">
        <f>LN('2.ΤΙΜΕΣ ΚΛΕΙΣΙΜΑΤΟΣ'!AS98/'2.ΤΙΜΕΣ ΚΛΕΙΣΙΜΑΤΟΣ'!AS97)</f>
        <v>9.5881771703282506E-2</v>
      </c>
      <c r="AT97" s="43">
        <f>LN('2.ΤΙΜΕΣ ΚΛΕΙΣΙΜΑΤΟΣ'!AT98/'2.ΤΙΜΕΣ ΚΛΕΙΣΙΜΑΤΟΣ'!AT97)</f>
        <v>4.2907501011276598E-2</v>
      </c>
      <c r="AU97" s="43">
        <f>LN('2.ΤΙΜΕΣ ΚΛΕΙΣΙΜΑΤΟΣ'!AU98/'2.ΤΙΜΕΣ ΚΛΕΙΣΙΜΑΤΟΣ'!AU97)</f>
        <v>4.4738261083495254E-2</v>
      </c>
    </row>
    <row r="98" spans="1:47">
      <c r="A98" s="41">
        <v>43697</v>
      </c>
      <c r="B98" s="43">
        <f>LN('2.ΤΙΜΕΣ ΚΛΕΙΣΙΜΑΤΟΣ'!B99/'2.ΤΙΜΕΣ ΚΛΕΙΣΙΜΑΤΟΣ'!B98)</f>
        <v>-5.3601468369225318E-3</v>
      </c>
      <c r="C98" s="43">
        <f>LN('2.ΤΙΜΕΣ ΚΛΕΙΣΙΜΑΤΟΣ'!C99/'2.ΤΙΜΕΣ ΚΛΕΙΣΙΜΑΤΟΣ'!C98)</f>
        <v>5.8067355196397795E-3</v>
      </c>
      <c r="D98" s="43">
        <f>LN('2.ΤΙΜΕΣ ΚΛΕΙΣΙΜΑΤΟΣ'!D99/'2.ΤΙΜΕΣ ΚΛΕΙΣΙΜΑΤΟΣ'!D98)</f>
        <v>-5.2181291435587571E-3</v>
      </c>
      <c r="E98" s="43">
        <f>LN('2.ΤΙΜΕΣ ΚΛΕΙΣΙΜΑΤΟΣ'!E99/'2.ΤΙΜΕΣ ΚΛΕΙΣΙΜΑΤΟΣ'!E98)</f>
        <v>2.4112451044914857E-2</v>
      </c>
      <c r="F98" s="43">
        <f>LN('2.ΤΙΜΕΣ ΚΛΕΙΣΙΜΑΤΟΣ'!F99/'2.ΤΙΜΕΣ ΚΛΕΙΣΙΜΑΤΟΣ'!F98)</f>
        <v>-9.6827007164173879E-3</v>
      </c>
      <c r="G98" s="43">
        <f>LN('2.ΤΙΜΕΣ ΚΛΕΙΣΙΜΑΤΟΣ'!G99/'2.ΤΙΜΕΣ ΚΛΕΙΣΙΜΑΤΟΣ'!G98)</f>
        <v>-2.0349539415279616E-2</v>
      </c>
      <c r="H98" s="43">
        <f>LN('2.ΤΙΜΕΣ ΚΛΕΙΣΙΜΑΤΟΣ'!H99/'2.ΤΙΜΕΣ ΚΛΕΙΣΙΜΑΤΟΣ'!H98)</f>
        <v>2.3311078868447146E-2</v>
      </c>
      <c r="I98" s="43">
        <f>LN('2.ΤΙΜΕΣ ΚΛΕΙΣΙΜΑΤΟΣ'!I99/'2.ΤΙΜΕΣ ΚΛΕΙΣΙΜΑΤΟΣ'!I98)</f>
        <v>6.8728792877620504E-3</v>
      </c>
      <c r="J98" s="43">
        <f>LN('2.ΤΙΜΕΣ ΚΛΕΙΣΙΜΑΤΟΣ'!J99/'2.ΤΙΜΕΣ ΚΛΕΙΣΙΜΑΤΟΣ'!J98)</f>
        <v>7.8359469860198577E-3</v>
      </c>
      <c r="K98" s="43">
        <f>LN('2.ΤΙΜΕΣ ΚΛΕΙΣΙΜΑΤΟΣ'!K99/'2.ΤΙΜΕΣ ΚΛΕΙΣΙΜΑΤΟΣ'!K98)</f>
        <v>-2.2909517465558244E-3</v>
      </c>
      <c r="L98" s="43">
        <f>LN('2.ΤΙΜΕΣ ΚΛΕΙΣΙΜΑΤΟΣ'!L99/'2.ΤΙΜΕΣ ΚΛΕΙΣΙΜΑΤΟΣ'!L98)</f>
        <v>8.4767398626925724E-3</v>
      </c>
      <c r="M98" s="43">
        <f>LN('2.ΤΙΜΕΣ ΚΛΕΙΣΙΜΑΤΟΣ'!M99/'2.ΤΙΜΕΣ ΚΛΕΙΣΙΜΑΤΟΣ'!M98)</f>
        <v>-2.5975486403260677E-2</v>
      </c>
      <c r="N98" s="43">
        <f>LN('2.ΤΙΜΕΣ ΚΛΕΙΣΙΜΑΤΟΣ'!N99/'2.ΤΙΜΕΣ ΚΛΕΙΣΙΜΑΤΟΣ'!N98)</f>
        <v>4.1976183830484438E-2</v>
      </c>
      <c r="O98" s="43">
        <f>LN('2.ΤΙΜΕΣ ΚΛΕΙΣΙΜΑΤΟΣ'!O99/'2.ΤΙΜΕΣ ΚΛΕΙΣΙΜΑΤΟΣ'!O98)</f>
        <v>2.4844733276621869E-3</v>
      </c>
      <c r="P98" s="43">
        <f>LN('2.ΤΙΜΕΣ ΚΛΕΙΣΙΜΑΤΟΣ'!P99/'2.ΤΙΜΕΣ ΚΛΕΙΣΙΜΑΤΟΣ'!P98)</f>
        <v>4.7808856003421158E-3</v>
      </c>
      <c r="Q98" s="43">
        <f>LN('2.ΤΙΜΕΣ ΚΛΕΙΣΙΜΑΤΟΣ'!Q99/'2.ΤΙΜΕΣ ΚΛΕΙΣΙΜΑΤΟΣ'!Q98)</f>
        <v>-1.5987550760312177E-2</v>
      </c>
      <c r="R98" s="43">
        <f>LN('2.ΤΙΜΕΣ ΚΛΕΙΣΙΜΑΤΟΣ'!R99/'2.ΤΙΜΕΣ ΚΛΕΙΣΙΜΑΤΟΣ'!R98)</f>
        <v>2.0281506419250493E-2</v>
      </c>
      <c r="S98" s="43">
        <f>LN('2.ΤΙΜΕΣ ΚΛΕΙΣΙΜΑΤΟΣ'!S99/'2.ΤΙΜΕΣ ΚΛΕΙΣΙΜΑΤΟΣ'!S98)</f>
        <v>3.7336695520490304E-3</v>
      </c>
      <c r="T98" s="43">
        <f>LN('2.ΤΙΜΕΣ ΚΛΕΙΣΙΜΑΤΟΣ'!T99/'2.ΤΙΜΕΣ ΚΛΕΙΣΙΜΑΤΟΣ'!T98)</f>
        <v>2.5510217916052047E-3</v>
      </c>
      <c r="U98" s="43">
        <f>LN('2.ΤΙΜΕΣ ΚΛΕΙΣΙΜΑΤΟΣ'!U99/'2.ΤΙΜΕΣ ΚΛΕΙΣΙΜΑΤΟΣ'!U98)</f>
        <v>-2.4600258408625339E-3</v>
      </c>
      <c r="V98" s="43">
        <f>LN('2.ΤΙΜΕΣ ΚΛΕΙΣΙΜΑΤΟΣ'!V99/'2.ΤΙΜΕΣ ΚΛΕΙΣΙΜΑΤΟΣ'!V98)</f>
        <v>1.9629856044886131E-2</v>
      </c>
      <c r="W98" s="43">
        <f>LN('2.ΤΙΜΕΣ ΚΛΕΙΣΙΜΑΤΟΣ'!W99/'2.ΤΙΜΕΣ ΚΛΕΙΣΙΜΑΤΟΣ'!W98)</f>
        <v>-1.2338064489284325E-3</v>
      </c>
      <c r="X98" s="43">
        <f>LN('2.ΤΙΜΕΣ ΚΛΕΙΣΙΜΑΤΟΣ'!X99/'2.ΤΙΜΕΣ ΚΛΕΙΣΙΜΑΤΟΣ'!X98)</f>
        <v>0</v>
      </c>
      <c r="Y98" s="43">
        <f>LN('2.ΤΙΜΕΣ ΚΛΕΙΣΙΜΑΤΟΣ'!Y99/'2.ΤΙΜΕΣ ΚΛΕΙΣΙΜΑΤΟΣ'!Y98)</f>
        <v>-4.3956114730379975E-3</v>
      </c>
      <c r="Z98" s="43">
        <f>LN('2.ΤΙΜΕΣ ΚΛΕΙΣΙΜΑΤΟΣ'!Z99/'2.ΤΙΜΕΣ ΚΛΕΙΣΙΜΑΤΟΣ'!Z98)</f>
        <v>1.709443335930004E-2</v>
      </c>
      <c r="AA98" s="43">
        <f>LN('2.ΤΙΜΕΣ ΚΛΕΙΣΙΜΑΤΟΣ'!AA99/'2.ΤΙΜΕΣ ΚΛΕΙΣΙΜΑΤΟΣ'!AA98)</f>
        <v>-1.0619568827460261E-2</v>
      </c>
      <c r="AB98" s="43">
        <f>LN('2.ΤΙΜΕΣ ΚΛΕΙΣΙΜΑΤΟΣ'!AB99/'2.ΤΙΜΕΣ ΚΛΕΙΣΙΜΑΤΟΣ'!AB98)</f>
        <v>9.3897403498389171E-3</v>
      </c>
      <c r="AC98" s="43">
        <f>LN('2.ΤΙΜΕΣ ΚΛΕΙΣΙΜΑΤΟΣ'!AC99/'2.ΤΙΜΕΣ ΚΛΕΙΣΙΜΑΤΟΣ'!AC98)</f>
        <v>7.1276139242321401E-3</v>
      </c>
      <c r="AD98" s="43">
        <f>LN('2.ΤΙΜΕΣ ΚΛΕΙΣΙΜΑΤΟΣ'!AD99/'2.ΤΙΜΕΣ ΚΛΕΙΣΙΜΑΤΟΣ'!AD98)</f>
        <v>-7.2411612565595855E-3</v>
      </c>
      <c r="AE98" s="43">
        <f>LN('2.ΤΙΜΕΣ ΚΛΕΙΣΙΜΑΤΟΣ'!AE99/'2.ΤΙΜΕΣ ΚΛΕΙΣΙΜΑΤΟΣ'!AE98)</f>
        <v>7.4627212015895943E-3</v>
      </c>
      <c r="AF98" s="43">
        <f>LN('2.ΤΙΜΕΣ ΚΛΕΙΣΙΜΑΤΟΣ'!AF99/'2.ΤΙΜΕΣ ΚΛΕΙΣΙΜΑΤΟΣ'!AF98)</f>
        <v>4.6403795565023009E-3</v>
      </c>
      <c r="AG98" s="43">
        <f>LN('2.ΤΙΜΕΣ ΚΛΕΙΣΙΜΑΤΟΣ'!AG99/'2.ΤΙΜΕΣ ΚΛΕΙΣΙΜΑΤΟΣ'!AG98)</f>
        <v>-1.6807118316381289E-2</v>
      </c>
      <c r="AH98" s="43">
        <f>LN('2.ΤΙΜΕΣ ΚΛΕΙΣΙΜΑΤΟΣ'!AH99/'2.ΤΙΜΕΣ ΚΛΕΙΣΙΜΑΤΟΣ'!AH98)</f>
        <v>-1.4953549667058358E-2</v>
      </c>
      <c r="AI98" s="43">
        <f>LN('2.ΤΙΜΕΣ ΚΛΕΙΣΙΜΑΤΟΣ'!AI99/'2.ΤΙΜΕΣ ΚΛΕΙΣΙΜΑΤΟΣ'!AI98)</f>
        <v>8.1633106391610557E-3</v>
      </c>
      <c r="AJ98" s="43">
        <f>LN('2.ΤΙΜΕΣ ΚΛΕΙΣΙΜΑΤΟΣ'!AJ99/'2.ΤΙΜΕΣ ΚΛΕΙΣΙΜΑΤΟΣ'!AJ98)</f>
        <v>-1.8349138668196541E-2</v>
      </c>
      <c r="AK98" s="43">
        <f>LN('2.ΤΙΜΕΣ ΚΛΕΙΣΙΜΑΤΟΣ'!AK99/'2.ΤΙΜΕΣ ΚΛΕΙΣΙΜΑΤΟΣ'!AK98)</f>
        <v>-1.4051753455650302E-2</v>
      </c>
      <c r="AL98" s="43">
        <f>LN('2.ΤΙΜΕΣ ΚΛΕΙΣΙΜΑΤΟΣ'!AL99/'2.ΤΙΜΕΣ ΚΛΕΙΣΙΜΑΤΟΣ'!AL98)</f>
        <v>-2.2472855852058628E-2</v>
      </c>
      <c r="AM98" s="43">
        <f>LN('2.ΤΙΜΕΣ ΚΛΕΙΣΙΜΑΤΟΣ'!AM99/'2.ΤΙΜΕΣ ΚΛΕΙΣΙΜΑΤΟΣ'!AM98)</f>
        <v>0</v>
      </c>
      <c r="AN98" s="43">
        <f>LN('2.ΤΙΜΕΣ ΚΛΕΙΣΙΜΑΤΟΣ'!AN99/'2.ΤΙΜΕΣ ΚΛΕΙΣΙΜΑΤΟΣ'!AN98)</f>
        <v>1.0830430774369591E-2</v>
      </c>
      <c r="AO98" s="43">
        <f>LN('2.ΤΙΜΕΣ ΚΛΕΙΣΙΜΑΤΟΣ'!AO99/'2.ΤΙΜΕΣ ΚΛΕΙΣΙΜΑΤΟΣ'!AO98)</f>
        <v>5.8309203107931437E-3</v>
      </c>
      <c r="AP98" s="43">
        <f>LN('2.ΤΙΜΕΣ ΚΛΕΙΣΙΜΑΤΟΣ'!AP99/'2.ΤΙΜΕΣ ΚΛΕΙΣΙΜΑΤΟΣ'!AP98)</f>
        <v>1.6349138001529411E-2</v>
      </c>
      <c r="AQ98" s="43">
        <f>LN('2.ΤΙΜΕΣ ΚΛΕΙΣΙΜΑΤΟΣ'!AQ99/'2.ΤΙΜΕΣ ΚΛΕΙΣΙΜΑΤΟΣ'!AQ98)</f>
        <v>-3.1662295580495493E-3</v>
      </c>
      <c r="AR98" s="43">
        <f>LN('2.ΤΙΜΕΣ ΚΛΕΙΣΙΜΑΤΟΣ'!AR99/'2.ΤΙΜΕΣ ΚΛΕΙΣΙΜΑΤΟΣ'!AR98)</f>
        <v>1.7699577099401075E-2</v>
      </c>
      <c r="AS98" s="43">
        <f>LN('2.ΤΙΜΕΣ ΚΛΕΙΣΙΜΑΤΟΣ'!AS99/'2.ΤΙΜΕΣ ΚΛΕΙΣΙΜΑΤΟΣ'!AS98)</f>
        <v>0</v>
      </c>
      <c r="AT98" s="43">
        <f>LN('2.ΤΙΜΕΣ ΚΛΕΙΣΙΜΑΤΟΣ'!AT99/'2.ΤΙΜΕΣ ΚΛΕΙΣΙΜΑΤΟΣ'!AT98)</f>
        <v>0</v>
      </c>
      <c r="AU98" s="43">
        <f>LN('2.ΤΙΜΕΣ ΚΛΕΙΣΙΜΑΤΟΣ'!AU99/'2.ΤΙΜΕΣ ΚΛΕΙΣΙΜΑΤΟΣ'!AU98)</f>
        <v>1.7369911004036379E-3</v>
      </c>
    </row>
    <row r="99" spans="1:47">
      <c r="A99" s="41">
        <v>43698</v>
      </c>
      <c r="B99" s="43">
        <f>LN('2.ΤΙΜΕΣ ΚΛΕΙΣΙΜΑΤΟΣ'!B100/'2.ΤΙΜΕΣ ΚΛΕΙΣΙΜΑΤΟΣ'!B99)</f>
        <v>2.3486003078750138E-3</v>
      </c>
      <c r="C99" s="43">
        <f>LN('2.ΤΙΜΕΣ ΚΛΕΙΣΙΜΑΤΟΣ'!C100/'2.ΤΙΜΕΣ ΚΛΕΙΣΙΜΑΤΟΣ'!C99)</f>
        <v>-7.4720148387009541E-3</v>
      </c>
      <c r="D99" s="43">
        <f>LN('2.ΤΙΜΕΣ ΚΛΕΙΣΙΜΑΤΟΣ'!D100/'2.ΤΙΜΕΣ ΚΛΕΙΣΙΜΑΤΟΣ'!D99)</f>
        <v>-5.771567519312959E-3</v>
      </c>
      <c r="E99" s="43">
        <f>LN('2.ΤΙΜΕΣ ΚΛΕΙΣΙΜΑΤΟΣ'!E100/'2.ΤΙΜΕΣ ΚΛΕΙΣΙΜΑΤΟΣ'!E99)</f>
        <v>-2.2861669143262351E-2</v>
      </c>
      <c r="F99" s="43">
        <f>LN('2.ΤΙΜΕΣ ΚΛΕΙΣΙΜΑΤΟΣ'!F100/'2.ΤΙΜΕΣ ΚΛΕΙΣΙΜΑΤΟΣ'!F99)</f>
        <v>-1.0816658707410232E-3</v>
      </c>
      <c r="G99" s="43">
        <f>LN('2.ΤΙΜΕΣ ΚΛΕΙΣΙΜΑΤΟΣ'!G100/'2.ΤΙΜΕΣ ΚΛΕΙΣΙΜΑΤΟΣ'!G99)</f>
        <v>3.0371097876298554E-2</v>
      </c>
      <c r="H99" s="43">
        <f>LN('2.ΤΙΜΕΣ ΚΛΕΙΣΙΜΑΤΟΣ'!H100/'2.ΤΙΜΕΣ ΚΛΕΙΣΙΜΑΤΟΣ'!H99)</f>
        <v>-2.1426064172675872E-2</v>
      </c>
      <c r="I99" s="43">
        <f>LN('2.ΤΙΜΕΣ ΚΛΕΙΣΙΜΑΤΟΣ'!I100/'2.ΤΙΜΕΣ ΚΛΕΙΣΙΜΑΤΟΣ'!I99)</f>
        <v>2.8361117621697872E-2</v>
      </c>
      <c r="J99" s="43">
        <f>LN('2.ΤΙΜΕΣ ΚΛΕΙΣΙΜΑΤΟΣ'!J100/'2.ΤΙΜΕΣ ΚΛΕΙΣΙΜΑΤΟΣ'!J99)</f>
        <v>2.3594560961258754E-2</v>
      </c>
      <c r="K99" s="43">
        <f>LN('2.ΤΙΜΕΣ ΚΛΕΙΣΙΜΑΤΟΣ'!K100/'2.ΤΙΜΕΣ ΚΛΕΙΣΙΜΑΤΟΣ'!K99)</f>
        <v>4.3348977664899438E-2</v>
      </c>
      <c r="L99" s="43">
        <f>LN('2.ΤΙΜΕΣ ΚΛΕΙΣΙΜΑΤΟΣ'!L100/'2.ΤΙΜΕΣ ΚΛΕΙΣΙΜΑΤΟΣ'!L99)</f>
        <v>-9.9354205887778983E-4</v>
      </c>
      <c r="M99" s="43">
        <f>LN('2.ΤΙΜΕΣ ΚΛΕΙΣΙΜΑΤΟΣ'!M100/'2.ΤΙΜΕΣ ΚΛΕΙΣΙΜΑΤΟΣ'!M99)</f>
        <v>-5.2770571008438931E-3</v>
      </c>
      <c r="N99" s="43">
        <f>LN('2.ΤΙΜΕΣ ΚΛΕΙΣΙΜΑΤΟΣ'!N100/'2.ΤΙΜΕΣ ΚΛΕΙΣΙΜΑΤΟΣ'!N99)</f>
        <v>-8.1426815197829412E-3</v>
      </c>
      <c r="O99" s="43">
        <f>LN('2.ΤΙΜΕΣ ΚΛΕΙΣΙΜΑΤΟΣ'!O100/'2.ΤΙΜΕΣ ΚΛΕΙΣΙΜΑΤΟΣ'!O99)</f>
        <v>-2.8951046515825297E-2</v>
      </c>
      <c r="P99" s="43">
        <f>LN('2.ΤΙΜΕΣ ΚΛΕΙΣΙΜΑΤΟΣ'!P100/'2.ΤΙΜΕΣ ΚΛΕΙΣΙΜΑΤΟΣ'!P99)</f>
        <v>-1.4411778661303316E-2</v>
      </c>
      <c r="Q99" s="43">
        <f>LN('2.ΤΙΜΕΣ ΚΛΕΙΣΙΜΑΤΟΣ'!Q100/'2.ΤΙΜΕΣ ΚΛΕΙΣΙΜΑΤΟΣ'!Q99)</f>
        <v>7.7498098077071198E-2</v>
      </c>
      <c r="R99" s="43">
        <f>LN('2.ΤΙΜΕΣ ΚΛΕΙΣΙΜΑΤΟΣ'!R100/'2.ΤΙΜΕΣ ΚΛΕΙΣΙΜΑΤΟΣ'!R99)</f>
        <v>1.9121041446778595E-2</v>
      </c>
      <c r="S99" s="43">
        <f>LN('2.ΤΙΜΕΣ ΚΛΕΙΣΙΜΑΤΟΣ'!S100/'2.ΤΙΜΕΣ ΚΛΕΙΣΙΜΑΤΟΣ'!S99)</f>
        <v>-6.2305497506361975E-3</v>
      </c>
      <c r="T99" s="43">
        <f>LN('2.ΤΙΜΕΣ ΚΛΕΙΣΙΜΑΤΟΣ'!T100/'2.ΤΙΜΕΣ ΚΛΕΙΣΙΜΑΤΟΣ'!T99)</f>
        <v>6.3492276786587445E-3</v>
      </c>
      <c r="U99" s="43">
        <f>LN('2.ΤΙΜΕΣ ΚΛΕΙΣΙΜΑΤΟΣ'!U100/'2.ΤΙΜΕΣ ΚΛΕΙΣΙΜΑΤΟΣ'!U99)</f>
        <v>0</v>
      </c>
      <c r="V99" s="43">
        <f>LN('2.ΤΙΜΕΣ ΚΛΕΙΣΙΜΑΤΟΣ'!V100/'2.ΤΙΜΕΣ ΚΛΕΙΣΙΜΑΤΟΣ'!V99)</f>
        <v>1.7131039930183774E-2</v>
      </c>
      <c r="W99" s="43">
        <f>LN('2.ΤΙΜΕΣ ΚΛΕΙΣΙΜΑΤΟΣ'!W100/'2.ΤΙΜΕΣ ΚΛΕΙΣΙΜΑΤΟΣ'!W99)</f>
        <v>-1.1173300598125189E-2</v>
      </c>
      <c r="X99" s="43">
        <f>LN('2.ΤΙΜΕΣ ΚΛΕΙΣΙΜΑΤΟΣ'!X100/'2.ΤΙΜΕΣ ΚΛΕΙΣΙΜΑΤΟΣ'!X99)</f>
        <v>1.7795673965115427E-2</v>
      </c>
      <c r="Y99" s="43">
        <f>LN('2.ΤΙΜΕΣ ΚΛΕΙΣΙΜΑΤΟΣ'!Y100/'2.ΤΙΜΕΣ ΚΛΕΙΣΙΜΑΤΟΣ'!Y99)</f>
        <v>2.2002209096023376E-3</v>
      </c>
      <c r="Z99" s="43">
        <f>LN('2.ΤΙΜΕΣ ΚΛΕΙΣΙΜΑΤΟΣ'!Z100/'2.ΤΙΜΕΣ ΚΛΕΙΣΙΜΑΤΟΣ'!Z99)</f>
        <v>0</v>
      </c>
      <c r="AA99" s="43">
        <f>LN('2.ΤΙΜΕΣ ΚΛΕΙΣΙΜΑΤΟΣ'!AA100/'2.ΤΙΜΕΣ ΚΛΕΙΣΙΜΑΤΟΣ'!AA99)</f>
        <v>1.0619568827460131E-2</v>
      </c>
      <c r="AB99" s="43">
        <f>LN('2.ΤΙΜΕΣ ΚΛΕΙΣΙΜΑΤΟΣ'!AB100/'2.ΤΙΜΕΣ ΚΛΕΙΣΙΜΑΤΟΣ'!AB99)</f>
        <v>-1.1278315037707078E-2</v>
      </c>
      <c r="AC99" s="43">
        <f>LN('2.ΤΙΜΕΣ ΚΛΕΙΣΙΜΑΤΟΣ'!AC100/'2.ΤΙΜΕΣ ΚΛΕΙΣΙΜΑΤΟΣ'!AC99)</f>
        <v>0</v>
      </c>
      <c r="AD99" s="43">
        <f>LN('2.ΤΙΜΕΣ ΚΛΕΙΣΙΜΑΤΟΣ'!AD100/'2.ΤΙΜΕΣ ΚΛΕΙΣΙΜΑΤΟΣ'!AD99)</f>
        <v>5.7971176843259146E-3</v>
      </c>
      <c r="AE99" s="43">
        <f>LN('2.ΤΙΜΕΣ ΚΛΕΙΣΙΜΑΤΟΣ'!AE100/'2.ΤΙΜΕΣ ΚΛΕΙΣΙΜΑΤΟΣ'!AE99)</f>
        <v>-2.2557347424074628E-2</v>
      </c>
      <c r="AF99" s="43">
        <f>LN('2.ΤΙΜΕΣ ΚΛΕΙΣΙΜΑΤΟΣ'!AF100/'2.ΤΙΜΕΣ ΚΛΕΙΣΙΜΑΤΟΣ'!AF99)</f>
        <v>0</v>
      </c>
      <c r="AG99" s="43">
        <f>LN('2.ΤΙΜΕΣ ΚΛΕΙΣΙΜΑΤΟΣ'!AG100/'2.ΤΙΜΕΣ ΚΛΕΙΣΙΜΑΤΟΣ'!AG99)</f>
        <v>2.4183808642816527E-3</v>
      </c>
      <c r="AH99" s="43">
        <f>LN('2.ΤΙΜΕΣ ΚΛΕΙΣΙΜΑΤΟΣ'!AH100/'2.ΤΙΜΕΣ ΚΛΕΙΣΙΜΑΤΟΣ'!AH99)</f>
        <v>-5.6657375356774196E-3</v>
      </c>
      <c r="AI99" s="43">
        <f>LN('2.ΤΙΜΕΣ ΚΛΕΙΣΙΜΑΤΟΣ'!AI100/'2.ΤΙΜΕΣ ΚΛΕΙΣΙΜΑΤΟΣ'!AI99)</f>
        <v>0</v>
      </c>
      <c r="AJ99" s="43">
        <f>LN('2.ΤΙΜΕΣ ΚΛΕΙΣΙΜΑΤΟΣ'!AJ100/'2.ΤΙΜΕΣ ΚΛΕΙΣΙΜΑΤΟΣ'!AJ99)</f>
        <v>0</v>
      </c>
      <c r="AK99" s="43">
        <f>LN('2.ΤΙΜΕΣ ΚΛΕΙΣΙΜΑΤΟΣ'!AK100/'2.ΤΙΜΕΣ ΚΛΕΙΣΙΜΑΤΟΣ'!AK99)</f>
        <v>-1.9048194970694474E-2</v>
      </c>
      <c r="AL99" s="43">
        <f>LN('2.ΤΙΜΕΣ ΚΛΕΙΣΙΜΑΤΟΣ'!AL100/'2.ΤΙΜΕΣ ΚΛΕΙΣΙΜΑΤΟΣ'!AL99)</f>
        <v>2.9852963149681128E-2</v>
      </c>
      <c r="AM99" s="43">
        <f>LN('2.ΤΙΜΕΣ ΚΛΕΙΣΙΜΑΤΟΣ'!AM100/'2.ΤΙΜΕΣ ΚΛΕΙΣΙΜΑΤΟΣ'!AM99)</f>
        <v>0</v>
      </c>
      <c r="AN99" s="43">
        <f>LN('2.ΤΙΜΕΣ ΚΛΕΙΣΙΜΑΤΟΣ'!AN100/'2.ΤΙΜΕΣ ΚΛΕΙΣΙΜΑΤΟΣ'!AN99)</f>
        <v>-3.5971261808494803E-3</v>
      </c>
      <c r="AO99" s="43">
        <f>LN('2.ΤΙΜΕΣ ΚΛΕΙΣΙΜΑΤΟΣ'!AO100/'2.ΤΙΜΕΣ ΚΛΕΙΣΙΜΑΤΟΣ'!AO99)</f>
        <v>-2.91121020745833E-3</v>
      </c>
      <c r="AP99" s="43">
        <f>LN('2.ΤΙΜΕΣ ΚΛΕΙΣΙΜΑΤΟΣ'!AP100/'2.ΤΙΜΕΣ ΚΛΕΙΣΙΜΑΤΟΣ'!AP99)</f>
        <v>2.139118998131756E-2</v>
      </c>
      <c r="AQ99" s="43">
        <f>LN('2.ΤΙΜΕΣ ΚΛΕΙΣΙΜΑΤΟΣ'!AQ100/'2.ΤΙΜΕΣ ΚΛΕΙΣΙΜΑΤΟΣ'!AQ99)</f>
        <v>1.781084274624737E-2</v>
      </c>
      <c r="AR99" s="43">
        <f>LN('2.ΤΙΜΕΣ ΚΛΕΙΣΙΜΑΤΟΣ'!AR100/'2.ΤΙΜΕΣ ΚΛΕΙΣΙΜΑΤΟΣ'!AR99)</f>
        <v>6.4538521137571164E-2</v>
      </c>
      <c r="AS99" s="43">
        <f>LN('2.ΤΙΜΕΣ ΚΛΕΙΣΙΜΑΤΟΣ'!AS100/'2.ΤΙΜΕΣ ΚΛΕΙΣΙΜΑΤΟΣ'!AS99)</f>
        <v>2.8170876966696439E-2</v>
      </c>
      <c r="AT99" s="43">
        <f>LN('2.ΤΙΜΕΣ ΚΛΕΙΣΙΜΑΤΟΣ'!AT100/'2.ΤΙΜΕΣ ΚΛΕΙΣΙΜΑΤΟΣ'!AT99)</f>
        <v>-6.0180723255630212E-3</v>
      </c>
      <c r="AU99" s="43">
        <f>LN('2.ΤΙΜΕΣ ΚΛΕΙΣΙΜΑΤΟΣ'!AU100/'2.ΤΙΜΕΣ ΚΛΕΙΣΙΜΑΤΟΣ'!AU99)</f>
        <v>3.5850525025908977E-3</v>
      </c>
    </row>
    <row r="100" spans="1:47">
      <c r="A100" s="41">
        <v>43699</v>
      </c>
      <c r="B100" s="43">
        <f>LN('2.ΤΙΜΕΣ ΚΛΕΙΣΙΜΑΤΟΣ'!B101/'2.ΤΙΜΕΣ ΚΛΕΙΣΙΜΑΤΟΣ'!B100)</f>
        <v>1.3395849290563455E-3</v>
      </c>
      <c r="C100" s="43">
        <f>LN('2.ΤΙΜΕΣ ΚΛΕΙΣΙΜΑΤΟΣ'!C101/'2.ΤΙΜΕΣ ΚΛΕΙΣΙΜΑΤΟΣ'!C100)</f>
        <v>0</v>
      </c>
      <c r="D100" s="43">
        <f>LN('2.ΤΙΜΕΣ ΚΛΕΙΣΙΜΑΤΟΣ'!D101/'2.ΤΙΜΕΣ ΚΛΕΙΣΙΜΑΤΟΣ'!D100)</f>
        <v>-6.3344806406346252E-3</v>
      </c>
      <c r="E100" s="43">
        <f>LN('2.ΤΙΜΕΣ ΚΛΕΙΣΙΜΑΤΟΣ'!E101/'2.ΤΙΜΕΣ ΚΛΕΙΣΙΜΑΤΟΣ'!E100)</f>
        <v>1.3039613507803549E-2</v>
      </c>
      <c r="F100" s="43">
        <f>LN('2.ΤΙΜΕΣ ΚΛΕΙΣΙΜΑΤΟΣ'!F101/'2.ΤΙΜΕΣ ΚΛΕΙΣΙΜΑΤΟΣ'!F100)</f>
        <v>8.6207430439069546E-3</v>
      </c>
      <c r="G100" s="43">
        <f>LN('2.ΤΙΜΕΣ ΚΛΕΙΣΙΜΑΤΟΣ'!G101/'2.ΤΙΜΕΣ ΚΛΕΙΣΙΜΑΤΟΣ'!G100)</f>
        <v>2.3927953695235558E-2</v>
      </c>
      <c r="H100" s="43">
        <f>LN('2.ΤΙΜΕΣ ΚΛΕΙΣΙΜΑΤΟΣ'!H101/'2.ΤΙΜΕΣ ΚΛΕΙΣΙΜΑΤΟΣ'!H100)</f>
        <v>9.411765400639063E-4</v>
      </c>
      <c r="I100" s="43">
        <f>LN('2.ΤΙΜΕΣ ΚΛΕΙΣΙΜΑΤΟΣ'!I101/'2.ΤΙΜΕΣ ΚΛΕΙΣΙΜΑΤΟΣ'!I100)</f>
        <v>4.3640920408952524E-2</v>
      </c>
      <c r="J100" s="43">
        <f>LN('2.ΤΙΜΕΣ ΚΛΕΙΣΙΜΑΤΟΣ'!J101/'2.ΤΙΜΕΣ ΚΛΕΙΣΙΜΑΤΟΣ'!J100)</f>
        <v>3.8703159445532598E-2</v>
      </c>
      <c r="K100" s="43">
        <f>LN('2.ΤΙΜΕΣ ΚΛΕΙΣΙΜΑΤΟΣ'!K101/'2.ΤΙΜΕΣ ΚΛΕΙΣΙΜΑΤΟΣ'!K100)</f>
        <v>9.7774978043121321E-3</v>
      </c>
      <c r="L100" s="43">
        <f>LN('2.ΤΙΜΕΣ ΚΛΕΙΣΙΜΑΤΟΣ'!L101/'2.ΤΙΜΕΣ ΚΛΕΙΣΙΜΑΤΟΣ'!L100)</f>
        <v>1.1857846450783468E-2</v>
      </c>
      <c r="M100" s="43">
        <f>LN('2.ΤΙΜΕΣ ΚΛΕΙΣΙΜΑΤΟΣ'!M101/'2.ΤΙΜΕΣ ΚΛΕΙΣΙΜΑΤΟΣ'!M100)</f>
        <v>1.9906367116802937E-2</v>
      </c>
      <c r="N100" s="43">
        <f>LN('2.ΤΙΜΕΣ ΚΛΕΙΣΙΜΑΤΟΣ'!N101/'2.ΤΙΜΕΣ ΚΛΕΙΣΙΜΑΤΟΣ'!N100)</f>
        <v>1.4970548915299581E-2</v>
      </c>
      <c r="O100" s="43">
        <f>LN('2.ΤΙΜΕΣ ΚΛΕΙΣΙΜΑΤΟΣ'!O101/'2.ΤΙΜΕΣ ΚΛΕΙΣΙΜΑΤΟΣ'!O100)</f>
        <v>5.0955524266000952E-3</v>
      </c>
      <c r="P100" s="43">
        <f>LN('2.ΤΙΜΕΣ ΚΛΕΙΣΙΜΑΤΟΣ'!P101/'2.ΤΙΜΕΣ ΚΛΕΙΣΙΜΑΤΟΣ'!P100)</f>
        <v>0</v>
      </c>
      <c r="Q100" s="43">
        <f>LN('2.ΤΙΜΕΣ ΚΛΕΙΣΙΜΑΤΟΣ'!Q101/'2.ΤΙΜΕΣ ΚΛΕΙΣΙΜΑΤΟΣ'!Q100)</f>
        <v>3.9478810973787422E-2</v>
      </c>
      <c r="R100" s="43">
        <f>LN('2.ΤΙΜΕΣ ΚΛΕΙΣΙΜΑΤΟΣ'!R101/'2.ΤΙΜΕΣ ΚΛΕΙΣΙΜΑΤΟΣ'!R100)</f>
        <v>5.023212548633306E-2</v>
      </c>
      <c r="S100" s="43">
        <f>LN('2.ΤΙΜΕΣ ΚΛΕΙΣΙΜΑΤΟΣ'!S101/'2.ΤΙΜΕΣ ΚΛΕΙΣΙΜΑΤΟΣ'!S100)</f>
        <v>-5.0125418235442863E-3</v>
      </c>
      <c r="T100" s="43">
        <f>LN('2.ΤΙΜΕΣ ΚΛΕΙΣΙΜΑΤΟΣ'!T101/'2.ΤΙΜΕΣ ΚΛΕΙΣΙΜΑΤΟΣ'!T100)</f>
        <v>7.5662403833158766E-3</v>
      </c>
      <c r="U100" s="43">
        <f>LN('2.ΤΙΜΕΣ ΚΛΕΙΣΙΜΑΤΟΣ'!U101/'2.ΤΙΜΕΣ ΚΛΕΙΣΙΜΑΤΟΣ'!U100)</f>
        <v>8.4956722475965585E-2</v>
      </c>
      <c r="V100" s="43">
        <f>LN('2.ΤΙΜΕΣ ΚΛΕΙΣΙΜΑΤΟΣ'!V101/'2.ΤΙΜΕΣ ΚΛΕΙΣΙΜΑΤΟΣ'!V100)</f>
        <v>1.4752638475038224E-2</v>
      </c>
      <c r="W100" s="43">
        <f>LN('2.ΤΙΜΕΣ ΚΛΕΙΣΙΜΑΤΟΣ'!W101/'2.ΤΙΜΕΣ ΚΛΕΙΣΙΜΑΤΟΣ'!W100)</f>
        <v>1.9778147791643712E-2</v>
      </c>
      <c r="X100" s="43">
        <f>LN('2.ΤΙΜΕΣ ΚΛΕΙΣΙΜΑΤΟΣ'!X101/'2.ΤΙΜΕΣ ΚΛΕΙΣΙΜΑΤΟΣ'!X100)</f>
        <v>1.1591748163784931E-2</v>
      </c>
      <c r="Y100" s="43">
        <f>LN('2.ΤΙΜΕΣ ΚΛΕΙΣΙΜΑΤΟΣ'!Y101/'2.ΤΙΜΕΣ ΚΛΕΙΣΙΜΑΤΟΣ'!Y100)</f>
        <v>4.3859719432544891E-3</v>
      </c>
      <c r="Z100" s="43">
        <f>LN('2.ΤΙΜΕΣ ΚΛΕΙΣΙΜΑΤΟΣ'!Z101/'2.ΤΙΜΕΣ ΚΛΕΙΣΙΜΑΤΟΣ'!Z100)</f>
        <v>-3.3955890011382718E-3</v>
      </c>
      <c r="AA100" s="43">
        <f>LN('2.ΤΙΜΕΣ ΚΛΕΙΣΙΜΑΤΟΣ'!AA101/'2.ΤΙΜΕΣ ΚΛΕΙΣΙΜΑΤΟΣ'!AA100)</f>
        <v>7.0175726586465398E-3</v>
      </c>
      <c r="AB100" s="43">
        <f>LN('2.ΤΙΜΕΣ ΚΛΕΙΣΙΜΑΤΟΣ'!AB101/'2.ΤΙΜΕΣ ΚΛΕΙΣΙΜΑΤΟΣ'!AB100)</f>
        <v>2.0580707700020663E-2</v>
      </c>
      <c r="AC100" s="43">
        <f>LN('2.ΤΙΜΕΣ ΚΛΕΙΣΙΜΑΤΟΣ'!AC101/'2.ΤΙΜΕΣ ΚΛΕΙΣΙΜΑΤΟΣ'!AC100)</f>
        <v>1.4194466542262925E-3</v>
      </c>
      <c r="AD100" s="43">
        <f>LN('2.ΤΙΜΕΣ ΚΛΕΙΣΙΜΑΤΟΣ'!AD101/'2.ΤΙΜΕΣ ΚΛΕΙΣΙΜΑΤΟΣ'!AD100)</f>
        <v>4.325889947122661E-3</v>
      </c>
      <c r="AE100" s="43">
        <f>LN('2.ΤΙΜΕΣ ΚΛΕΙΣΙΜΑΤΟΣ'!AE101/'2.ΤΙΜΕΣ ΚΛΕΙΣΙΜΑΤΟΣ'!AE100)</f>
        <v>-2.3077947282544725E-2</v>
      </c>
      <c r="AF100" s="43">
        <f>LN('2.ΤΙΜΕΣ ΚΛΕΙΣΙΜΑΤΟΣ'!AF101/'2.ΤΙΜΕΣ ΚΛΕΙΣΙΜΑΤΟΣ'!AF100)</f>
        <v>4.0821994520254985E-2</v>
      </c>
      <c r="AG100" s="43">
        <f>LN('2.ΤΙΜΕΣ ΚΛΕΙΣΙΜΑΤΟΣ'!AG101/'2.ΤΙΜΕΣ ΚΛΕΙΣΙΜΑΤΟΣ'!AG100)</f>
        <v>1.4388737452099671E-2</v>
      </c>
      <c r="AH100" s="43">
        <f>LN('2.ΤΙΜΕΣ ΚΛΕΙΣΙΜΑΤΟΣ'!AH101/'2.ΤΙΜΕΣ ΚΛΕΙΣΙΜΑΤΟΣ'!AH100)</f>
        <v>-3.7950709685516094E-3</v>
      </c>
      <c r="AI100" s="43">
        <f>LN('2.ΤΙΜΕΣ ΚΛΕΙΣΙΜΑΤΟΣ'!AI101/'2.ΤΙΜΕΣ ΚΛΕΙΣΙΜΑΤΟΣ'!AI100)</f>
        <v>8.0972102326193028E-3</v>
      </c>
      <c r="AJ100" s="43">
        <f>LN('2.ΤΙΜΕΣ ΚΛΕΙΣΙΜΑΤΟΣ'!AJ101/'2.ΤΙΜΕΣ ΚΛΕΙΣΙΜΑΤΟΣ'!AJ100)</f>
        <v>0.10118514424734559</v>
      </c>
      <c r="AK100" s="43">
        <f>LN('2.ΤΙΜΕΣ ΚΛΕΙΣΙΜΑΤΟΣ'!AK101/'2.ΤΙΜΕΣ ΚΛΕΙΣΙΜΑΤΟΣ'!AK100)</f>
        <v>4.2359273839141433E-2</v>
      </c>
      <c r="AL100" s="43">
        <f>LN('2.ΤΙΜΕΣ ΚΛΕΙΣΙΜΑΤΟΣ'!AL101/'2.ΤΙΜΕΣ ΚΛΕΙΣΙΜΑΤΟΣ'!AL100)</f>
        <v>4.3172171865208574E-2</v>
      </c>
      <c r="AM100" s="43">
        <f>LN('2.ΤΙΜΕΣ ΚΛΕΙΣΙΜΑΤΟΣ'!AM101/'2.ΤΙΜΕΣ ΚΛΕΙΣΙΜΑΤΟΣ'!AM100)</f>
        <v>-2.4420036555517443E-3</v>
      </c>
      <c r="AN100" s="43">
        <f>LN('2.ΤΙΜΕΣ ΚΛΕΙΣΙΜΑΤΟΣ'!AN101/'2.ΤΙΜΕΣ ΚΛΕΙΣΙΜΑΤΟΣ'!AN100)</f>
        <v>1.7857617400006253E-2</v>
      </c>
      <c r="AO100" s="43">
        <f>LN('2.ΤΙΜΕΣ ΚΛΕΙΣΙΜΑΤΟΣ'!AO101/'2.ΤΙΜΕΣ ΚΛΕΙΣΙΜΑΤΟΣ'!AO100)</f>
        <v>5.8139698654198161E-3</v>
      </c>
      <c r="AP100" s="43">
        <f>LN('2.ΤΙΜΕΣ ΚΛΕΙΣΙΜΑΤΟΣ'!AP101/'2.ΤΙΜΕΣ ΚΛΕΙΣΙΜΑΤΟΣ'!AP100)</f>
        <v>1.0526412986987603E-2</v>
      </c>
      <c r="AQ100" s="43">
        <f>LN('2.ΤΙΜΕΣ ΚΛΕΙΣΙΜΑΤΟΣ'!AQ101/'2.ΤΙΜΕΣ ΚΛΕΙΣΙΜΑΤΟΣ'!AQ100)</f>
        <v>2.6640919824586488E-2</v>
      </c>
      <c r="AR100" s="43">
        <f>LN('2.ΤΙΜΕΣ ΚΛΕΙΣΙΜΑΤΟΣ'!AR101/'2.ΤΙΜΕΣ ΚΛΕΙΣΙΜΑΤΟΣ'!AR100)</f>
        <v>6.5574005461590396E-3</v>
      </c>
      <c r="AS100" s="43">
        <f>LN('2.ΤΙΜΕΣ ΚΛΕΙΣΙΜΑΤΟΣ'!AS101/'2.ΤΙΜΕΣ ΚΛΕΙΣΙΜΑΤΟΣ'!AS100)</f>
        <v>4.3485111939738676E-2</v>
      </c>
      <c r="AT100" s="43">
        <f>LN('2.ΤΙΜΕΣ ΚΛΕΙΣΙΜΑΤΟΣ'!AT101/'2.ΤΙΜΕΣ ΚΛΕΙΣΙΜΑΤΟΣ'!AT100)</f>
        <v>1.5968403178731203E-2</v>
      </c>
      <c r="AU100" s="43">
        <f>LN('2.ΤΙΜΕΣ ΚΛΕΙΣΙΜΑΤΟΣ'!AU101/'2.ΤΙΜΕΣ ΚΛΕΙΣΙΜΑΤΟΣ'!AU100)</f>
        <v>1.4899497293057545E-2</v>
      </c>
    </row>
    <row r="101" spans="1:47">
      <c r="A101" s="41">
        <v>43700</v>
      </c>
      <c r="B101" s="43">
        <f>LN('2.ΤΙΜΕΣ ΚΛΕΙΣΙΜΑΤΟΣ'!B102/'2.ΤΙΜΕΣ ΚΛΕΙΣΙΜΑΤΟΣ'!B101)</f>
        <v>-8.0645598367304078E-3</v>
      </c>
      <c r="C101" s="43">
        <f>LN('2.ΤΙΜΕΣ ΚΛΕΙΣΙΜΑΤΟΣ'!C102/'2.ΤΙΜΕΣ ΚΛΕΙΣΙΜΑΤΟΣ'!C101)</f>
        <v>0</v>
      </c>
      <c r="D101" s="43">
        <f>LN('2.ΤΙΜΕΣ ΚΛΕΙΣΙΜΑΤΟΣ'!D102/'2.ΤΙΜΕΣ ΚΛΕΙΣΙΜΑΤΟΣ'!D101)</f>
        <v>-8.5088792462161261E-3</v>
      </c>
      <c r="E101" s="43">
        <f>LN('2.ΤΙΜΕΣ ΚΛΕΙΣΙΜΑΤΟΣ'!E102/'2.ΤΙΜΕΣ ΚΛΕΙΣΙΜΑΤΟΣ'!E101)</f>
        <v>-3.8357421492093424E-2</v>
      </c>
      <c r="F101" s="43">
        <f>LN('2.ΤΙΜΕΣ ΚΛΕΙΣΙΜΑΤΟΣ'!F102/'2.ΤΙΜΕΣ ΚΛΕΙΣΙΜΑΤΟΣ'!F101)</f>
        <v>-1.5135424065100803E-2</v>
      </c>
      <c r="G101" s="43">
        <f>LN('2.ΤΙΜΕΣ ΚΛΕΙΣΙΜΑΤΟΣ'!G102/'2.ΤΙΜΕΣ ΚΛΕΙΣΙΜΑΤΟΣ'!G101)</f>
        <v>-2.9642254958674251E-2</v>
      </c>
      <c r="H101" s="43">
        <f>LN('2.ΤΙΜΕΣ ΚΛΕΙΣΙΜΑΤΟΣ'!H102/'2.ΤΙΜΕΣ ΚΛΕΙΣΙΜΑΤΟΣ'!H101)</f>
        <v>-7.5543324317810436E-3</v>
      </c>
      <c r="I101" s="43">
        <f>LN('2.ΤΙΜΕΣ ΚΛΕΙΣΙΜΑΤΟΣ'!I102/'2.ΤΙΜΕΣ ΚΛΕΙΣΙΜΑΤΟΣ'!I101)</f>
        <v>-6.042547020165271E-2</v>
      </c>
      <c r="J101" s="43">
        <f>LN('2.ΤΙΜΕΣ ΚΛΕΙΣΙΜΑΤΟΣ'!J102/'2.ΤΙΜΕΣ ΚΛΕΙΣΙΜΑΤΟΣ'!J101)</f>
        <v>-1.4776453123796258E-2</v>
      </c>
      <c r="K101" s="43">
        <f>LN('2.ΤΙΜΕΣ ΚΛΕΙΣΙΜΑΤΟΣ'!K102/'2.ΤΙΜΕΣ ΚΛΕΙΣΙΜΑΤΟΣ'!K101)</f>
        <v>-1.7435924653110311E-2</v>
      </c>
      <c r="L101" s="43">
        <f>LN('2.ΤΙΜΕΣ ΚΛΕΙΣΙΜΑΤΟΣ'!L102/'2.ΤΙΜΕΣ ΚΛΕΙΣΙΜΑΤΟΣ'!L101)</f>
        <v>-1.984192079900406E-2</v>
      </c>
      <c r="M101" s="43">
        <f>LN('2.ΤΙΜΕΣ ΚΛΕΙΣΙΜΑΤΟΣ'!M102/'2.ΤΙΜΕΣ ΚΛΕΙΣΙΜΑΤΟΣ'!M101)</f>
        <v>-1.4629310015959155E-2</v>
      </c>
      <c r="N101" s="43">
        <f>LN('2.ΤΙΜΕΣ ΚΛΕΙΣΙΜΑΤΟΣ'!N102/'2.ΤΙΜΕΣ ΚΛΕΙΣΙΜΑΤΟΣ'!N101)</f>
        <v>1.625380135236041E-2</v>
      </c>
      <c r="O101" s="43">
        <f>LN('2.ΤΙΜΕΣ ΚΛΕΙΣΙΜΑΤΟΣ'!O102/'2.ΤΙΜΕΣ ΚΛΕΙΣΙΜΑΤΟΣ'!O101)</f>
        <v>-2.5445306349948728E-3</v>
      </c>
      <c r="P101" s="43">
        <f>LN('2.ΤΙΜΕΣ ΚΛΕΙΣΙΜΑΤΟΣ'!P102/'2.ΤΙΜΕΣ ΚΛΕΙΣΙΜΑΤΟΣ'!P101)</f>
        <v>-3.2310205814465318E-3</v>
      </c>
      <c r="Q101" s="43">
        <f>LN('2.ΤΙΜΕΣ ΚΛΕΙΣΙΜΑΤΟΣ'!Q102/'2.ΤΙΜΕΣ ΚΛΕΙΣΙΜΑΤΟΣ'!Q101)</f>
        <v>-1.8083675433295351E-2</v>
      </c>
      <c r="R101" s="43">
        <f>LN('2.ΤΙΜΕΣ ΚΛΕΙΣΙΜΑΤΟΣ'!R102/'2.ΤΙΜΕΣ ΚΛΕΙΣΙΜΑΤΟΣ'!R101)</f>
        <v>-4.2684919850950201E-2</v>
      </c>
      <c r="S101" s="43">
        <f>LN('2.ΤΙΜΕΣ ΚΛΕΙΣΙΜΑΤΟΣ'!S102/'2.ΤΙΜΕΣ ΚΛΕΙΣΙΜΑΤΟΣ'!S101)</f>
        <v>-3.3208670996653457E-2</v>
      </c>
      <c r="T101" s="43">
        <f>LN('2.ΤΙΜΕΣ ΚΛΕΙΣΙΜΑΤΟΣ'!T102/'2.ΤΙΜΕΣ ΚΛΕΙΣΙΜΑΤΟΣ'!T101)</f>
        <v>-2.0305266160745569E-2</v>
      </c>
      <c r="U101" s="43">
        <f>LN('2.ΤΙΜΕΣ ΚΛΕΙΣΙΜΑΤΟΣ'!U102/'2.ΤΙΜΕΣ ΚΛΕΙΣΙΜΑΤΟΣ'!U101)</f>
        <v>-2.7524673390090033E-2</v>
      </c>
      <c r="V101" s="43">
        <f>LN('2.ΤΙΜΕΣ ΚΛΕΙΣΙΜΑΤΟΣ'!V102/'2.ΤΙΜΕΣ ΚΛΕΙΣΙΜΑΤΟΣ'!V101)</f>
        <v>-1.2631746905900462E-2</v>
      </c>
      <c r="W101" s="43">
        <f>LN('2.ΤΙΜΕΣ ΚΛΕΙΣΙΜΑΤΟΣ'!W102/'2.ΤΙΜΕΣ ΚΛΕΙΣΙΜΑΤΟΣ'!W101)</f>
        <v>-2.1027367192075617E-2</v>
      </c>
      <c r="X101" s="43">
        <f>LN('2.ΤΙΜΕΣ ΚΛΕΙΣΙΜΑΤΟΣ'!X102/'2.ΤΙΜΕΣ ΚΛΕΙΣΙΜΑΤΟΣ'!X101)</f>
        <v>0</v>
      </c>
      <c r="Y101" s="43">
        <f>LN('2.ΤΙΜΕΣ ΚΛΕΙΣΙΜΑΤΟΣ'!Y102/'2.ΤΙΜΕΣ ΚΛΕΙΣΙΜΑΤΟΣ'!Y101)</f>
        <v>3.2769008023147911E-3</v>
      </c>
      <c r="Z101" s="43">
        <f>LN('2.ΤΙΜΕΣ ΚΛΕΙΣΙΜΑΤΟΣ'!Z102/'2.ΤΙΜΕΣ ΚΛΕΙΣΙΜΑΤΟΣ'!Z101)</f>
        <v>-1.7153079226249469E-2</v>
      </c>
      <c r="AA101" s="43">
        <f>LN('2.ΤΙΜΕΣ ΚΛΕΙΣΙΜΑΤΟΣ'!AA102/'2.ΤΙΜΕΣ ΚΛΕΙΣΙΜΑΤΟΣ'!AA101)</f>
        <v>0</v>
      </c>
      <c r="AB101" s="43">
        <f>LN('2.ΤΙΜΕΣ ΚΛΕΙΣΙΜΑΤΟΣ'!AB102/'2.ΤΙΜΕΣ ΚΛΕΙΣΙΜΑΤΟΣ'!AB101)</f>
        <v>-1.8692133012152633E-2</v>
      </c>
      <c r="AC101" s="43">
        <f>LN('2.ΤΙΜΕΣ ΚΛΕΙΣΙΜΑΤΟΣ'!AC102/'2.ΤΙΜΕΣ ΚΛΕΙΣΙΜΑΤΟΣ'!AC101)</f>
        <v>-1.4285957247476541E-2</v>
      </c>
      <c r="AD101" s="43">
        <f>LN('2.ΤΙΜΕΣ ΚΛΕΙΣΙΜΑΤΟΣ'!AD102/'2.ΤΙΜΕΣ ΚΛΕΙΣΙΜΑΤΟΣ'!AD101)</f>
        <v>-1.7416985994001891E-2</v>
      </c>
      <c r="AE101" s="43">
        <f>LN('2.ΤΙΜΕΣ ΚΛΕΙΣΙΜΑΤΟΣ'!AE102/'2.ΤΙΜΕΣ ΚΛΕΙΣΙΜΑΤΟΣ'!AE101)</f>
        <v>-3.8986404156571976E-3</v>
      </c>
      <c r="AF101" s="43">
        <f>LN('2.ΤΙΜΕΣ ΚΛΕΙΣΙΜΑΤΟΣ'!AF102/'2.ΤΙΜΕΣ ΚΛΕΙΣΙΜΑΤΟΣ'!AF101)</f>
        <v>-3.6203048663960589E-2</v>
      </c>
      <c r="AG101" s="43">
        <f>LN('2.ΤΙΜΕΣ ΚΛΕΙΣΙΜΑΤΟΣ'!AG102/'2.ΤΙΜΕΣ ΚΛΕΙΣΙΜΑΤΟΣ'!AG101)</f>
        <v>-3.6367644170874715E-2</v>
      </c>
      <c r="AH101" s="43">
        <f>LN('2.ΤΙΜΕΣ ΚΛΕΙΣΙΜΑΤΟΣ'!AH102/'2.ΤΙΜΕΣ ΚΛΕΙΣΙΜΑΤΟΣ'!AH101)</f>
        <v>2.8118066108771628E-2</v>
      </c>
      <c r="AI101" s="43">
        <f>LN('2.ΤΙΜΕΣ ΚΛΕΙΣΙΜΑΤΟΣ'!AI102/'2.ΤΙΜΕΣ ΚΛΕΙΣΙΜΑΤΟΣ'!AI101)</f>
        <v>-8.0972102326193618E-3</v>
      </c>
      <c r="AJ101" s="43">
        <f>LN('2.ΤΙΜΕΣ ΚΛΕΙΣΙΜΑΤΟΣ'!AJ102/'2.ΤΙΜΕΣ ΚΛΕΙΣΙΜΑΤΟΣ'!AJ101)</f>
        <v>1.6597891409037831E-2</v>
      </c>
      <c r="AK101" s="43">
        <f>LN('2.ΤΙΜΕΣ ΚΛΕΙΣΙΜΑΤΟΣ'!AK102/'2.ΤΙΜΕΣ ΚΛΕΙΣΙΜΑΤΟΣ'!AK101)</f>
        <v>-9.2593254127967123E-3</v>
      </c>
      <c r="AL101" s="43">
        <f>LN('2.ΤΙΜΕΣ ΚΛΕΙΣΙΜΑΤΟΣ'!AL102/'2.ΤΙΜΕΣ ΚΛΕΙΣΙΜΑΤΟΣ'!AL101)</f>
        <v>-3.5846131773135649E-2</v>
      </c>
      <c r="AM101" s="43">
        <f>LN('2.ΤΙΜΕΣ ΚΛΕΙΣΙΜΑΤΟΣ'!AM102/'2.ΤΙΜΕΣ ΚΛΕΙΣΙΜΑΤΟΣ'!AM101)</f>
        <v>-2.4479816386400017E-3</v>
      </c>
      <c r="AN101" s="43">
        <f>LN('2.ΤΙΜΕΣ ΚΛΕΙΣΙΜΑΤΟΣ'!AN102/'2.ΤΙΜΕΣ ΚΛΕΙΣΙΜΑΤΟΣ'!AN101)</f>
        <v>-3.78764842904981E-2</v>
      </c>
      <c r="AO101" s="43">
        <f>LN('2.ΤΙΜΕΣ ΚΛΕΙΣΙΜΑΤΟΣ'!AO102/'2.ΤΙΜΕΣ ΚΛΕΙΣΙΜΑΤΟΣ'!AO101)</f>
        <v>3.6988569369340411E-2</v>
      </c>
      <c r="AP101" s="43">
        <f>LN('2.ΤΙΜΕΣ ΚΛΕΙΣΙΜΑΤΟΣ'!AP102/'2.ΤΙΜΕΣ ΚΛΕΙΣΙΜΑΤΟΣ'!AP101)</f>
        <v>1.041676085825558E-2</v>
      </c>
      <c r="AQ101" s="43">
        <f>LN('2.ΤΙΜΕΣ ΚΛΕΙΣΙΜΑΤΟΣ'!AQ102/'2.ΤΙΜΕΣ ΚΛΕΙΣΙΜΑΤΟΣ'!AQ101)</f>
        <v>-4.0232347028125601E-2</v>
      </c>
      <c r="AR101" s="43">
        <f>LN('2.ΤΙΜΕΣ ΚΛΕΙΣΙΜΑΤΟΣ'!AR102/'2.ΤΙΜΕΣ ΚΛΕΙΣΙΜΑΤΟΣ'!AR101)</f>
        <v>-4.0005334613699248E-2</v>
      </c>
      <c r="AS101" s="43">
        <f>LN('2.ΤΙΜΕΣ ΚΛΕΙΣΙΜΑΤΟΣ'!AS102/'2.ΤΙΜΕΣ ΚΛΕΙΣΙΜΑΤΟΣ'!AS101)</f>
        <v>-3.7944931564123367E-2</v>
      </c>
      <c r="AT101" s="43">
        <f>LN('2.ΤΙΜΕΣ ΚΛΕΙΣΙΜΑΤΟΣ'!AT102/'2.ΤΙΜΕΣ ΚΛΕΙΣΙΜΑΤΟΣ'!AT101)</f>
        <v>-3.0153038170687558E-2</v>
      </c>
      <c r="AU101" s="43">
        <f>LN('2.ΤΙΜΕΣ ΚΛΕΙΣΙΜΑΤΟΣ'!AU102/'2.ΤΙΜΕΣ ΚΛΕΙΣΙΜΑΤΟΣ'!AU101)</f>
        <v>-1.6125149625628579E-2</v>
      </c>
    </row>
    <row r="102" spans="1:47">
      <c r="A102" s="41">
        <v>43703</v>
      </c>
      <c r="B102" s="43">
        <f>LN('2.ΤΙΜΕΣ ΚΛΕΙΣΙΜΑΤΟΣ'!B103/'2.ΤΙΜΕΣ ΚΛΕΙΣΙΜΑΤΟΣ'!B102)</f>
        <v>-3.3795233246524839E-3</v>
      </c>
      <c r="C102" s="43">
        <f>LN('2.ΤΙΜΕΣ ΚΛΕΙΣΙΜΑΤΟΣ'!C103/'2.ΤΙΜΕΣ ΚΛΕΙΣΙΜΑΤΟΣ'!C102)</f>
        <v>-5.8504136781755891E-3</v>
      </c>
      <c r="D102" s="43">
        <f>LN('2.ΤΙΜΕΣ ΚΛΕΙΣΙΜΑΤΟΣ'!D103/'2.ΤΙΜΕΣ ΚΛΕΙΣΙΜΑΤΟΣ'!D102)</f>
        <v>-1.2900630429804161E-2</v>
      </c>
      <c r="E102" s="43">
        <f>LN('2.ΤΙΜΕΣ ΚΛΕΙΣΙΜΑΤΟΣ'!E103/'2.ΤΙΜΕΣ ΚΛΕΙΣΙΜΑΤΟΣ'!E102)</f>
        <v>-1.160554612030789E-2</v>
      </c>
      <c r="F102" s="43">
        <f>LN('2.ΤΙΜΕΣ ΚΛΕΙΣΙΜΑΤΟΣ'!F103/'2.ΤΙΜΕΣ ΚΛΕΙΣΙΜΑΤΟΣ'!F102)</f>
        <v>-7.6544933605321901E-3</v>
      </c>
      <c r="G102" s="43">
        <f>LN('2.ΤΙΜΕΣ ΚΛΕΙΣΙΜΑΤΟΣ'!G103/'2.ΤΙΜΕΣ ΚΛΕΙΣΙΜΑΤΟΣ'!G102)</f>
        <v>1.2811563134200368E-2</v>
      </c>
      <c r="H102" s="43">
        <f>LN('2.ΤΙΜΕΣ ΚΛΕΙΣΙΜΑΤΟΣ'!H103/'2.ΤΙΜΕΣ ΚΛΕΙΣΙΜΑΤΟΣ'!H102)</f>
        <v>4.7281411959458957E-3</v>
      </c>
      <c r="I102" s="43">
        <f>LN('2.ΤΙΜΕΣ ΚΛΕΙΣΙΜΑΤΟΣ'!I103/'2.ΤΙΜΕΣ ΚΛΕΙΣΙΜΑΤΟΣ'!I102)</f>
        <v>1.5452104558921495E-2</v>
      </c>
      <c r="J102" s="43">
        <f>LN('2.ΤΙΜΕΣ ΚΛΕΙΣΙΜΑΤΟΣ'!J103/'2.ΤΙΜΕΣ ΚΛΕΙΣΙΜΑΤΟΣ'!J102)</f>
        <v>1.5638893884454729E-2</v>
      </c>
      <c r="K102" s="43">
        <f>LN('2.ΤΙΜΕΣ ΚΛΕΙΣΙΜΑΤΟΣ'!K103/'2.ΤΙΜΕΣ ΚΛΕΙΣΙΜΑΤΟΣ'!K102)</f>
        <v>-2.2156151562596135E-3</v>
      </c>
      <c r="L102" s="43">
        <f>LN('2.ΤΙΜΕΣ ΚΛΕΙΣΙΜΑΤΟΣ'!L103/'2.ΤΙΜΕΣ ΚΛΕΙΣΙΜΑΤΟΣ'!L102)</f>
        <v>-1.007057856359617E-2</v>
      </c>
      <c r="M102" s="43">
        <f>LN('2.ΤΙΜΕΣ ΚΛΕΙΣΙΜΑΤΟΣ'!M103/'2.ΤΙΜΕΣ ΚΛΕΙΣΙΜΑΤΟΣ'!M102)</f>
        <v>-1.6985546365743884E-2</v>
      </c>
      <c r="N102" s="43">
        <f>LN('2.ΤΙΜΕΣ ΚΛΕΙΣΙΜΑΤΟΣ'!N103/'2.ΤΙΜΕΣ ΚΛΕΙΣΙΜΑΤΟΣ'!N102)</f>
        <v>-2.3081668747877072E-2</v>
      </c>
      <c r="O102" s="43">
        <f>LN('2.ΤΙΜΕΣ ΚΛΕΙΣΙΜΑΤΟΣ'!O103/'2.ΤΙΜΕΣ ΚΛΕΙΣΙΜΑΤΟΣ'!O102)</f>
        <v>-1.6699167757632256E-2</v>
      </c>
      <c r="P102" s="43">
        <f>LN('2.ΤΙΜΕΣ ΚΛΕΙΣΙΜΑΤΟΣ'!P103/'2.ΤΙΜΕΣ ΚΛΕΙΣΙΜΑΤΟΣ'!P102)</f>
        <v>-1.3029500290333796E-2</v>
      </c>
      <c r="Q102" s="43">
        <f>LN('2.ΤΙΜΕΣ ΚΛΕΙΣΙΜΑΤΟΣ'!Q103/'2.ΤΙΜΕΣ ΚΛΕΙΣΙΜΑΤΟΣ'!Q102)</f>
        <v>2.1661496781179249E-2</v>
      </c>
      <c r="R102" s="43">
        <f>LN('2.ΤΙΜΕΣ ΚΛΕΙΣΙΜΑΤΟΣ'!R103/'2.ΤΙΜΕΣ ΚΛΕΙΣΙΜΑΤΟΣ'!R102)</f>
        <v>-3.0120504699916095E-3</v>
      </c>
      <c r="S102" s="43">
        <f>LN('2.ΤΙΜΕΣ ΚΛΕΙΣΙΜΑΤΟΣ'!S103/'2.ΤΙΜΕΣ ΚΛΕΙΣΙΜΑΤΟΣ'!S102)</f>
        <v>5.1813587419975845E-3</v>
      </c>
      <c r="T102" s="43">
        <f>LN('2.ΤΙΜΕΣ ΚΛΕΙΣΙΜΑΤΟΣ'!T103/'2.ΤΙΜΕΣ ΚΛΕΙΣΙΜΑΤΟΣ'!T102)</f>
        <v>-1.0309369658861213E-2</v>
      </c>
      <c r="U102" s="43">
        <f>LN('2.ΤΙΜΕΣ ΚΛΕΙΣΙΜΑΤΟΣ'!U103/'2.ΤΙΜΕΣ ΚΛΕΙΣΙΜΑΤΟΣ'!U102)</f>
        <v>-9.345862418237658E-3</v>
      </c>
      <c r="V102" s="43">
        <f>LN('2.ΤΙΜΕΣ ΚΛΕΙΣΙΜΑΤΟΣ'!V103/'2.ΤΙΜΕΣ ΚΛΕΙΣΙΜΑΤΟΣ'!V102)</f>
        <v>-1.925193149932148E-2</v>
      </c>
      <c r="W102" s="43">
        <f>LN('2.ΤΙΜΕΣ ΚΛΕΙΣΙΜΑΤΟΣ'!W103/'2.ΤΙΜΕΣ ΚΛΕΙΣΙΜΑΤΟΣ'!W102)</f>
        <v>-1.2578782206860073E-2</v>
      </c>
      <c r="X102" s="43">
        <f>LN('2.ΤΙΜΕΣ ΚΛΕΙΣΙΜΑΤΟΣ'!X103/'2.ΤΙΜΕΣ ΚΛΕΙΣΙΜΑΤΟΣ'!X102)</f>
        <v>-1.7438403001638025E-2</v>
      </c>
      <c r="Y102" s="43">
        <f>LN('2.ΤΙΜΕΣ ΚΛΕΙΣΙΜΑΤΟΣ'!Y103/'2.ΤΙΜΕΣ ΚΛΕΙΣΙΜΑΤΟΣ'!Y102)</f>
        <v>-2.0937403954265202E-2</v>
      </c>
      <c r="Z102" s="43">
        <f>LN('2.ΤΙΜΕΣ ΚΛΕΙΣΙΜΑΤΟΣ'!Z103/'2.ΤΙΜΕΣ ΚΛΕΙΣΙΜΑΤΟΣ'!Z102)</f>
        <v>1.0327114155849524E-2</v>
      </c>
      <c r="AA102" s="43">
        <f>LN('2.ΤΙΜΕΣ ΚΛΕΙΣΙΜΑΤΟΣ'!AA103/'2.ΤΙΜΕΣ ΚΛΕΙΣΙΜΑΤΟΣ'!AA102)</f>
        <v>1.3889112160667093E-2</v>
      </c>
      <c r="AB102" s="43">
        <f>LN('2.ΤΙΜΕΣ ΚΛΕΙΣΙΜΑΤΟΣ'!AB103/'2.ΤΙΜΕΣ ΚΛΕΙΣΙΜΑΤΟΣ'!AB102)</f>
        <v>-1.5209418663528795E-2</v>
      </c>
      <c r="AC102" s="43">
        <f>LN('2.ΤΙΜΕΣ ΚΛΕΙΣΙΜΑΤΟΣ'!AC103/'2.ΤΙΜΕΣ ΚΛΕΙΣΙΜΑΤΟΣ'!AC102)</f>
        <v>2.1353124470569061E-2</v>
      </c>
      <c r="AD102" s="43">
        <f>LN('2.ΤΙΜΕΣ ΚΛΕΙΣΙΜΑΤΟΣ'!AD103/'2.ΤΙΜΕΣ ΚΛΕΙΣΙΜΑΤΟΣ'!AD102)</f>
        <v>-1.3264748658483058E-2</v>
      </c>
      <c r="AE102" s="43">
        <f>LN('2.ΤΙΜΕΣ ΚΛΕΙΣΙΜΑΤΟΣ'!AE103/'2.ΤΙΜΕΣ ΚΛΕΙΣΙΜΑΤΟΣ'!AE102)</f>
        <v>-7.8431774610258926E-3</v>
      </c>
      <c r="AF102" s="43">
        <f>LN('2.ΤΙΜΕΣ ΚΛΕΙΣΙΜΑΤΟΣ'!AF103/'2.ΤΙΜΕΣ ΚΛΕΙΣΙΜΑΤΟΣ'!AF102)</f>
        <v>0</v>
      </c>
      <c r="AG102" s="43">
        <f>LN('2.ΤΙΜΕΣ ΚΛΕΙΣΙΜΑΤΟΣ'!AG103/'2.ΤΙΜΕΣ ΚΛΕΙΣΙΜΑΤΟΣ'!AG102)</f>
        <v>7.38010729762246E-3</v>
      </c>
      <c r="AH102" s="43">
        <f>LN('2.ΤΙΜΕΣ ΚΛΕΙΣΙΜΑΤΟΣ'!AH103/'2.ΤΙΜΕΣ ΚΛΕΙΣΙΜΑΤΟΣ'!AH102)</f>
        <v>-2.6218730305119189E-2</v>
      </c>
      <c r="AI102" s="43">
        <f>LN('2.ΤΙΜΕΣ ΚΛΕΙΣΙΜΑΤΟΣ'!AI103/'2.ΤΙΜΕΣ ΚΛΕΙΣΙΜΑΤΟΣ'!AI102)</f>
        <v>0</v>
      </c>
      <c r="AJ102" s="43">
        <f>LN('2.ΤΙΜΕΣ ΚΛΕΙΣΙΜΑΤΟΣ'!AJ103/'2.ΤΙΜΕΣ ΚΛΕΙΣΙΜΑΤΟΣ'!AJ102)</f>
        <v>-4.1237171838621519E-3</v>
      </c>
      <c r="AK102" s="43">
        <f>LN('2.ΤΙΜΕΣ ΚΛΕΙΣΙΜΑΤΟΣ'!AK103/'2.ΤΙΜΕΣ ΚΛΕΙΣΙΜΑΤΟΣ'!AK102)</f>
        <v>2.7524673390089936E-2</v>
      </c>
      <c r="AL102" s="43">
        <f>LN('2.ΤΙΜΕΣ ΚΛΕΙΣΙΜΑΤΟΣ'!AL103/'2.ΤΙΜΕΣ ΚΛΕΙΣΙΜΑΤΟΣ'!AL102)</f>
        <v>-7.3260400920728977E-3</v>
      </c>
      <c r="AM102" s="43">
        <f>LN('2.ΤΙΜΕΣ ΚΛΕΙΣΙΜΑΤΟΣ'!AM103/'2.ΤΙΜΕΣ ΚΛΕΙΣΙΜΑΤΟΣ'!AM102)</f>
        <v>4.8899852941917702E-3</v>
      </c>
      <c r="AN102" s="43">
        <f>LN('2.ΤΙΜΕΣ ΚΛΕΙΣΙΜΑΤΟΣ'!AN103/'2.ΤΙΜΕΣ ΚΛΕΙΣΙΜΑΤΟΣ'!AN102)</f>
        <v>-7.3801072976225337E-3</v>
      </c>
      <c r="AO102" s="43">
        <f>LN('2.ΤΙΜΕΣ ΚΛΕΙΣΙΜΑΤΟΣ'!AO103/'2.ΤΙΜΕΣ ΚΛΕΙΣΙΜΑΤΟΣ'!AO102)</f>
        <v>6.4887622205874809E-2</v>
      </c>
      <c r="AP102" s="43">
        <f>LN('2.ΤΙΜΕΣ ΚΛΕΙΣΙΜΑΤΟΣ'!AP103/'2.ΤΙΜΕΣ ΚΛΕΙΣΙΜΑΤΟΣ'!AP102)</f>
        <v>2.3048395436291089E-2</v>
      </c>
      <c r="AQ102" s="43">
        <f>LN('2.ΤΙΜΕΣ ΚΛΕΙΣΙΜΑΤΟΣ'!AQ103/'2.ΤΙΜΕΣ ΚΛΕΙΣΙΜΑΤΟΣ'!AQ102)</f>
        <v>-5.2770571008437812E-3</v>
      </c>
      <c r="AR102" s="43">
        <f>LN('2.ΤΙΜΕΣ ΚΛΕΙΣΙΜΑΤΟΣ'!AR103/'2.ΤΙΜΕΣ ΚΛΕΙΣΙΜΑΤΟΣ'!AR102)</f>
        <v>3.3447934067540125E-2</v>
      </c>
      <c r="AS102" s="43">
        <f>LN('2.ΤΙΜΕΣ ΚΛΕΙΣΙΜΑΤΟΣ'!AS103/'2.ΤΙΜΕΣ ΚΛΕΙΣΙΜΑΤΟΣ'!AS102)</f>
        <v>4.3249983793816525E-2</v>
      </c>
      <c r="AT102" s="43">
        <f>LN('2.ΤΙΜΕΣ ΚΛΕΙΣΙΜΑΤΟΣ'!AT103/'2.ΤΙΜΕΣ ΚΛΕΙΣΙΜΑΤΟΣ'!AT102)</f>
        <v>-1.8538120998911112E-2</v>
      </c>
      <c r="AU102" s="43">
        <f>LN('2.ΤΙΜΕΣ ΚΛΕΙΣΙΜΑΤΟΣ'!AU103/'2.ΤΙΜΕΣ ΚΛΕΙΣΙΜΑΤΟΣ'!AU102)</f>
        <v>-3.3119591891676552E-3</v>
      </c>
    </row>
    <row r="103" spans="1:47">
      <c r="A103" s="41">
        <v>43704</v>
      </c>
      <c r="B103" s="43">
        <f>LN('2.ΤΙΜΕΣ ΚΛΕΙΣΙΜΑΤΟΣ'!B104/'2.ΤΙΜΕΣ ΚΛΕΙΣΙΜΑΤΟΣ'!B103)</f>
        <v>1.4451604225338146E-2</v>
      </c>
      <c r="C103" s="43">
        <f>LN('2.ΤΙΜΕΣ ΚΛΕΙΣΙΜΑΤΟΣ'!C104/'2.ΤΙΜΕΣ ΚΛΕΙΣΙΜΑΤΟΣ'!C103)</f>
        <v>1.6750422676948956E-3</v>
      </c>
      <c r="D103" s="43">
        <f>LN('2.ΤΙΜΕΣ ΚΛΕΙΣΙΜΑΤΟΣ'!D104/'2.ΤΙΜΕΣ ΚΛΕΙΣΙΜΑΤΟΣ'!D103)</f>
        <v>-5.4247719016202013E-3</v>
      </c>
      <c r="E103" s="43">
        <f>LN('2.ΤΙΜΕΣ ΚΛΕΙΣΙΜΑΤΟΣ'!E104/'2.ΤΙΜΕΣ ΚΛΕΙΣΙΜΑΤΟΣ'!E103)</f>
        <v>2.2444032839763504E-2</v>
      </c>
      <c r="F103" s="43">
        <f>LN('2.ΤΙΜΕΣ ΚΛΕΙΣΙΜΑΤΟΣ'!F104/'2.ΤΙΜΕΣ ΚΛΕΙΣΙΜΑΤΟΣ'!F103)</f>
        <v>-2.1978030824794268E-3</v>
      </c>
      <c r="G103" s="43">
        <f>LN('2.ΤΙΜΕΣ ΚΛΕΙΣΙΜΑΤΟΣ'!G104/'2.ΤΙΜΕΣ ΚΛΕΙΣΙΜΑΤΟΣ'!G103)</f>
        <v>7.0472455154029223E-3</v>
      </c>
      <c r="H103" s="43">
        <f>LN('2.ΤΙΜΕΣ ΚΛΕΙΣΙΜΑΤΟΣ'!H104/'2.ΤΙΜΕΣ ΚΛΕΙΣΙΜΑΤΟΣ'!H103)</f>
        <v>2.5152700015096556E-2</v>
      </c>
      <c r="I103" s="43">
        <f>LN('2.ΤΙΜΕΣ ΚΛΕΙΣΙΜΑΤΟΣ'!I104/'2.ΤΙΜΕΣ ΚΛΕΙΣΙΜΑΤΟΣ'!I103)</f>
        <v>-1.0723963362975724E-2</v>
      </c>
      <c r="J103" s="43">
        <f>LN('2.ΤΙΜΕΣ ΚΛΕΙΣΙΜΑΤΟΣ'!J104/'2.ΤΙΜΕΣ ΚΛΕΙΣΙΜΑΤΟΣ'!J103)</f>
        <v>-8.6244076065848413E-4</v>
      </c>
      <c r="K103" s="43">
        <f>LN('2.ΤΙΜΕΣ ΚΛΕΙΣΙΜΑΤΟΣ'!K104/'2.ΤΙΜΕΣ ΚΛΕΙΣΙΜΑΤΟΣ'!K103)</f>
        <v>2.1709859575524321E-2</v>
      </c>
      <c r="L103" s="43">
        <f>LN('2.ΤΙΜΕΣ ΚΛΕΙΣΙΜΑΤΟΣ'!L104/'2.ΤΙΜΕΣ ΚΛΕΙΣΙΜΑΤΟΣ'!L103)</f>
        <v>-1.324522675002068E-2</v>
      </c>
      <c r="M103" s="43">
        <f>LN('2.ΤΙΜΕΣ ΚΛΕΙΣΙΜΑΤΟΣ'!M104/'2.ΤΙΜΕΣ ΚΛΕΙΣΙΜΑΤΟΣ'!M103)</f>
        <v>-2.6031838717946867E-2</v>
      </c>
      <c r="N103" s="43">
        <f>LN('2.ΤΙΜΕΣ ΚΛΕΙΣΙΜΑΤΟΣ'!N104/'2.ΤΙΜΕΣ ΚΛΕΙΣΙΜΑΤΟΣ'!N103)</f>
        <v>1.4987790965491708E-2</v>
      </c>
      <c r="O103" s="43">
        <f>LN('2.ΤΙΜΕΣ ΚΛΕΙΣΙΜΑΤΟΣ'!O104/'2.ΤΙΜΕΣ ΚΛΕΙΣΙΜΑΤΟΣ'!O103)</f>
        <v>-7.8023802841847871E-3</v>
      </c>
      <c r="P103" s="43">
        <f>LN('2.ΤΙΜΕΣ ΚΛΕΙΣΙΜΑΤΟΣ'!P104/'2.ΤΙΜΕΣ ΚΛΕΙΣΙΜΑΤΟΣ'!P103)</f>
        <v>-4.9301661078586089E-3</v>
      </c>
      <c r="Q103" s="43">
        <f>LN('2.ΤΙΜΕΣ ΚΛΕΙΣΙΜΑΤΟΣ'!Q104/'2.ΤΙΜΕΣ ΚΛΕΙΣΙΜΑΤΟΣ'!Q103)</f>
        <v>3.5650661644961446E-3</v>
      </c>
      <c r="R103" s="43">
        <f>LN('2.ΤΙΜΕΣ ΚΛΕΙΣΙΜΑΤΟΣ'!R104/'2.ΤΙΜΕΣ ΚΛΕΙΣΙΜΑΤΟΣ'!R103)</f>
        <v>-2.2650066308522359E-3</v>
      </c>
      <c r="S103" s="43">
        <f>LN('2.ΤΙΜΕΣ ΚΛΕΙΣΙΜΑΤΟΣ'!S104/'2.ΤΙΜΕΣ ΚΛΕΙΣΙΜΑΤΟΣ'!S103)</f>
        <v>3.9270403828836252E-2</v>
      </c>
      <c r="T103" s="43">
        <f>LN('2.ΤΙΜΕΣ ΚΛΕΙΣΙΜΑΤΟΣ'!T104/'2.ΤΙΜΕΣ ΚΛΕΙΣΙΜΑΤΟΣ'!T103)</f>
        <v>1.0309369658861287E-2</v>
      </c>
      <c r="U103" s="43">
        <f>LN('2.ΤΙΜΕΣ ΚΛΕΙΣΙΜΑΤΟΣ'!U104/'2.ΤΙΜΕΣ ΚΛΕΙΣΙΜΑΤΟΣ'!U103)</f>
        <v>2.3202897079664012E-2</v>
      </c>
      <c r="V103" s="43">
        <f>LN('2.ΤΙΜΕΣ ΚΛΕΙΣΙΜΑΤΟΣ'!V104/'2.ΤΙΜΕΣ ΚΛΕΙΣΙΜΑΤΟΣ'!V103)</f>
        <v>-4.3290110895854699E-3</v>
      </c>
      <c r="W103" s="43">
        <f>LN('2.ΤΙΜΕΣ ΚΛΕΙΣΙΜΑΤΟΣ'!W104/'2.ΤΙΜΕΣ ΚΛΕΙΣΙΜΑΤΟΣ'!W103)</f>
        <v>1.2578782206859965E-2</v>
      </c>
      <c r="X103" s="43">
        <f>LN('2.ΤΙΜΕΣ ΚΛΕΙΣΙΜΑΤΟΣ'!X104/'2.ΤΙΜΕΣ ΚΛΕΙΣΙΜΑΤΟΣ'!X103)</f>
        <v>0</v>
      </c>
      <c r="Y103" s="43">
        <f>LN('2.ΤΙΜΕΣ ΚΛΕΙΣΙΜΑΤΟΣ'!Y104/'2.ΤΙΜΕΣ ΚΛΕΙΣΙΜΑΤΟΣ'!Y103)</f>
        <v>1.9846296371930534E-2</v>
      </c>
      <c r="Z103" s="43">
        <f>LN('2.ΤΙΜΕΣ ΚΛΕΙΣΙΜΑΤΟΣ'!Z104/'2.ΤΙΜΕΣ ΚΛΕΙΣΙΜΑΤΟΣ'!Z103)</f>
        <v>-3.4305350967891368E-3</v>
      </c>
      <c r="AA103" s="43">
        <f>LN('2.ΤΙΜΕΣ ΚΛΕΙΣΙΜΑΤΟΣ'!AA104/'2.ΤΙΜΕΣ ΚΛΕΙΣΙΜΑΤΟΣ'!AA103)</f>
        <v>0</v>
      </c>
      <c r="AB103" s="43">
        <f>LN('2.ΤΙΜΕΣ ΚΛΕΙΣΙΜΑΤΟΣ'!AB104/'2.ΤΙΜΕΣ ΚΛΕΙΣΙΜΑΤΟΣ'!AB103)</f>
        <v>0</v>
      </c>
      <c r="AC103" s="43">
        <f>LN('2.ΤΙΜΕΣ ΚΛΕΙΣΙΜΑΤΟΣ'!AC104/'2.ΤΙΜΕΣ ΚΛΕΙΣΙΜΑΤΟΣ'!AC103)</f>
        <v>-1.133156600954997E-2</v>
      </c>
      <c r="AD103" s="43">
        <f>LN('2.ΤΙΜΕΣ ΚΛΕΙΣΙΜΑΤΟΣ'!AD104/'2.ΤΙΜΕΣ ΚΛΕΙΣΙΜΑΤΟΣ'!AD103)</f>
        <v>8.8626872578453243E-3</v>
      </c>
      <c r="AE103" s="43">
        <f>LN('2.ΤΙΜΕΣ ΚΛΕΙΣΙΜΑΤΟΣ'!AE104/'2.ΤΙΜΕΣ ΚΛΕΙΣΙΜΑΤΟΣ'!AE103)</f>
        <v>1.5625317903080815E-2</v>
      </c>
      <c r="AF103" s="43">
        <f>LN('2.ΤΙΜΕΣ ΚΛΕΙΣΙΜΑΤΟΣ'!AF104/'2.ΤΙΜΕΣ ΚΛΕΙΣΙΜΑΤΟΣ'!AF103)</f>
        <v>-9.2593254127967123E-3</v>
      </c>
      <c r="AG103" s="43">
        <f>LN('2.ΤΙΜΕΣ ΚΛΕΙΣΙΜΑΤΟΣ'!AG104/'2.ΤΙΜΕΣ ΚΛΕΙΣΙΜΑΤΟΣ'!AG103)</f>
        <v>-9.8522964430114834E-3</v>
      </c>
      <c r="AH103" s="43">
        <f>LN('2.ΤΙΜΕΣ ΚΛΕΙΣΙΜΑΤΟΣ'!AH104/'2.ΤΙΜΕΣ ΚΛΕΙΣΙΜΑΤΟΣ'!AH103)</f>
        <v>-2.3033647877626233E-2</v>
      </c>
      <c r="AI103" s="43">
        <f>LN('2.ΤΙΜΕΣ ΚΛΕΙΣΙΜΑΤΟΣ'!AI104/'2.ΤΙΜΕΣ ΚΛΕΙΣΙΜΑΤΟΣ'!AI103)</f>
        <v>-1.6393809775676497E-2</v>
      </c>
      <c r="AJ103" s="43">
        <f>LN('2.ΤΙΜΕΣ ΚΛΕΙΣΙΜΑΤΟΣ'!AJ104/'2.ΤΙΜΕΣ ΚΛΕΙΣΙΜΑΤΟΣ'!AJ103)</f>
        <v>-1.6667052485211761E-2</v>
      </c>
      <c r="AK103" s="43">
        <f>LN('2.ΤΙΜΕΣ ΚΛΕΙΣΙΜΑΤΟΣ'!AK104/'2.ΤΙΜΕΣ ΚΛΕΙΣΙΜΑΤΟΣ'!AK103)</f>
        <v>1.3483350337287207E-2</v>
      </c>
      <c r="AL103" s="43">
        <f>LN('2.ΤΙΜΕΣ ΚΛΕΙΣΙΜΑΤΟΣ'!AL104/'2.ΤΙΜΕΣ ΚΛΕΙΣΙΜΑΤΟΣ'!AL103)</f>
        <v>-2.2305757514298277E-2</v>
      </c>
      <c r="AM103" s="43">
        <f>LN('2.ΤΙΜΕΣ ΚΛΕΙΣΙΜΑΤΟΣ'!AM104/'2.ΤΙΜΕΣ ΚΛΕΙΣΙΜΑΤΟΣ'!AM103)</f>
        <v>-7.3439742557583941E-3</v>
      </c>
      <c r="AN103" s="43">
        <f>LN('2.ΤΙΜΕΣ ΚΛΕΙΣΙΜΑΤΟΣ'!AN104/'2.ΤΙΜΕΣ ΚΛΕΙΣΙΜΑΤΟΣ'!AN103)</f>
        <v>-5.5710450494553601E-3</v>
      </c>
      <c r="AO103" s="43">
        <f>LN('2.ΤΙΜΕΣ ΚΛΕΙΣΙΜΑΤΟΣ'!AO104/'2.ΤΙΜΕΣ ΚΛΕΙΣΙΜΑΤΟΣ'!AO103)</f>
        <v>-1.3175421158564404E-2</v>
      </c>
      <c r="AP103" s="43">
        <f>LN('2.ΤΙΜΕΣ ΚΛΕΙΣΙΜΑΤΟΣ'!AP104/'2.ΤΙΜΕΣ ΚΛΕΙΣΙΜΑΤΟΣ'!AP103)</f>
        <v>4.4561828059910907E-2</v>
      </c>
      <c r="AQ103" s="43">
        <f>LN('2.ΤΙΜΕΣ ΚΛΕΙΣΙΜΑΤΟΣ'!AQ104/'2.ΤΙΜΕΣ ΚΛΕΙΣΙΜΑΤΟΣ'!AQ103)</f>
        <v>2.6111144003685804E-2</v>
      </c>
      <c r="AR103" s="43">
        <f>LN('2.ΤΙΜΕΣ ΚΛΕΙΣΙΜΑΤΟΣ'!AR104/'2.ΤΙΜΕΣ ΚΛΕΙΣΙΜΑΤΟΣ'!AR103)</f>
        <v>0</v>
      </c>
      <c r="AS103" s="43">
        <f>LN('2.ΤΙΜΕΣ ΚΛΕΙΣΙΜΑΤΟΣ'!AS104/'2.ΤΙΜΕΣ ΚΛΕΙΣΙΜΑΤΟΣ'!AS103)</f>
        <v>1.5748356968139112E-2</v>
      </c>
      <c r="AT103" s="43">
        <f>LN('2.ΤΙΜΕΣ ΚΛΕΙΣΙΜΑΤΟΣ'!AT104/'2.ΤΙΜΕΣ ΚΛΕΙΣΙΜΑΤΟΣ'!AT103)</f>
        <v>-1.8888284520205859E-2</v>
      </c>
      <c r="AU103" s="43">
        <f>LN('2.ΤΙΜΕΣ ΚΛΕΙΣΙΜΑΤΟΣ'!AU104/'2.ΤΙΜΕΣ ΚΛΕΙΣΙΜΑΤΟΣ'!AU103)</f>
        <v>3.2398151897134698E-3</v>
      </c>
    </row>
    <row r="104" spans="1:47">
      <c r="A104" s="41">
        <v>43705</v>
      </c>
      <c r="B104" s="43">
        <f>LN('2.ΤΙΜΕΣ ΚΛΕΙΣΙΜΑΤΟΣ'!B105/'2.ΤΙΜΕΣ ΚΛΕΙΣΙΜΑΤΟΣ'!B104)</f>
        <v>-1.0015023370894102E-3</v>
      </c>
      <c r="C104" s="43">
        <f>LN('2.ΤΙΜΕΣ ΚΛΕΙΣΙΜΑΤΟΣ'!C105/'2.ΤΙΜΕΣ ΚΛΕΙΣΙΜΑΤΟΣ'!C104)</f>
        <v>4.175371410480592E-3</v>
      </c>
      <c r="D104" s="43">
        <f>LN('2.ΤΙΜΕΣ ΚΛΕΙΣΙΜΑΤΟΣ'!D105/'2.ΤΙΜΕΣ ΚΛΕΙΣΙΜΑΤΟΣ'!D104)</f>
        <v>1.0820274361708076E-2</v>
      </c>
      <c r="E104" s="43">
        <f>LN('2.ΤΙΜΕΣ ΚΛΕΙΣΙΜΑΤΟΣ'!E105/'2.ΤΙΜΕΣ ΚΛΕΙΣΙΜΑΤΟΣ'!E104)</f>
        <v>4.0390703049335314E-2</v>
      </c>
      <c r="F104" s="43">
        <f>LN('2.ΤΙΜΕΣ ΚΛΕΙΣΙΜΑΤΟΣ'!F105/'2.ΤΙΜΕΣ ΚΛΕΙΣΙΜΑΤΟΣ'!F104)</f>
        <v>2.9270382300113237E-2</v>
      </c>
      <c r="G104" s="43">
        <f>LN('2.ΤΙΜΕΣ ΚΛΕΙΣΙΜΑΤΟΣ'!G105/'2.ΤΙΜΕΣ ΚΛΕΙΣΙΜΑΤΟΣ'!G104)</f>
        <v>4.664768879178504E-2</v>
      </c>
      <c r="H104" s="43">
        <f>LN('2.ΤΙΜΕΣ ΚΛΕΙΣΙΜΑΤΟΣ'!H105/'2.ΤΙΜΕΣ ΚΛΕΙΣΙΜΑΤΟΣ'!H104)</f>
        <v>-7.3869218630748237E-3</v>
      </c>
      <c r="I104" s="43">
        <f>LN('2.ΤΙΜΕΣ ΚΛΕΙΣΙΜΑΤΟΣ'!I105/'2.ΤΙΜΕΣ ΚΛΕΙΣΙΜΑΤΟΣ'!I104)</f>
        <v>4.3513786185966491E-2</v>
      </c>
      <c r="J104" s="43">
        <f>LN('2.ΤΙΜΕΣ ΚΛΕΙΣΙΜΑΤΟΣ'!J105/'2.ΤΙΜΕΣ ΚΛΕΙΣΙΜΑΤΟΣ'!J104)</f>
        <v>4.3062795251035069E-2</v>
      </c>
      <c r="K104" s="43">
        <f>LN('2.ΤΙΜΕΣ ΚΛΕΙΣΙΜΑΤΟΣ'!K105/'2.ΤΙΜΕΣ ΚΛΕΙΣΙΜΑΤΟΣ'!K104)</f>
        <v>-1.0796016194359786E-2</v>
      </c>
      <c r="L104" s="43">
        <f>LN('2.ΤΙΜΕΣ ΚΛΕΙΣΙΜΑΤΟΣ'!L105/'2.ΤΙΜΕΣ ΚΛΕΙΣΙΜΑΤΟΣ'!L104)</f>
        <v>1.7789541563498459E-2</v>
      </c>
      <c r="M104" s="43">
        <f>LN('2.ΤΙΜΕΣ ΚΛΕΙΣΙΜΑΤΟΣ'!M105/'2.ΤΙΜΕΣ ΚΛΕΙΣΙΜΑΤΟΣ'!M104)</f>
        <v>-6.6152391187193167E-3</v>
      </c>
      <c r="N104" s="43">
        <f>LN('2.ΤΙΜΕΣ ΚΛΕΙΣΙΜΑΤΟΣ'!N105/'2.ΤΙΜΕΣ ΚΛΕΙΣΙΜΑΤΟΣ'!N104)</f>
        <v>3.7046280433144577E-2</v>
      </c>
      <c r="O104" s="43">
        <f>LN('2.ΤΙΜΕΣ ΚΛΕΙΣΙΜΑΤΟΣ'!O105/'2.ΤΙΜΕΣ ΚΛΕΙΣΙΜΑΤΟΣ'!O104)</f>
        <v>-2.6143805740708207E-3</v>
      </c>
      <c r="P104" s="43">
        <f>LN('2.ΤΙΜΕΣ ΚΛΕΙΣΙΜΑΤΟΣ'!P105/'2.ΤΙΜΕΣ ΚΛΕΙΣΙΜΑΤΟΣ'!P104)</f>
        <v>4.9301661078585864E-3</v>
      </c>
      <c r="Q104" s="43">
        <f>LN('2.ΤΙΜΕΣ ΚΛΕΙΣΙΜΑΤΟΣ'!Q105/'2.ΤΙΜΕΣ ΚΛΕΙΣΙΜΑΤΟΣ'!Q104)</f>
        <v>3.8399132934535965E-2</v>
      </c>
      <c r="R104" s="43">
        <f>LN('2.ΤΙΜΕΣ ΚΛΕΙΣΙΜΑΤΟΣ'!R105/'2.ΤΙΜΕΣ ΚΛΕΙΣΙΜΑΤΟΣ'!R104)</f>
        <v>4.5798254506483262E-2</v>
      </c>
      <c r="S104" s="43">
        <f>LN('2.ΤΙΜΕΣ ΚΛΕΙΣΙΜΑΤΟΣ'!S105/'2.ΤΙΜΕΣ ΚΛΕΙΣΙΜΑΤΟΣ'!S104)</f>
        <v>2.0898117637616519E-2</v>
      </c>
      <c r="T104" s="43">
        <f>LN('2.ΤΙΜΕΣ ΚΛΕΙΣΙΜΑΤΟΣ'!T105/'2.ΤΙΜΕΣ ΚΛΕΙΣΙΜΑΤΟΣ'!T104)</f>
        <v>7.6628727455690972E-3</v>
      </c>
      <c r="U104" s="43">
        <f>LN('2.ΤΙΜΕΣ ΚΛΕΙΣΙΜΑΤΟΣ'!U105/'2.ΤΙΜΕΣ ΚΛΕΙΣΙΜΑΤΟΣ'!U104)</f>
        <v>-9.2166551049240632E-3</v>
      </c>
      <c r="V104" s="43">
        <f>LN('2.ΤΙΜΕΣ ΚΛΕΙΣΙΜΑΤΟΣ'!V105/'2.ΤΙΜΕΣ ΚΛΕΙΣΙΜΑΤΟΣ'!V104)</f>
        <v>-1.9715863164417317E-2</v>
      </c>
      <c r="W104" s="43">
        <f>LN('2.ΤΙΜΕΣ ΚΛΕΙΣΙΜΑΤΟΣ'!W105/'2.ΤΙΜΕΣ ΚΛΕΙΣΙΜΑΤΟΣ'!W104)</f>
        <v>-1.6383479250524056E-2</v>
      </c>
      <c r="X104" s="43">
        <f>LN('2.ΤΙΜΕΣ ΚΛΕΙΣΙΜΑΤΟΣ'!X105/'2.ΤΙΜΕΣ ΚΛΕΙΣΙΜΑΤΟΣ'!X104)</f>
        <v>1.1659324903896972E-2</v>
      </c>
      <c r="Y104" s="43">
        <f>LN('2.ΤΙΜΕΣ ΚΛΕΙΣΙΜΑΤΟΣ'!Y105/'2.ΤΙΜΕΣ ΚΛΕΙΣΙΜΑΤΟΣ'!Y104)</f>
        <v>7.6128698287219352E-3</v>
      </c>
      <c r="Z104" s="43">
        <f>LN('2.ΤΙΜΕΣ ΚΛΕΙΣΙΜΑΤΟΣ'!Z105/'2.ΤΙΜΕΣ ΚΛΕΙΣΙΜΑΤΟΣ'!Z104)</f>
        <v>-6.8965790590604405E-3</v>
      </c>
      <c r="AA104" s="43">
        <f>LN('2.ΤΙΜΕΣ ΚΛΕΙΣΙΜΑΤΟΣ'!AA105/'2.ΤΙΜΕΣ ΚΛΕΙΣΙΜΑΤΟΣ'!AA104)</f>
        <v>3.4423441909729197E-3</v>
      </c>
      <c r="AB104" s="43">
        <f>LN('2.ΤΙΜΕΣ ΚΛΕΙΣΙΜΑΤΟΣ'!AB105/'2.ΤΙΜΕΣ ΚΛΕΙΣΙΜΑΤΟΣ'!AB104)</f>
        <v>3.8240964384034758E-3</v>
      </c>
      <c r="AC104" s="43">
        <f>LN('2.ΤΙΜΕΣ ΚΛΕΙΣΙΜΑΤΟΣ'!AC105/'2.ΤΙΜΕΣ ΚΛΕΙΣΙΜΑΤΟΣ'!AC104)</f>
        <v>4.264398786457518E-3</v>
      </c>
      <c r="AD104" s="43">
        <f>LN('2.ΤΙΜΕΣ ΚΛΕΙΣΙΜΑΤΟΣ'!AD105/'2.ΤΙΜΕΣ ΚΛΕΙΣΙΜΑΤΟΣ'!AD104)</f>
        <v>1.7493157447517119E-2</v>
      </c>
      <c r="AE104" s="43">
        <f>LN('2.ΤΙΜΕΣ ΚΛΕΙΣΙΜΑΤΟΣ'!AE105/'2.ΤΙΜΕΣ ΚΛΕΙΣΙΜΑΤΟΣ'!AE104)</f>
        <v>0</v>
      </c>
      <c r="AF104" s="43">
        <f>LN('2.ΤΙΜΕΣ ΚΛΕΙΣΙΜΑΤΟΣ'!AF105/'2.ΤΙΜΕΣ ΚΛΕΙΣΙΜΑΤΟΣ'!AF104)</f>
        <v>-4.6620131058111901E-3</v>
      </c>
      <c r="AG104" s="43">
        <f>LN('2.ΤΙΜΕΣ ΚΛΕΙΣΙΜΑΤΟΣ'!AG105/'2.ΤΙΜΕΣ ΚΛΕΙΣΙΜΑΤΟΣ'!AG104)</f>
        <v>3.1671343837651189E-2</v>
      </c>
      <c r="AH104" s="43">
        <f>LN('2.ΤΙΜΕΣ ΚΛΕΙΣΙΜΑΤΟΣ'!AH105/'2.ΤΙΜΕΣ ΚΛΕΙΣΙΜΑΤΟΣ'!AH104)</f>
        <v>0</v>
      </c>
      <c r="AI104" s="43">
        <f>LN('2.ΤΙΜΕΣ ΚΛΕΙΣΙΜΑΤΟΣ'!AI105/'2.ΤΙΜΕΣ ΚΛΕΙΣΙΜΑΤΟΣ'!AI104)</f>
        <v>1.639380977567657E-2</v>
      </c>
      <c r="AJ104" s="43">
        <f>LN('2.ΤΙΜΕΣ ΚΛΕΙΣΙΜΑΤΟΣ'!AJ105/'2.ΤΙΜΕΣ ΚΛΕΙΣΙΜΑΤΟΣ'!AJ104)</f>
        <v>4.1928782600361781E-3</v>
      </c>
      <c r="AK104" s="43">
        <f>LN('2.ΤΙΜΕΣ ΚΛΕΙΣΙΜΑΤΟΣ'!AK105/'2.ΤΙΜΕΣ ΚΛΕΙΣΙΜΑΤΟΣ'!AK104)</f>
        <v>-3.1748698314580416E-2</v>
      </c>
      <c r="AL104" s="43">
        <f>LN('2.ΤΙΜΕΣ ΚΛΕΙΣΙΜΑΤΟΣ'!AL105/'2.ΤΙΜΕΣ ΚΛΕΙΣΙΜΑΤΟΣ'!AL104)</f>
        <v>3.6904556935450979E-2</v>
      </c>
      <c r="AM104" s="43">
        <f>LN('2.ΤΙΜΕΣ ΚΛΕΙΣΙΜΑΤΟΣ'!AM105/'2.ΤΙΜΕΣ ΚΛΕΙΣΙΜΑΤΟΣ'!AM104)</f>
        <v>0</v>
      </c>
      <c r="AN104" s="43">
        <f>LN('2.ΤΙΜΕΣ ΚΛΕΙΣΙΜΑΤΟΣ'!AN105/'2.ΤΙΜΕΣ ΚΛΕΙΣΙΜΑΤΟΣ'!AN104)</f>
        <v>5.5710450494554295E-3</v>
      </c>
      <c r="AO104" s="43">
        <f>LN('2.ΤΙΜΕΣ ΚΛΕΙΣΙΜΑΤΟΣ'!AO105/'2.ΤΙΜΕΣ ΚΛΕΙΣΙΜΑΤΟΣ'!AO104)</f>
        <v>7.9260652724207226E-3</v>
      </c>
      <c r="AP104" s="43">
        <f>LN('2.ΤΙΜΕΣ ΚΛΕΙΣΙΜΑΤΟΣ'!AP105/'2.ΤΙΜΕΣ ΚΛΕΙΣΙΜΑΤΟΣ'!AP104)</f>
        <v>-7.2904332626793442E-3</v>
      </c>
      <c r="AQ104" s="43">
        <f>LN('2.ΤΙΜΕΣ ΚΛΕΙΣΙΜΑΤΟΣ'!AQ105/'2.ΤΙΜΕΣ ΚΛΕΙΣΙΜΑΤΟΣ'!AQ104)</f>
        <v>1.0256500167189061E-2</v>
      </c>
      <c r="AR104" s="43">
        <f>LN('2.ΤΙΜΕΣ ΚΛΕΙΣΙΜΑΤΟΣ'!AR105/'2.ΤΙΜΕΣ ΚΛΕΙΣΙΜΑΤΟΣ'!AR104)</f>
        <v>6.5574005461590396E-3</v>
      </c>
      <c r="AS104" s="43">
        <f>LN('2.ΤΙΜΕΣ ΚΛΕΙΣΙΜΑΤΟΣ'!AS105/'2.ΤΙΜΕΣ ΚΛΕΙΣΙΜΑΤΟΣ'!AS104)</f>
        <v>-1.0471299867295366E-2</v>
      </c>
      <c r="AT104" s="43">
        <f>LN('2.ΤΙΜΕΣ ΚΛΕΙΣΙΜΑΤΟΣ'!AT105/'2.ΤΙΜΕΣ ΚΛΕΙΣΙΜΑΤΟΣ'!AT104)</f>
        <v>2.096512846504487E-2</v>
      </c>
      <c r="AU104" s="43">
        <f>LN('2.ΤΙΜΕΣ ΚΛΕΙΣΙΜΑΤΟΣ'!AU105/'2.ΤΙΜΕΣ ΚΛΕΙΣΙΜΑΤΟΣ'!AU104)</f>
        <v>1.4065399696541886E-2</v>
      </c>
    </row>
    <row r="105" spans="1:47">
      <c r="A105" s="41">
        <v>43706</v>
      </c>
      <c r="B105" s="43">
        <f>LN('2.ΤΙΜΕΣ ΚΛΕΙΣΙΜΑΤΟΣ'!B106/'2.ΤΙΜΕΣ ΚΛΕΙΣΙΜΑΤΟΣ'!B105)</f>
        <v>3.6672819897342729E-3</v>
      </c>
      <c r="C105" s="43">
        <f>LN('2.ΤΙΜΕΣ ΚΛΕΙΣΙΜΑΤΟΣ'!C106/'2.ΤΙΜΕΣ ΚΛΕΙΣΙΜΑΤΟΣ'!C105)</f>
        <v>9.950330853168092E-3</v>
      </c>
      <c r="D105" s="43">
        <f>LN('2.ΤΙΜΕΣ ΚΛΕΙΣΙΜΑΤΟΣ'!D106/'2.ΤΙΜΕΣ ΚΛΕΙΣΙΜΑΤΟΣ'!D105)</f>
        <v>2.7596741742083569E-2</v>
      </c>
      <c r="E105" s="43">
        <f>LN('2.ΤΙΜΕΣ ΚΛΕΙΣΙΜΑΤΟΣ'!E106/'2.ΤΙΜΕΣ ΚΛΕΙΣΙΜΑΤΟΣ'!E105)</f>
        <v>3.7063417376887342E-2</v>
      </c>
      <c r="F105" s="43">
        <f>LN('2.ΤΙΜΕΣ ΚΛΕΙΣΙΜΑΤΟΣ'!F106/'2.ΤΙΜΕΣ ΚΛΕΙΣΙΜΑΤΟΣ'!F105)</f>
        <v>2.1344725286328412E-3</v>
      </c>
      <c r="G105" s="43">
        <f>LN('2.ΤΙΜΕΣ ΚΛΕΙΣΙΜΑΤΟΣ'!G106/'2.ΤΙΜΕΣ ΚΛΕΙΣΙΜΑΤΟΣ'!G105)</f>
        <v>4.2000923974630781E-2</v>
      </c>
      <c r="H105" s="43">
        <f>LN('2.ΤΙΜΕΣ ΚΛΕΙΣΙΜΑΤΟΣ'!H106/'2.ΤΙΜΕΣ ΚΛΕΙΣΙΜΑΤΟΣ'!H105)</f>
        <v>9.2635486013088264E-4</v>
      </c>
      <c r="I105" s="43">
        <f>LN('2.ΤΙΜΕΣ ΚΛΕΙΣΙΜΑΤΟΣ'!I106/'2.ΤΙΜΕΣ ΚΛΕΙΣΙΜΑΤΟΣ'!I105)</f>
        <v>4.3553743764342755E-2</v>
      </c>
      <c r="J105" s="43">
        <f>LN('2.ΤΙΜΕΣ ΚΛΕΙΣΙΜΑΤΟΣ'!J106/'2.ΤΙΜΕΣ ΚΛΕΙΣΙΜΑΤΟΣ'!J105)</f>
        <v>6.595796779179737E-2</v>
      </c>
      <c r="K105" s="43">
        <f>LN('2.ΤΙΜΕΣ ΚΛΕΙΣΙΜΑΤΟΣ'!K106/'2.ΤΙΜΕΣ ΚΛΕΙΣΙΜΑΤΟΣ'!K105)</f>
        <v>5.4125772721348182E-3</v>
      </c>
      <c r="L105" s="43">
        <f>LN('2.ΤΙΜΕΣ ΚΛΕΙΣΙΜΑΤΟΣ'!L106/'2.ΤΙΜΕΣ ΚΛΕΙΣΙΜΑΤΟΣ'!L105)</f>
        <v>1.2515807931830597E-2</v>
      </c>
      <c r="M105" s="43">
        <f>LN('2.ΤΙΜΕΣ ΚΛΕΙΣΙΜΑΤΟΣ'!M106/'2.ΤΙΜΕΣ ΚΛΕΙΣΙΜΑΤΟΣ'!M105)</f>
        <v>1.31870042819539E-2</v>
      </c>
      <c r="N105" s="43">
        <f>LN('2.ΤΙΜΕΣ ΚΛΕΙΣΙΜΑΤΟΣ'!N106/'2.ΤΙΜΕΣ ΚΛΕΙΣΙΜΑΤΟΣ'!N105)</f>
        <v>-7.7282196765328945E-3</v>
      </c>
      <c r="O105" s="43">
        <f>LN('2.ΤΙΜΕΣ ΚΛΕΙΣΙΜΑΤΟΣ'!O106/'2.ΤΙΜΕΣ ΚΛΕΙΣΙΜΑΤΟΣ'!O105)</f>
        <v>9.1205843968090762E-3</v>
      </c>
      <c r="P105" s="43">
        <f>LN('2.ΤΙΜΕΣ ΚΛΕΙΣΙΜΑΤΟΣ'!P106/'2.ΤΙΜΕΣ ΚΛΕΙΣΙΜΑΤΟΣ'!P105)</f>
        <v>2.7487583465563858E-2</v>
      </c>
      <c r="Q105" s="43">
        <f>LN('2.ΤΙΜΕΣ ΚΛΕΙΣΙΜΑΤΟΣ'!Q106/'2.ΤΙΜΕΣ ΚΛΕΙΣΙΜΑΤΟΣ'!Q105)</f>
        <v>2.368977112240488E-2</v>
      </c>
      <c r="R105" s="43">
        <f>LN('2.ΤΙΜΕΣ ΚΛΕΙΣΙΜΑΤΟΣ'!R106/'2.ΤΙΜΕΣ ΚΛΕΙΣΙΜΑΤΟΣ'!R105)</f>
        <v>1.077209698191104E-2</v>
      </c>
      <c r="S105" s="43">
        <f>LN('2.ΤΙΜΕΣ ΚΛΕΙΣΙΜΑΤΟΣ'!S106/'2.ΤΙΜΕΣ ΚΛΕΙΣΙΜΑΤΟΣ'!S105)</f>
        <v>3.6429912785010087E-3</v>
      </c>
      <c r="T105" s="43">
        <f>LN('2.ΤΙΜΕΣ ΚΛΕΙΣΙΜΑΤΟΣ'!T106/'2.ΤΙΜΕΣ ΚΛΕΙΣΙΜΑΤΟΣ'!T105)</f>
        <v>2.7605266091888698E-2</v>
      </c>
      <c r="U105" s="43">
        <f>LN('2.ΤΙΜΕΣ ΚΛΕΙΣΙΜΑΤΟΣ'!U106/'2.ΤΙΜΕΣ ΚΛΕΙΣΙΜΑΤΟΣ'!U105)</f>
        <v>4.6189458562944583E-3</v>
      </c>
      <c r="V105" s="43">
        <f>LN('2.ΤΙΜΕΣ ΚΛΕΙΣΙΜΑΤΟΣ'!V106/'2.ΤΙΜΕΣ ΚΛΕΙΣΙΜΑΤΟΣ'!V105)</f>
        <v>1.9715863164417199E-2</v>
      </c>
      <c r="W105" s="43">
        <f>LN('2.ΤΙΜΕΣ ΚΛΕΙΣΙΜΑΤΟΣ'!W106/'2.ΤΙΜΕΣ ΚΛΕΙΣΙΜΑΤΟΣ'!W105)</f>
        <v>-5.0955524266001698E-3</v>
      </c>
      <c r="X105" s="43">
        <f>LN('2.ΤΙΜΕΣ ΚΛΕΙΣΙΜΑΤΟΣ'!X106/'2.ΤΙΜΕΣ ΚΛΕΙΣΙΜΑΤΟΣ'!X105)</f>
        <v>-8.8066842786486133E-3</v>
      </c>
      <c r="Y105" s="43">
        <f>LN('2.ΤΙΜΕΣ ΚΛΕΙΣΙΜΑΤΟΣ'!Y106/'2.ΤΙΜΕΣ ΚΛΕΙΣΙΜΑΤΟΣ'!Y105)</f>
        <v>1.6120714503372512E-2</v>
      </c>
      <c r="Z105" s="43">
        <f>LN('2.ΤΙΜΕΣ ΚΛΕΙΣΙΜΑΤΟΣ'!Z106/'2.ΤΙΜΕΣ ΚΛΕΙΣΙΜΑΤΟΣ'!Z105)</f>
        <v>1.0327114155849524E-2</v>
      </c>
      <c r="AA105" s="43">
        <f>LN('2.ΤΙΜΕΣ ΚΛΕΙΣΙΜΑΤΟΣ'!AA106/'2.ΤΙΜΕΣ ΚΛΕΙΣΙΜΑΤΟΣ'!AA105)</f>
        <v>-3.4423441909729015E-3</v>
      </c>
      <c r="AB105" s="43">
        <f>LN('2.ΤΙΜΕΣ ΚΛΕΙΣΙΜΑΤΟΣ'!AB106/'2.ΤΙΜΕΣ ΚΛΕΙΣΙΜΑΤΟΣ'!AB105)</f>
        <v>-1.9102202561192376E-3</v>
      </c>
      <c r="AC105" s="43">
        <f>LN('2.ΤΙΜΕΣ ΚΛΕΙΣΙΜΑΤΟΣ'!AC106/'2.ΤΙΜΕΣ ΚΛΕΙΣΙΜΑΤΟΣ'!AC105)</f>
        <v>1.2685159527315642E-2</v>
      </c>
      <c r="AD105" s="43">
        <f>LN('2.ΤΙΜΕΣ ΚΛΕΙΣΙΜΑΤΟΣ'!AD106/'2.ΤΙΜΕΣ ΚΛΕΙΣΙΜΑΤΟΣ'!AD105)</f>
        <v>2.5679014417691663E-2</v>
      </c>
      <c r="AE105" s="43">
        <f>LN('2.ΤΙΜΕΣ ΚΛΕΙΣΙΜΑΤΟΣ'!AE106/'2.ΤΙΜΕΣ ΚΛΕΙΣΙΜΑΤΟΣ'!AE105)</f>
        <v>7.7220460939103185E-3</v>
      </c>
      <c r="AF105" s="43">
        <f>LN('2.ΤΙΜΕΣ ΚΛΕΙΣΙΜΑΤΟΣ'!AF106/'2.ΤΙΜΕΣ ΚΛΕΙΣΙΜΑΤΟΣ'!AF105)</f>
        <v>2.0809999513793278E-2</v>
      </c>
      <c r="AG105" s="43">
        <f>LN('2.ΤΙΜΕΣ ΚΛΕΙΣΙΜΑΤΟΣ'!AG106/'2.ΤΙΜΕΣ ΚΛΕΙΣΙΜΑΤΟΣ'!AG105)</f>
        <v>1.9002947125615482E-2</v>
      </c>
      <c r="AH105" s="43">
        <f>LN('2.ΤΙΜΕΣ ΚΛΕΙΣΙΜΑΤΟΣ'!AH106/'2.ΤΙΜΕΣ ΚΛΕΙΣΙΜΑΤΟΣ'!AH105)</f>
        <v>3.059512057820276E-2</v>
      </c>
      <c r="AI105" s="43">
        <f>LN('2.ΤΙΜΕΣ ΚΛΕΙΣΙΜΑΤΟΣ'!AI106/'2.ΤΙΜΕΣ ΚΛΕΙΣΙΜΑΤΟΣ'!AI105)</f>
        <v>8.0972102326193028E-3</v>
      </c>
      <c r="AJ105" s="43">
        <f>LN('2.ΤΙΜΕΣ ΚΛΕΙΣΙΜΑΤΟΣ'!AJ106/'2.ΤΙΜΕΣ ΚΛΕΙΣΙΜΑΤΟΣ'!AJ105)</f>
        <v>-1.6878037787351748E-2</v>
      </c>
      <c r="AK105" s="43">
        <f>LN('2.ΤΙΜΕΣ ΚΛΕΙΣΙΜΑΤΟΣ'!AK106/'2.ΤΙΜΕΣ ΚΛΕΙΣΙΜΑΤΟΣ'!AK105)</f>
        <v>2.2780028331820121E-2</v>
      </c>
      <c r="AL105" s="43">
        <f>LN('2.ΤΙΜΕΣ ΚΛΕΙΣΙΜΑΤΟΣ'!AL106/'2.ΤΙΜΕΣ ΚΛΕΙΣΙΜΑΤΟΣ'!AL105)</f>
        <v>4.2559614418795688E-2</v>
      </c>
      <c r="AM105" s="43">
        <f>LN('2.ΤΙΜΕΣ ΚΛΕΙΣΙΜΑΤΟΣ'!AM106/'2.ΤΙΜΕΣ ΚΛΕΙΣΙΜΑΤΟΣ'!AM105)</f>
        <v>0</v>
      </c>
      <c r="AN105" s="43">
        <f>LN('2.ΤΙΜΕΣ ΚΛΕΙΣΙΜΑΤΟΣ'!AN106/'2.ΤΙΜΕΣ ΚΛΕΙΣΙΜΑΤΟΣ'!AN105)</f>
        <v>-1.8535686493229438E-3</v>
      </c>
      <c r="AO105" s="43">
        <f>LN('2.ΤΙΜΕΣ ΚΛΕΙΣΙΜΑΤΟΣ'!AO106/'2.ΤΙΜΕΣ ΚΛΕΙΣΙΜΑΤΟΣ'!AO105)</f>
        <v>2.62812240626963E-3</v>
      </c>
      <c r="AP105" s="43">
        <f>LN('2.ΤΙΜΕΣ ΚΛΕΙΣΙΜΑΤΟΣ'!AP106/'2.ΤΙΜΕΣ ΚΛΕΙΣΙΜΑΤΟΣ'!AP105)</f>
        <v>9.7088141269609032E-3</v>
      </c>
      <c r="AQ105" s="43">
        <f>LN('2.ΤΙΜΕΣ ΚΛΕΙΣΙΜΑΤΟΣ'!AQ106/'2.ΤΙΜΕΣ ΚΛΕΙΣΙΜΑΤΟΣ'!AQ105)</f>
        <v>4.0005334613699206E-2</v>
      </c>
      <c r="AR105" s="43">
        <f>LN('2.ΤΙΜΕΣ ΚΛΕΙΣΙΜΑΤΟΣ'!AR106/'2.ΤΙΜΕΣ ΚΛΕΙΣΙΜΑΤΟΣ'!AR105)</f>
        <v>9.7561749453646558E-3</v>
      </c>
      <c r="AS105" s="43">
        <f>LN('2.ΤΙΜΕΣ ΚΛΕΙΣΙΜΑΤΟΣ'!AS106/'2.ΤΙΜΕΣ ΚΛΕΙΣΙΜΑΤΟΣ'!AS105)</f>
        <v>-2.6350476380050023E-3</v>
      </c>
      <c r="AT105" s="43">
        <f>LN('2.ΤΙΜΕΣ ΚΛΕΙΣΙΜΑΤΟΣ'!AT106/'2.ΤΙΜΕΣ ΚΛΕΙΣΙΜΑΤΟΣ'!AT105)</f>
        <v>-2.9475818132953462E-2</v>
      </c>
      <c r="AU105" s="43">
        <f>LN('2.ΤΙΜΕΣ ΚΛΕΙΣΙΜΑΤΟΣ'!AU106/'2.ΤΙΜΕΣ ΚΛΕΙΣΙΜΑΤΟΣ'!AU105)</f>
        <v>1.7675031785734523E-2</v>
      </c>
    </row>
    <row r="106" spans="1:47">
      <c r="A106" s="41">
        <v>43707</v>
      </c>
      <c r="B106" s="43">
        <f>LN('2.ΤΙΜΕΣ ΚΛΕΙΣΙΜΑΤΟΣ'!B107/'2.ΤΙΜΕΣ ΚΛΕΙΣΙΜΑΤΟΣ'!B106)</f>
        <v>1.2894872012268578E-2</v>
      </c>
      <c r="C106" s="43">
        <f>LN('2.ΤΙΜΕΣ ΚΛΕΙΣΙΜΑΤΟΣ'!C107/'2.ΤΙΜΕΣ ΚΛΕΙΣΙΜΑΤΟΣ'!C106)</f>
        <v>1.6488049901838859E-3</v>
      </c>
      <c r="D106" s="43">
        <f>LN('2.ΤΙΜΕΣ ΚΛΕΙΣΙΜΑΤΟΣ'!D107/'2.ΤΙΜΕΣ ΚΛΕΙΣΙΜΑΤΟΣ'!D106)</f>
        <v>3.135781810684276E-3</v>
      </c>
      <c r="E106" s="43">
        <f>LN('2.ΤΙΜΕΣ ΚΛΕΙΣΙΜΑΤΟΣ'!E107/'2.ΤΙΜΕΣ ΚΛΕΙΣΙΜΑΤΟΣ'!E106)</f>
        <v>2.5493848826219766E-2</v>
      </c>
      <c r="F106" s="43">
        <f>LN('2.ΤΙΜΕΣ ΚΛΕΙΣΙΜΑΤΟΣ'!F107/'2.ΤΙΜΕΣ ΚΛΕΙΣΙΜΑΤΟΣ'!F106)</f>
        <v>-4.2735107773821616E-3</v>
      </c>
      <c r="G106" s="43">
        <f>LN('2.ΤΙΜΕΣ ΚΛΕΙΣΙΜΑΤΟΣ'!G107/'2.ΤΙΜΕΣ ΚΛΕΙΣΙΜΑΤΟΣ'!G106)</f>
        <v>3.4115753240171721E-2</v>
      </c>
      <c r="H106" s="43">
        <f>LN('2.ΤΙΜΕΣ ΚΛΕΙΣΙΜΑΤΟΣ'!H107/'2.ΤΙΜΕΣ ΚΛΕΙΣΙΜΑΤΟΣ'!H106)</f>
        <v>2.9199154692262135E-2</v>
      </c>
      <c r="I106" s="43">
        <f>LN('2.ΤΙΜΕΣ ΚΛΕΙΣΙΜΑΤΟΣ'!I107/'2.ΤΙΜΕΣ ΚΛΕΙΣΙΜΑΤΟΣ'!I106)</f>
        <v>6.1576549244100913E-3</v>
      </c>
      <c r="J106" s="43">
        <f>LN('2.ΤΙΜΕΣ ΚΛΕΙΣΙΜΑΤΟΣ'!J107/'2.ΤΙΜΕΣ ΚΛΕΙΣΙΜΑΤΟΣ'!J106)</f>
        <v>2.0295546334730481E-2</v>
      </c>
      <c r="K106" s="43">
        <f>LN('2.ΤΙΜΕΣ ΚΛΕΙΣΙΜΑΤΟΣ'!K107/'2.ΤΙΜΕΣ ΚΛΕΙΣΙΜΑΤΟΣ'!K106)</f>
        <v>1.1478421829604205E-3</v>
      </c>
      <c r="L106" s="43">
        <f>LN('2.ΤΙΜΕΣ ΚΛΕΙΣΙΜΑΤΟΣ'!L107/'2.ΤΙΜΕΣ ΚΛΕΙΣΙΜΑΤΟΣ'!L106)</f>
        <v>4.962789342128876E-3</v>
      </c>
      <c r="M106" s="43">
        <f>LN('2.ΤΙΜΕΣ ΚΛΕΙΣΙΜΑΤΟΣ'!M107/'2.ΤΙΜΕΣ ΚΛΕΙΣΙΜΑΤΟΣ'!M106)</f>
        <v>1.5168221473171444E-2</v>
      </c>
      <c r="N106" s="43">
        <f>LN('2.ΤΙΜΕΣ ΚΛΕΙΣΙΜΑΤΟΣ'!N107/'2.ΤΙΜΕΣ ΚΛΕΙΣΙΜΑΤΟΣ'!N106)</f>
        <v>2.0652044552668957E-2</v>
      </c>
      <c r="O106" s="43">
        <f>LN('2.ΤΙΜΕΣ ΚΛΕΙΣΙΜΑΤΟΣ'!O107/'2.ΤΙΜΕΣ ΚΛΕΙΣΙΜΑΤΟΣ'!O106)</f>
        <v>1.160554612030789E-2</v>
      </c>
      <c r="P106" s="43">
        <f>LN('2.ΤΙΜΕΣ ΚΛΕΙΣΙΜΑΤΟΣ'!P107/'2.ΤΙΜΕΣ ΚΛΕΙΣΙΜΑΤΟΣ'!P106)</f>
        <v>1.2678458259770872E-2</v>
      </c>
      <c r="Q106" s="43">
        <f>LN('2.ΤΙΜΕΣ ΚΛΕΙΣΙΜΑΤΟΣ'!Q107/'2.ΤΙΜΕΣ ΚΛΕΙΣΙΜΑΤΟΣ'!Q106)</f>
        <v>2.9656209582888022E-2</v>
      </c>
      <c r="R106" s="43">
        <f>LN('2.ΤΙΜΕΣ ΚΛΕΙΣΙΜΑΤΟΣ'!R107/'2.ΤΙΜΕΣ ΚΛΕΙΣΙΜΑΤΟΣ'!R106)</f>
        <v>-1.077209698191107E-2</v>
      </c>
      <c r="S106" s="43">
        <f>LN('2.ΤΙΜΕΣ ΚΛΕΙΣΙΜΑΤΟΣ'!S107/'2.ΤΙΜΕΣ ΚΛΕΙΣΙΜΑΤΟΣ'!S106)</f>
        <v>7.2464085207672533E-3</v>
      </c>
      <c r="T106" s="43">
        <f>LN('2.ΤΙΜΕΣ ΚΛΕΙΣΙΜΑΤΟΣ'!T107/'2.ΤΙΜΕΣ ΚΛΕΙΣΙΜΑΤΟΣ'!T106)</f>
        <v>-4.9627893421291249E-3</v>
      </c>
      <c r="U106" s="43">
        <f>LN('2.ΤΙΜΕΣ ΚΛΕΙΣΙΜΑΤΟΣ'!U107/'2.ΤΙΜΕΣ ΚΛΕΙΣΙΜΑΤΟΣ'!U106)</f>
        <v>-9.2593254127967123E-3</v>
      </c>
      <c r="V106" s="43">
        <f>LN('2.ΤΙΜΕΣ ΚΛΕΙΣΙΜΑΤΟΣ'!V107/'2.ΤΙΜΕΣ ΚΛΕΙΣΙΜΑΤΟΣ'!V106)</f>
        <v>2.1460051019769288E-2</v>
      </c>
      <c r="W106" s="43">
        <f>LN('2.ΤΙΜΕΣ ΚΛΕΙΣΙΜΑΤΟΣ'!W107/'2.ΤΙΜΕΣ ΚΛΕΙΣΙΜΑΤΟΣ'!W106)</f>
        <v>2.5510217916052047E-3</v>
      </c>
      <c r="X106" s="43">
        <f>LN('2.ΤΙΜΕΣ ΚΛΕΙΣΙΜΑΤΟΣ'!X107/'2.ΤΙΜΕΣ ΚΛΕΙΣΙΜΑΤΟΣ'!X106)</f>
        <v>-8.8849315760913157E-3</v>
      </c>
      <c r="Y106" s="43">
        <f>LN('2.ΤΙΜΕΣ ΚΛΕΙΣΙΜΑΤΟΣ'!Y107/'2.ΤΙΜΕΣ ΚΛΕΙΣΙΜΑΤΟΣ'!Y106)</f>
        <v>-3.203419717537812E-3</v>
      </c>
      <c r="Z106" s="43">
        <f>LN('2.ΤΙΜΕΣ ΚΛΕΙΣΙΜΑΤΟΣ'!Z107/'2.ΤΙΜΕΣ ΚΛΕΙΣΙΜΑΤΟΣ'!Z106)</f>
        <v>-6.8728792877620643E-3</v>
      </c>
      <c r="AA106" s="43">
        <f>LN('2.ΤΙΜΕΣ ΚΛΕΙΣΙΜΑΤΟΣ'!AA107/'2.ΤΙΜΕΣ ΚΛΕΙΣΙΜΑΤΟΣ'!AA106)</f>
        <v>0</v>
      </c>
      <c r="AB106" s="43">
        <f>LN('2.ΤΙΜΕΣ ΚΛΕΙΣΙΜΑΤΟΣ'!AB107/'2.ΤΙΜΕΣ ΚΛΕΙΣΙΜΑΤΟΣ'!AB106)</f>
        <v>3.3837814781558541E-2</v>
      </c>
      <c r="AC106" s="43">
        <f>LN('2.ΤΙΜΕΣ ΚΛΕΙΣΙΜΑΤΟΣ'!AC107/'2.ΤΙΜΕΣ ΚΛΕΙΣΙΜΑΤΟΣ'!AC106)</f>
        <v>0</v>
      </c>
      <c r="AD106" s="43">
        <f>LN('2.ΤΙΜΕΣ ΚΛΕΙΣΙΜΑΤΟΣ'!AD107/'2.ΤΙΜΕΣ ΚΛΕΙΣΙΜΑΤΟΣ'!AD106)</f>
        <v>9.8108705642592393E-3</v>
      </c>
      <c r="AE106" s="43">
        <f>LN('2.ΤΙΜΕΣ ΚΛΕΙΣΙΜΑΤΟΣ'!AE107/'2.ΤΙΜΕΣ ΚΛΕΙΣΙΜΑΤΟΣ'!AE106)</f>
        <v>7.6628727455690972E-3</v>
      </c>
      <c r="AF106" s="43">
        <f>LN('2.ΤΙΜΕΣ ΚΛΕΙΣΙΜΑΤΟΣ'!AF107/'2.ΤΙΜΕΣ ΚΛΕΙΣΙΜΑΤΟΣ'!AF106)</f>
        <v>-6.8886609951853799E-3</v>
      </c>
      <c r="AG106" s="43">
        <f>LN('2.ΤΙΜΕΣ ΚΛΕΙΣΙΜΑΤΟΣ'!AG107/'2.ΤΙΜΕΣ ΚΛΕΙΣΙΜΑΤΟΣ'!AG106)</f>
        <v>1.8648559078072995E-2</v>
      </c>
      <c r="AH106" s="43">
        <f>LN('2.ΤΙΜΕΣ ΚΛΕΙΣΙΜΑΤΟΣ'!AH107/'2.ΤΙΜΕΣ ΚΛΕΙΣΙΜΑΤΟΣ'!AH106)</f>
        <v>1.6807118316381191E-2</v>
      </c>
      <c r="AI106" s="43">
        <f>LN('2.ΤΙΜΕΣ ΚΛΕΙΣΙΜΑΤΟΣ'!AI107/'2.ΤΙΜΕΣ ΚΛΕΙΣΙΜΑΤΟΣ'!AI106)</f>
        <v>0</v>
      </c>
      <c r="AJ106" s="43">
        <f>LN('2.ΤΙΜΕΣ ΚΛΕΙΣΙΜΑΤΟΣ'!AJ107/'2.ΤΙΜΕΣ ΚΛΕΙΣΙΜΑΤΟΣ'!AJ106)</f>
        <v>1.6878037787351731E-2</v>
      </c>
      <c r="AK106" s="43">
        <f>LN('2.ΤΙΜΕΣ ΚΛΕΙΣΙΜΑΤΟΣ'!AK107/'2.ΤΙΜΕΣ ΚΛΕΙΣΙΜΑΤΟΣ'!AK106)</f>
        <v>-9.0498355199179273E-3</v>
      </c>
      <c r="AL106" s="43">
        <f>LN('2.ΤΙΜΕΣ ΚΛΕΙΣΙΜΑΤΟΣ'!AL107/'2.ΤΙΜΕΣ ΚΛΕΙΣΙΜΑΤΟΣ'!AL106)</f>
        <v>-2.1053409197832381E-2</v>
      </c>
      <c r="AM106" s="43">
        <f>LN('2.ΤΙΜΕΣ ΚΛΕΙΣΙΜΑΤΟΣ'!AM107/'2.ΤΙΜΕΣ ΚΛΕΙΣΙΜΑΤΟΣ'!AM106)</f>
        <v>9.7800290536396994E-3</v>
      </c>
      <c r="AN106" s="43">
        <f>LN('2.ΤΙΜΕΣ ΚΛΕΙΣΙΜΑΤΟΣ'!AN107/'2.ΤΙΜΕΣ ΚΛΕΙΣΙΜΑΤΟΣ'!AN106)</f>
        <v>2.0202707317519469E-2</v>
      </c>
      <c r="AO106" s="43">
        <f>LN('2.ΤΙΜΕΣ ΚΛΕΙΣΙΜΑΤΟΣ'!AO107/'2.ΤΙΜΕΣ ΚΛΕΙΣΙΜΑΤΟΣ'!AO106)</f>
        <v>2.6212334798740656E-3</v>
      </c>
      <c r="AP106" s="43">
        <f>LN('2.ΤΙΜΕΣ ΚΛΕΙΣΙΜΑΤΟΣ'!AP107/'2.ΤΙΜΕΣ ΚΛΕΙΣΙΜΑΤΟΣ'!AP106)</f>
        <v>-2.4183808642815269E-3</v>
      </c>
      <c r="AQ106" s="43">
        <f>LN('2.ΤΙΜΕΣ ΚΛΕΙΣΙΜΑΤΟΣ'!AQ107/'2.ΤΙΜΕΣ ΚΛΕΙΣΙΜΑΤΟΣ'!AQ106)</f>
        <v>7.8125397367936247E-3</v>
      </c>
      <c r="AR106" s="43">
        <f>LN('2.ΤΙΜΕΣ ΚΛΕΙΣΙΜΑΤΟΣ'!AR107/'2.ΤΙΜΕΣ ΚΛΕΙΣΙΜΑΤΟΣ'!AR106)</f>
        <v>-3.2414939241709557E-3</v>
      </c>
      <c r="AS106" s="43">
        <f>LN('2.ΤΙΜΕΣ ΚΛΕΙΣΙΜΑΤΟΣ'!AS107/'2.ΤΙΜΕΣ ΚΛΕΙΣΙΜΑΤΟΣ'!AS106)</f>
        <v>-1.5957785438610806E-2</v>
      </c>
      <c r="AT106" s="43">
        <f>LN('2.ΤΙΜΕΣ ΚΛΕΙΣΙΜΑΤΟΣ'!AT107/'2.ΤΙΜΕΣ ΚΛΕΙΣΙΜΑΤΟΣ'!AT106)</f>
        <v>4.264398786457518E-3</v>
      </c>
      <c r="AU106" s="43">
        <f>LN('2.ΤΙΜΕΣ ΚΛΕΙΣΙΜΑΤΟΣ'!AU107/'2.ΤΙΜΕΣ ΚΛΕΙΣΙΜΑΤΟΣ'!AU106)</f>
        <v>1.1166829040298204E-2</v>
      </c>
    </row>
    <row r="107" spans="1:47">
      <c r="A107" s="41">
        <v>43710</v>
      </c>
      <c r="B107" s="43">
        <f>LN('2.ΤΙΜΕΣ ΚΛΕΙΣΙΜΑΤΟΣ'!B108/'2.ΤΙΜΕΣ ΚΛΕΙΣΙΜΑΤΟΣ'!B107)</f>
        <v>-7.9156086126611989E-3</v>
      </c>
      <c r="C107" s="43">
        <f>LN('2.ΤΙΜΕΣ ΚΛΕΙΣΙΜΑΤΟΣ'!C108/'2.ΤΙΜΕΣ ΚΛΕΙΣΙΜΑΤΟΣ'!C107)</f>
        <v>-8.2713457506773062E-3</v>
      </c>
      <c r="D107" s="43">
        <f>LN('2.ΤΙΜΕΣ ΚΛΕΙΣΙΜΑΤΟΣ'!D108/'2.ΤΙΜΕΣ ΚΛΕΙΣΙΜΑΤΟΣ'!D107)</f>
        <v>1.0430792642827941E-3</v>
      </c>
      <c r="E107" s="43">
        <f>LN('2.ΤΙΜΕΣ ΚΛΕΙΣΙΜΑΤΟΣ'!E108/'2.ΤΙΜΕΣ ΚΛΕΙΣΙΜΑΤΟΣ'!E107)</f>
        <v>-1.4405319687551129E-2</v>
      </c>
      <c r="F107" s="43">
        <f>LN('2.ΤΙΜΕΣ ΚΛΕΙΣΙΜΑΤΟΣ'!F108/'2.ΤΙΜΕΣ ΚΛΕΙΣΙΜΑΤΟΣ'!F107)</f>
        <v>-1.9460073554712274E-2</v>
      </c>
      <c r="G107" s="43">
        <f>LN('2.ΤΙΜΕΣ ΚΛΕΙΣΙΜΑΤΟΣ'!G108/'2.ΤΙΜΕΣ ΚΛΕΙΣΙΜΑΤΟΣ'!G107)</f>
        <v>-1.8809331957496227E-2</v>
      </c>
      <c r="H107" s="43">
        <f>LN('2.ΤΙΜΕΣ ΚΛΕΙΣΙΜΑΤΟΣ'!H108/'2.ΤΙΜΕΣ ΚΛΕΙΣΙΜΑΤΟΣ'!H107)</f>
        <v>-1.1759520406906249E-2</v>
      </c>
      <c r="I107" s="43">
        <f>LN('2.ΤΙΜΕΣ ΚΛΕΙΣΙΜΑΤΟΣ'!I108/'2.ΤΙΜΕΣ ΚΛΕΙΣΙΜΑΤΟΣ'!I107)</f>
        <v>-1.9213482275825103E-2</v>
      </c>
      <c r="J107" s="43">
        <f>LN('2.ΤΙΜΕΣ ΚΛΕΙΣΙΜΑΤΟΣ'!J108/'2.ΤΙΜΕΣ ΚΛΕΙΣΙΜΑΤΟΣ'!J107)</f>
        <v>-3.1577517779834439E-2</v>
      </c>
      <c r="K107" s="43">
        <f>LN('2.ΤΙΜΕΣ ΚΛΕΙΣΙΜΑΤΟΣ'!K108/'2.ΤΙΜΕΣ ΚΛΕΙΣΙΜΑΤΟΣ'!K107)</f>
        <v>-9.7989140736055944E-3</v>
      </c>
      <c r="L107" s="43">
        <f>LN('2.ΤΙΜΕΣ ΚΛΕΙΣΙΜΑΤΟΣ'!L108/'2.ΤΙΜΕΣ ΚΛΕΙΣΙΜΑΤΟΣ'!L107)</f>
        <v>-1.3456470182455738E-2</v>
      </c>
      <c r="M107" s="43">
        <f>LN('2.ΤΙΜΕΣ ΚΛΕΙΣΙΜΑΤΟΣ'!M108/'2.ΤΙΜΕΣ ΚΛΕΙΣΙΜΑΤΟΣ'!M107)</f>
        <v>-1.081091610421573E-2</v>
      </c>
      <c r="N107" s="43">
        <f>LN('2.ΤΙΜΕΣ ΚΛΕΙΣΙΜΑΤΟΣ'!N108/'2.ΤΙΜΕΣ ΚΛΕΙΣΙΜΑΤΟΣ'!N107)</f>
        <v>5.22740343515173E-3</v>
      </c>
      <c r="O107" s="43">
        <f>LN('2.ΤΙΜΕΣ ΚΛΕΙΣΙΜΑΤΟΣ'!O108/'2.ΤΙΜΕΣ ΚΛΕΙΣΙΜΑΤΟΣ'!O107)</f>
        <v>-1.9418085857101513E-2</v>
      </c>
      <c r="P107" s="43">
        <f>LN('2.ΤΙΜΕΣ ΚΛΕΙΣΙΜΑΤΟΣ'!P108/'2.ΤΙΜΕΣ ΚΛΕΙΣΙΜΑΤΟΣ'!P107)</f>
        <v>-1.108483242449293E-2</v>
      </c>
      <c r="Q107" s="43">
        <f>LN('2.ΤΙΜΕΣ ΚΛΕΙΣΙΜΑΤΟΣ'!Q108/'2.ΤΙΜΕΣ ΚΛΕΙΣΙΜΑΤΟΣ'!Q107)</f>
        <v>-4.3802622658392999E-2</v>
      </c>
      <c r="R107" s="43">
        <f>LN('2.ΤΙΜΕΣ ΚΛΕΙΣΙΜΑΤΟΣ'!R108/'2.ΤΙΜΕΣ ΚΛΕΙΣΙΜΑΤΟΣ'!R107)</f>
        <v>0.10738013550183598</v>
      </c>
      <c r="S107" s="43">
        <f>LN('2.ΤΙΜΕΣ ΚΛΕΙΣΙΜΑΤΟΣ'!S108/'2.ΤΙΜΕΣ ΚΛΕΙΣΙΜΑΤΟΣ'!S107)</f>
        <v>5.9988182292532227E-3</v>
      </c>
      <c r="T107" s="43">
        <f>LN('2.ΤΙΜΕΣ ΚΛΕΙΣΙΜΑΤΟΣ'!T108/'2.ΤΙΜΕΣ ΚΛΕΙΣΙΜΑΤΟΣ'!T107)</f>
        <v>1.2430082395972445E-3</v>
      </c>
      <c r="U107" s="43">
        <f>LN('2.ΤΙΜΕΣ ΚΛΕΙΣΙΜΑΤΟΣ'!U108/'2.ΤΙΜΕΣ ΚΛΕΙΣΙΜΑΤΟΣ'!U107)</f>
        <v>1.1560822401076006E-2</v>
      </c>
      <c r="V107" s="43">
        <f>LN('2.ΤΙΜΕΣ ΚΛΕΙΣΙΜΑΤΟΣ'!V108/'2.ΤΙΜΕΣ ΚΛΕΙΣΙΜΑΤΟΣ'!V107)</f>
        <v>4.2372944755152174E-3</v>
      </c>
      <c r="W107" s="43">
        <f>LN('2.ΤΙΜΕΣ ΚΛΕΙΣΙΜΑΤΟΣ'!W108/'2.ΤΙΜΕΣ ΚΛΕΙΣΙΜΑΤΟΣ'!W107)</f>
        <v>-6.38979809877101E-3</v>
      </c>
      <c r="X107" s="43">
        <f>LN('2.ΤΙΜΕΣ ΚΛΕΙΣΙΜΑΤΟΣ'!X108/'2.ΤΙΜΕΣ ΚΛΕΙΣΙΜΑΤΟΣ'!X107)</f>
        <v>-2.0940772847388444E-2</v>
      </c>
      <c r="Y107" s="43">
        <f>LN('2.ΤΙΜΕΣ ΚΛΕΙΣΙΜΑΤΟΣ'!Y108/'2.ΤΙΜΕΣ ΚΛΕΙΣΙΜΑΤΟΣ'!Y107)</f>
        <v>0</v>
      </c>
      <c r="Z107" s="43">
        <f>LN('2.ΤΙΜΕΣ ΚΛΕΙΣΙΜΑΤΟΣ'!Z108/'2.ΤΙΜΕΣ ΚΛΕΙΣΙΜΑΤΟΣ'!Z107)</f>
        <v>3.4423441909729197E-3</v>
      </c>
      <c r="AA107" s="43">
        <f>LN('2.ΤΙΜΕΣ ΚΛΕΙΣΙΜΑΤΟΣ'!AA108/'2.ΤΙΜΕΣ ΚΛΕΙΣΙΜΑΤΟΣ'!AA107)</f>
        <v>0</v>
      </c>
      <c r="AB107" s="43">
        <f>LN('2.ΤΙΜΕΣ ΚΛΕΙΣΙΜΑΤΟΣ'!AB108/'2.ΤΙΜΕΣ ΚΛΕΙΣΙΜΑΤΟΣ'!AB107)</f>
        <v>-1.8501392881613661E-3</v>
      </c>
      <c r="AC107" s="43">
        <f>LN('2.ΤΙΜΕΣ ΚΛΕΙΣΙΜΑΤΟΣ'!AC108/'2.ΤΙΜΕΣ ΚΛΕΙΣΙΜΑΤΟΣ'!AC107)</f>
        <v>1.5288692515090336E-2</v>
      </c>
      <c r="AD107" s="43">
        <f>LN('2.ΤΙΜΕΣ ΚΛΕΙΣΙΜΑΤΟΣ'!AD108/'2.ΤΙΜΕΣ ΚΛΕΙΣΙΜΑΤΟΣ'!AD107)</f>
        <v>-2.1142436573809237E-2</v>
      </c>
      <c r="AE107" s="43">
        <f>LN('2.ΤΙΜΕΣ ΚΛΕΙΣΙΜΑΤΟΣ'!AE108/'2.ΤΙΜΕΣ ΚΛΕΙΣΙΜΑΤΟΣ'!AE107)</f>
        <v>-1.151644206155918E-2</v>
      </c>
      <c r="AF107" s="43">
        <f>LN('2.ΤΙΜΕΣ ΚΛΕΙΣΙΜΑΤΟΣ'!AF108/'2.ΤΙΜΕΣ ΚΛΕΙΣΙΜΑΤΟΣ'!AF107)</f>
        <v>-4.6189458562944166E-3</v>
      </c>
      <c r="AG107" s="43">
        <f>LN('2.ΤΙΜΕΣ ΚΛΕΙΣΙΜΑΤΟΣ'!AG108/'2.ΤΙΜΕΣ ΚΛΕΙΣΙΜΑΤΟΣ'!AG107)</f>
        <v>2.7336554163750418E-2</v>
      </c>
      <c r="AH107" s="43">
        <f>LN('2.ΤΙΜΕΣ ΚΛΕΙΣΙΜΑΤΟΣ'!AH108/'2.ΤΙΜΕΣ ΚΛΕΙΣΙΜΑΤΟΣ'!AH107)</f>
        <v>-1.8692133012152522E-2</v>
      </c>
      <c r="AI107" s="43">
        <f>LN('2.ΤΙΜΕΣ ΚΛΕΙΣΙΜΑΤΟΣ'!AI108/'2.ΤΙΜΕΣ ΚΛΕΙΣΙΜΑΤΟΣ'!AI107)</f>
        <v>-8.0972102326193618E-3</v>
      </c>
      <c r="AJ107" s="43">
        <f>LN('2.ΤΙΜΕΣ ΚΛΕΙΣΙΜΑΤΟΣ'!AJ108/'2.ΤΙΜΕΣ ΚΛΕΙΣΙΜΑΤΟΣ'!AJ107)</f>
        <v>-4.1928782600360393E-3</v>
      </c>
      <c r="AK107" s="43">
        <f>LN('2.ΤΙΜΕΣ ΚΛΕΙΣΙΜΑΤΟΣ'!AK108/'2.ΤΙΜΕΣ ΚΛΕΙΣΙΜΑΤΟΣ'!AK107)</f>
        <v>4.5351551653911425E-3</v>
      </c>
      <c r="AL107" s="43">
        <f>LN('2.ΤΙΜΕΣ ΚΛΕΙΣΙΜΑΤΟΣ'!AL108/'2.ΤΙΜΕΣ ΚΛΕΙΣΙΜΑΤΟΣ'!AL107)</f>
        <v>1.4084739881739023E-2</v>
      </c>
      <c r="AM107" s="43">
        <f>LN('2.ΤΙΜΕΣ ΚΛΕΙΣΙΜΑΤΟΣ'!AM108/'2.ΤΙΜΕΣ ΚΛΕΙΣΙΜΑΤΟΣ'!AM107)</f>
        <v>-4.8780584534329667E-3</v>
      </c>
      <c r="AN107" s="43">
        <f>LN('2.ΤΙΜΕΣ ΚΛΕΙΣΙΜΑΤΟΣ'!AN108/'2.ΤΙΜΕΣ ΚΛΕΙΣΙΜΑΤΟΣ'!AN107)</f>
        <v>-4.6520015634892928E-2</v>
      </c>
      <c r="AO107" s="43">
        <f>LN('2.ΤΙΜΕΣ ΚΛΕΙΣΙΜΑΤΟΣ'!AO108/'2.ΤΙΜΕΣ ΚΛΕΙΣΙΜΑΤΟΣ'!AO107)</f>
        <v>0</v>
      </c>
      <c r="AP107" s="43">
        <f>LN('2.ΤΙΜΕΣ ΚΛΕΙΣΙΜΑΤΟΣ'!AP108/'2.ΤΙΜΕΣ ΚΛΕΙΣΙΜΑΤΟΣ'!AP107)</f>
        <v>2.4183808642816527E-3</v>
      </c>
      <c r="AQ107" s="43">
        <f>LN('2.ΤΙΜΕΣ ΚΛΕΙΣΙΜΑΤΟΣ'!AQ108/'2.ΤΙΜΕΣ ΚΛΕΙΣΙΜΑΤΟΣ'!AQ107)</f>
        <v>-7.8125397367936247E-3</v>
      </c>
      <c r="AR107" s="43">
        <f>LN('2.ΤΙΜΕΣ ΚΛΕΙΣΙΜΑΤΟΣ'!AR108/'2.ΤΙΜΕΣ ΚΛΕΙΣΙΜΑΤΟΣ'!AR107)</f>
        <v>-2.6317308317373417E-2</v>
      </c>
      <c r="AS107" s="43">
        <f>LN('2.ΤΙΜΕΣ ΚΛΕΙΣΙΜΑΤΟΣ'!AS108/'2.ΤΙΜΕΣ ΚΛΕΙΣΙΜΑΤΟΣ'!AS107)</f>
        <v>3.9426919979457922E-2</v>
      </c>
      <c r="AT107" s="43">
        <f>LN('2.ΤΙΜΕΣ ΚΛΕΙΣΙΜΑΤΟΣ'!AT108/'2.ΤΙΜΕΣ ΚΛΕΙΣΙΜΑΤΟΣ'!AT107)</f>
        <v>-4.2643987864574278E-3</v>
      </c>
      <c r="AU107" s="43">
        <f>LN('2.ΤΙΜΕΣ ΚΛΕΙΣΙΜΑΤΟΣ'!AU108/'2.ΤΙΜΕΣ ΚΛΕΙΣΙΜΑΤΟΣ'!AU107)</f>
        <v>-8.7816786631993438E-3</v>
      </c>
    </row>
    <row r="108" spans="1:47">
      <c r="A108" s="41">
        <v>43711</v>
      </c>
      <c r="B108" s="43">
        <f>LN('2.ΤΙΜΕΣ ΚΛΕΙΣΙΜΑΤΟΣ'!B109/'2.ΤΙΜΕΣ ΚΛΕΙΣΙΜΑΤΟΣ'!B108)</f>
        <v>2.0646317517235065E-2</v>
      </c>
      <c r="C108" s="43">
        <f>LN('2.ΤΙΜΕΣ ΚΛΕΙΣΙΜΑΤΟΣ'!C109/'2.ΤΙΜΕΣ ΚΛΕΙΣΙΜΑΤΟΣ'!C108)</f>
        <v>-1.0856056513466118E-2</v>
      </c>
      <c r="D108" s="43">
        <f>LN('2.ΤΙΜΕΣ ΚΛΕΙΣΙΜΑΤΟΣ'!D109/'2.ΤΙΜΕΣ ΚΛΕΙΣΙΜΑΤΟΣ'!D108)</f>
        <v>-2.2136457818946954E-2</v>
      </c>
      <c r="E108" s="43">
        <f>LN('2.ΤΙΜΕΣ ΚΛΕΙΣΙΜΑΤΟΣ'!E109/'2.ΤΙΜΕΣ ΚΛΕΙΣΙΜΑΤΟΣ'!E108)</f>
        <v>-3.4883756304540086E-3</v>
      </c>
      <c r="F108" s="43">
        <f>LN('2.ΤΙΜΕΣ ΚΛΕΙΣΙΜΑΤΟΣ'!F109/'2.ΤΙΜΕΣ ΚΛΕΙΣΙΜΑΤΟΣ'!F108)</f>
        <v>-9.8739145589936596E-3</v>
      </c>
      <c r="G108" s="43">
        <f>LN('2.ΤΙΜΕΣ ΚΛΕΙΣΙΜΑΤΟΣ'!G109/'2.ΤΙΜΕΣ ΚΛΕΙΣΙΜΑΤΟΣ'!G108)</f>
        <v>-3.6086389774420982E-2</v>
      </c>
      <c r="H108" s="43">
        <f>LN('2.ΤΙΜΕΣ ΚΛΕΙΣΙΜΑΤΟΣ'!H109/'2.ΤΙΜΕΣ ΚΛΕΙΣΙΜΑΤΟΣ'!H108)</f>
        <v>-5.4744662270828481E-3</v>
      </c>
      <c r="I108" s="43">
        <f>LN('2.ΤΙΜΕΣ ΚΛΕΙΣΙΜΑΤΟΣ'!I109/'2.ΤΙΜΕΣ ΚΛΕΙΣΙΜΑΤΟΣ'!I108)</f>
        <v>-2.406702608263726E-2</v>
      </c>
      <c r="J108" s="43">
        <f>LN('2.ΤΙΜΕΣ ΚΛΕΙΣΙΜΑΤΟΣ'!J109/'2.ΤΙΜΕΣ ΚΛΕΙΣΙΜΑΤΟΣ'!J108)</f>
        <v>-3.422538587540247E-2</v>
      </c>
      <c r="K108" s="43">
        <f>LN('2.ΤΙΜΕΣ ΚΛΕΙΣΙΜΑΤΟΣ'!K109/'2.ΤΙΜΕΣ ΚΛΕΙΣΙΜΑΤΟΣ'!K108)</f>
        <v>-3.2490165503499427E-3</v>
      </c>
      <c r="L108" s="43">
        <f>LN('2.ΤΙΜΕΣ ΚΛΕΙΣΙΜΑΤΟΣ'!L109/'2.ΤΙΜΕΣ ΚΛΕΙΣΙΜΑΤΟΣ'!L108)</f>
        <v>1.5041366586146462E-3</v>
      </c>
      <c r="M108" s="43">
        <f>LN('2.ΤΙΜΕΣ ΚΛΕΙΣΙΜΑΤΟΣ'!M109/'2.ΤΙΜΕΣ ΚΛΕΙΣΙΜΑΤΟΣ'!M108)</f>
        <v>5.4200674693393345E-3</v>
      </c>
      <c r="N108" s="43">
        <f>LN('2.ΤΙΜΕΣ ΚΛΕΙΣΙΜΑΤΟΣ'!N109/'2.ΤΙΜΕΣ ΚΛΕΙΣΙΜΑΤΟΣ'!N108)</f>
        <v>0</v>
      </c>
      <c r="O108" s="43">
        <f>LN('2.ΤΙΜΕΣ ΚΛΕΙΣΙΜΑΤΟΣ'!O109/'2.ΤΙΜΕΣ ΚΛΕΙΣΙΜΑΤΟΣ'!O108)</f>
        <v>-1.5810606026642315E-2</v>
      </c>
      <c r="P108" s="43">
        <f>LN('2.ΤΙΜΕΣ ΚΛΕΙΣΙΜΑΤΟΣ'!P109/'2.ΤΙΜΕΣ ΚΛΕΙΣΙΜΑΤΟΣ'!P108)</f>
        <v>-4.7885167317972327E-3</v>
      </c>
      <c r="Q108" s="43">
        <f>LN('2.ΤΙΜΕΣ ΚΛΕΙΣΙΜΑΤΟΣ'!Q109/'2.ΤΙΜΕΣ ΚΛΕΙΣΙΜΑΤΟΣ'!Q108)</f>
        <v>-3.0305349495328922E-2</v>
      </c>
      <c r="R108" s="43">
        <f>LN('2.ΤΙΜΕΣ ΚΛΕΙΣΙΜΑΤΟΣ'!R109/'2.ΤΙΜΕΣ ΚΛΕΙΣΙΜΑΤΟΣ'!R108)</f>
        <v>-1.5028051527502003E-2</v>
      </c>
      <c r="S108" s="43">
        <f>LN('2.ΤΙΜΕΣ ΚΛΕΙΣΙΜΑΤΟΣ'!S109/'2.ΤΙΜΕΣ ΚΛΕΙΣΙΜΑΤΟΣ'!S108)</f>
        <v>-7.2029122940578854E-3</v>
      </c>
      <c r="T108" s="43">
        <f>LN('2.ΤΙΜΕΣ ΚΛΕΙΣΙΜΑΤΟΣ'!T109/'2.ΤΙΜΕΣ ΚΛΕΙΣΙΜΑΤΟΣ'!T108)</f>
        <v>3.7786335666138128E-2</v>
      </c>
      <c r="U108" s="43">
        <f>LN('2.ΤΙΜΕΣ ΚΛΕΙΣΙΜΑΤΟΣ'!U109/'2.ΤΙΜΕΣ ΚΛΕΙΣΙΜΑΤΟΣ'!U108)</f>
        <v>-2.561257585672623E-2</v>
      </c>
      <c r="V108" s="43">
        <f>LN('2.ΤΙΜΕΣ ΚΛΕΙΣΙΜΑΤΟΣ'!V109/'2.ΤΙΜΕΣ ΚΛΕΙΣΙΜΑΤΟΣ'!V108)</f>
        <v>-1.9210836265677697E-2</v>
      </c>
      <c r="W108" s="43">
        <f>LN('2.ΤΙΜΕΣ ΚΛΕΙΣΙΜΑΤΟΣ'!W109/'2.ΤΙΜΕΣ ΚΛΕΙΣΙΜΑΤΟΣ'!W108)</f>
        <v>-1.6807118316381174E-2</v>
      </c>
      <c r="X108" s="43">
        <f>LN('2.ΤΙΜΕΣ ΚΛΕΙΣΙΜΑΤΟΣ'!X109/'2.ΤΙΜΕΣ ΚΛΕΙΣΙΜΑΤΟΣ'!X108)</f>
        <v>-2.939131205446754E-3</v>
      </c>
      <c r="Y108" s="43">
        <f>LN('2.ΤΙΜΕΣ ΚΛΕΙΣΙΜΑΤΟΣ'!Y109/'2.ΤΙΜΕΣ ΚΛΕΙΣΙΜΑΤΟΣ'!Y108)</f>
        <v>-9.6722946425076319E-3</v>
      </c>
      <c r="Z108" s="43">
        <f>LN('2.ΤΙΜΕΣ ΚΛΕΙΣΙΜΑΤΟΣ'!Z109/'2.ΤΙΜΕΣ ΚΛΕΙΣΙΜΑΤΟΣ'!Z108)</f>
        <v>0</v>
      </c>
      <c r="AA108" s="43">
        <f>LN('2.ΤΙΜΕΣ ΚΛΕΙΣΙΜΑΤΟΣ'!AA109/'2.ΤΙΜΕΣ ΚΛΕΙΣΙΜΑΤΟΣ'!AA108)</f>
        <v>0</v>
      </c>
      <c r="AB108" s="43">
        <f>LN('2.ΤΙΜΕΣ ΚΛΕΙΣΙΜΑΤΟΣ'!AB109/'2.ΤΙΜΕΣ ΚΛΕΙΣΙΜΑΤΟΣ'!AB108)</f>
        <v>7.38010729762246E-3</v>
      </c>
      <c r="AC108" s="43">
        <f>LN('2.ΤΙΜΕΣ ΚΛΕΙΣΙΜΑΤΟΣ'!AC109/'2.ΤΙΜΕΣ ΚΛΕΙΣΙΜΑΤΟΣ'!AC108)</f>
        <v>0</v>
      </c>
      <c r="AD108" s="43">
        <f>LN('2.ΤΙΜΕΣ ΚΛΕΙΣΙΜΑΤΟΣ'!AD109/'2.ΤΙΜΕΣ ΚΛΕΙΣΙΜΑΤΟΣ'!AD108)</f>
        <v>-1.002155846101899E-2</v>
      </c>
      <c r="AE108" s="43">
        <f>LN('2.ΤΙΜΕΣ ΚΛΕΙΣΙΜΑΤΟΣ'!AE109/'2.ΤΙΜΕΣ ΚΛΕΙΣΙΜΑΤΟΣ'!AE108)</f>
        <v>-1.9493794681001129E-2</v>
      </c>
      <c r="AF108" s="43">
        <f>LN('2.ΤΙΜΕΣ ΚΛΕΙΣΙΜΑΤΟΣ'!AF109/'2.ΤΙΜΕΣ ΚΛΕΙΣΙΜΑΤΟΣ'!AF108)</f>
        <v>4.6189458562944583E-3</v>
      </c>
      <c r="AG108" s="43">
        <f>LN('2.ΤΙΜΕΣ ΚΛΕΙΣΙΜΑΤΟΣ'!AG109/'2.ΤΙΜΕΣ ΚΛΕΙΣΙΜΑΤΟΣ'!AG108)</f>
        <v>6.3133039528836143E-2</v>
      </c>
      <c r="AH108" s="43">
        <f>LN('2.ΤΙΜΕΣ ΚΛΕΙΣΙΜΑΤΟΣ'!AH109/'2.ΤΙΜΕΣ ΚΛΕΙΣΙΜΑΤΟΣ'!AH108)</f>
        <v>-2.677024106460478E-2</v>
      </c>
      <c r="AI108" s="43">
        <f>LN('2.ΤΙΜΕΣ ΚΛΕΙΣΙΜΑΤΟΣ'!AI109/'2.ΤΙΜΕΣ ΚΛΕΙΣΙΜΑΤΟΣ'!AI108)</f>
        <v>0</v>
      </c>
      <c r="AJ108" s="43">
        <f>LN('2.ΤΙΜΕΣ ΚΛΕΙΣΙΜΑΤΟΣ'!AJ109/'2.ΤΙΜΕΣ ΚΛΕΙΣΙΜΑΤΟΣ'!AJ108)</f>
        <v>1.6667052485211643E-2</v>
      </c>
      <c r="AK108" s="43">
        <f>LN('2.ΤΙΜΕΣ ΚΛΕΙΣΙΜΑΤΟΣ'!AK109/'2.ΤΙΜΕΣ ΚΛΕΙΣΙΜΑΤΟΣ'!AK108)</f>
        <v>-2.7524673390090033E-2</v>
      </c>
      <c r="AL108" s="43">
        <f>LN('2.ΤΙΜΕΣ ΚΛΕΙΣΙΜΑΤΟΣ'!AL109/'2.ΤΙΜΕΣ ΚΛΕΙΣΙΜΑΤΟΣ'!AL108)</f>
        <v>-7.0175726586465346E-3</v>
      </c>
      <c r="AM108" s="43">
        <f>LN('2.ΤΙΜΕΣ ΚΛΕΙΣΙΜΑΤΟΣ'!AM109/'2.ΤΙΜΕΣ ΚΛΕΙΣΙΜΑΤΟΣ'!AM108)</f>
        <v>-4.9019706002066685E-3</v>
      </c>
      <c r="AN108" s="43">
        <f>LN('2.ΤΙΜΕΣ ΚΛΕΙΣΙΜΑΤΟΣ'!AN109/'2.ΤΙΜΕΣ ΚΛΕΙΣΙΜΑΤΟΣ'!AN108)</f>
        <v>-4.4798142899894595E-2</v>
      </c>
      <c r="AO108" s="43">
        <f>LN('2.ΤΙΜΕΣ ΚΛΕΙΣΙΜΑΤΟΣ'!AO109/'2.ΤΙΜΕΣ ΚΛΕΙΣΙΜΑΤΟΣ'!AO108)</f>
        <v>-1.0526412986987504E-2</v>
      </c>
      <c r="AP108" s="43">
        <f>LN('2.ΤΙΜΕΣ ΚΛΕΙΣΙΜΑΤΟΣ'!AP109/'2.ΤΙΜΕΣ ΚΛΕΙΣΙΜΑΤΟΣ'!AP108)</f>
        <v>-1.2150817782512579E-2</v>
      </c>
      <c r="AQ108" s="43">
        <f>LN('2.ΤΙΜΕΣ ΚΛΕΙΣΙΜΑΤΟΣ'!AQ109/'2.ΤΙΜΕΣ ΚΛΕΙΣΙΜΑΤΟΣ'!AQ108)</f>
        <v>1.9588644853329716E-3</v>
      </c>
      <c r="AR108" s="43">
        <f>LN('2.ΤΙΜΕΣ ΚΛΕΙΣΙΜΑΤΟΣ'!AR109/'2.ΤΙΜΕΣ ΚΛΕΙΣΙΜΑΤΟΣ'!AR108)</f>
        <v>-1.3423020332140661E-2</v>
      </c>
      <c r="AS108" s="43">
        <f>LN('2.ΤΙΜΕΣ ΚΛΕΙΣΙΜΑΤΟΣ'!AS109/'2.ΤΙΜΕΣ ΚΛΕΙΣΙΜΑΤΟΣ'!AS108)</f>
        <v>6.0018009726252951E-2</v>
      </c>
      <c r="AT108" s="43">
        <f>LN('2.ΤΙΜΕΣ ΚΛΕΙΣΙΜΑΤΟΣ'!AT109/'2.ΤΙΜΕΣ ΚΛΕΙΣΙΜΑΤΟΣ'!AT108)</f>
        <v>1.4846508116994419E-2</v>
      </c>
      <c r="AU108" s="43">
        <f>LN('2.ΤΙΜΕΣ ΚΛΕΙΣΙΜΑΤΟΣ'!AU109/'2.ΤΙΜΕΣ ΚΛΕΙΣΙΜΑΤΟΣ'!AU108)</f>
        <v>-7.7228568627583519E-3</v>
      </c>
    </row>
    <row r="109" spans="1:47">
      <c r="A109" s="41">
        <v>43712</v>
      </c>
      <c r="B109" s="43">
        <f>LN('2.ΤΙΜΕΣ ΚΛΕΙΣΙΜΑΤΟΣ'!B110/'2.ΤΙΜΕΣ ΚΛΕΙΣΙΜΑΤΟΣ'!B109)</f>
        <v>6.1439158503337954E-3</v>
      </c>
      <c r="C109" s="43">
        <f>LN('2.ΤΙΜΕΣ ΚΛΕΙΣΙΜΑΤΟΣ'!C110/'2.ΤΙΜΕΣ ΚΛΕΙΣΙΜΑΤΟΣ'!C109)</f>
        <v>7.5282664207915878E-3</v>
      </c>
      <c r="D109" s="43">
        <f>LN('2.ΤΙΜΕΣ ΚΛΕΙΣΙΜΑΤΟΣ'!D110/'2.ΤΙΜΕΣ ΚΛΕΙΣΙΜΑΤΟΣ'!D109)</f>
        <v>7.4333994183950628E-3</v>
      </c>
      <c r="E109" s="43">
        <f>LN('2.ΤΙΜΕΣ ΚΛΕΙΣΙΜΑΤΟΣ'!E110/'2.ΤΙΜΕΣ ΚΛΕΙΣΙΜΑΤΟΣ'!E109)</f>
        <v>-3.9803294002849349E-2</v>
      </c>
      <c r="F109" s="43">
        <f>LN('2.ΤΙΜΕΣ ΚΛΕΙΣΙΜΑΤΟΣ'!F110/'2.ΤΙΜΕΣ ΚΛΕΙΣΙΜΑΤΟΣ'!F109)</f>
        <v>-1.2202037140206057E-2</v>
      </c>
      <c r="G109" s="43">
        <f>LN('2.ΤΙΜΕΣ ΚΛΕΙΣΙΜΑΤΟΣ'!G110/'2.ΤΙΜΕΣ ΚΛΕΙΣΙΜΑΤΟΣ'!G109)</f>
        <v>2.9737162095762177E-2</v>
      </c>
      <c r="H109" s="43">
        <f>LN('2.ΤΙΜΕΣ ΚΛΕΙΣΙΜΑΤΟΣ'!H110/'2.ΤΙΜΕΣ ΚΛΕΙΣΙΜΑΤΟΣ'!H109)</f>
        <v>-3.5385442266371588E-2</v>
      </c>
      <c r="I109" s="43">
        <f>LN('2.ΤΙΜΕΣ ΚΛΕΙΣΙΜΑΤΟΣ'!I110/'2.ΤΙΜΕΣ ΚΛΕΙΣΙΜΑΤΟΣ'!I109)</f>
        <v>1.9048194970694411E-2</v>
      </c>
      <c r="J109" s="43">
        <f>LN('2.ΤΙΜΕΣ ΚΛΕΙΣΙΜΑΤΟΣ'!J110/'2.ΤΙΜΕΣ ΚΛΕΙΣΙΜΑΤΟΣ'!J109)</f>
        <v>3.1482974754092542E-2</v>
      </c>
      <c r="K109" s="43">
        <f>LN('2.ΤΙΜΕΣ ΚΛΕΙΣΙΜΑΤΟΣ'!K110/'2.ΤΙΜΕΣ ΚΛΕΙΣΙΜΑΤΟΣ'!K109)</f>
        <v>-1.2161047909212803E-2</v>
      </c>
      <c r="L109" s="43">
        <f>LN('2.ΤΙΜΕΣ ΚΛΕΙΣΙΜΑΤΟΣ'!L110/'2.ΤΙΜΕΣ ΚΛΕΙΣΙΜΑΤΟΣ'!L109)</f>
        <v>2.0020026706729687E-3</v>
      </c>
      <c r="M109" s="43">
        <f>LN('2.ΤΙΜΕΣ ΚΛΕΙΣΙΜΑΤΟΣ'!M110/'2.ΤΙΜΕΣ ΚΛΕΙΣΙΜΑΤΟΣ'!M109)</f>
        <v>-6.5076151567381888E-3</v>
      </c>
      <c r="N109" s="43">
        <f>LN('2.ΤΙΜΕΣ ΚΛΕΙΣΙΜΑΤΟΣ'!N110/'2.ΤΙΜΕΣ ΚΛΕΙΣΙΜΑΤΟΣ'!N109)</f>
        <v>-2.2007872495711834E-2</v>
      </c>
      <c r="O109" s="43">
        <f>LN('2.ΤΙΜΕΣ ΚΛΕΙΣΙΜΑΤΟΣ'!O110/'2.ΤΙΜΕΣ ΚΛΕΙΣΙΜΑΤΟΣ'!O109)</f>
        <v>1.4502561366626901E-2</v>
      </c>
      <c r="P109" s="43">
        <f>LN('2.ΤΙΜΕΣ ΚΛΕΙΣΙΜΑΤΟΣ'!P110/'2.ΤΙΜΕΣ ΚΛΕΙΣΙΜΑΤΟΣ'!P109)</f>
        <v>-9.6463770518053372E-3</v>
      </c>
      <c r="Q109" s="43">
        <f>LN('2.ΤΙΜΕΣ ΚΛΕΙΣΙΜΑΤΟΣ'!Q110/'2.ΤΙΜΕΣ ΚΛΕΙΣΙΜΑΤΟΣ'!Q109)</f>
        <v>2.4180798197214828E-2</v>
      </c>
      <c r="R109" s="43">
        <f>LN('2.ΤΙΜΕΣ ΚΛΕΙΣΙΜΑΤΟΣ'!R110/'2.ΤΙΜΕΣ ΚΛΕΙΣΙΜΑΤΟΣ'!R109)</f>
        <v>-5.9425727868028175E-3</v>
      </c>
      <c r="S109" s="43">
        <f>LN('2.ΤΙΜΕΣ ΚΛΕΙΣΙΜΑΤΟΣ'!S110/'2.ΤΙΜΕΣ ΚΛΕΙΣΙΜΑΤΟΣ'!S109)</f>
        <v>-1.2055456553487812E-3</v>
      </c>
      <c r="T109" s="43">
        <f>LN('2.ΤΙΜΕΣ ΚΛΕΙΣΙΜΑΤΟΣ'!T110/'2.ΤΙΜΕΣ ΚΛΕΙΣΙΜΑΤΟΣ'!T109)</f>
        <v>-1.2033839563723565E-2</v>
      </c>
      <c r="U109" s="43">
        <f>LN('2.ΤΙΜΕΣ ΚΛΕΙΣΙΜΑΤΟΣ'!U110/'2.ΤΙΜΕΣ ΚΛΕΙΣΙΜΑΤΟΣ'!U109)</f>
        <v>2.3557136924589835E-3</v>
      </c>
      <c r="V109" s="43">
        <f>LN('2.ΤΙΜΕΣ ΚΛΕΙΣΙΜΑΤΟΣ'!V110/'2.ΤΙΜΕΣ ΚΛΕΙΣΙΜΑΤΟΣ'!V109)</f>
        <v>-6.4865092296066615E-3</v>
      </c>
      <c r="W109" s="43">
        <f>LN('2.ΤΙΜΕΣ ΚΛΕΙΣΙΜΑΤΟΣ'!W110/'2.ΤΙΜΕΣ ΚΛΕΙΣΙΜΑΤΟΣ'!W109)</f>
        <v>2.7011288490622884E-2</v>
      </c>
      <c r="X109" s="43">
        <f>LN('2.ΤΙΜΕΣ ΚΛΕΙΣΙΜΑΤΟΣ'!X110/'2.ΤΙΜΕΣ ΚΛΕΙΣΙΜΑΤΟΣ'!X109)</f>
        <v>2.9391312054467367E-3</v>
      </c>
      <c r="Y109" s="43">
        <f>LN('2.ΤΙΜΕΣ ΚΛΕΙΣΙΜΑΤΟΣ'!Y110/'2.ΤΙΜΕΣ ΚΛΕΙΣΙΜΑΤΟΣ'!Y109)</f>
        <v>-1.0804971337541407E-3</v>
      </c>
      <c r="Z109" s="43">
        <f>LN('2.ΤΙΜΕΣ ΚΛΕΙΣΙΜΑΤΟΣ'!Z110/'2.ΤΙΜΕΣ ΚΛΕΙΣΙΜΑΤΟΣ'!Z109)</f>
        <v>6.8493418455747683E-3</v>
      </c>
      <c r="AA109" s="43">
        <f>LN('2.ΤΙΜΕΣ ΚΛΕΙΣΙΜΑΤΟΣ'!AA110/'2.ΤΙΜΕΣ ΚΛΕΙΣΙΜΑΤΟΣ'!AA109)</f>
        <v>-3.4542348680874461E-3</v>
      </c>
      <c r="AB109" s="43">
        <f>LN('2.ΤΙΜΕΣ ΚΛΕΙΣΙΜΑΤΟΣ'!AB110/'2.ΤΙΜΕΣ ΚΛΕΙΣΙΜΑΤΟΣ'!AB109)</f>
        <v>-1.8553407895747834E-2</v>
      </c>
      <c r="AC109" s="43">
        <f>LN('2.ΤΙΜΕΣ ΚΛΕΙΣΙΜΑΤΟΣ'!AC110/'2.ΤΙΜΕΣ ΚΛΕΙΣΙΜΑΤΟΣ'!AC109)</f>
        <v>0</v>
      </c>
      <c r="AD109" s="43">
        <f>LN('2.ΤΙΜΕΣ ΚΛΕΙΣΙΜΑΤΟΣ'!AD110/'2.ΤΙΜΕΣ ΚΛΕΙΣΙΜΑΤΟΣ'!AD109)</f>
        <v>0</v>
      </c>
      <c r="AE109" s="43">
        <f>LN('2.ΤΙΜΕΣ ΚΛΕΙΣΙΜΑΤΟΣ'!AE110/'2.ΤΙΜΕΣ ΚΛΕΙΣΙΜΑΤΟΣ'!AE109)</f>
        <v>0</v>
      </c>
      <c r="AF109" s="43">
        <f>LN('2.ΤΙΜΕΣ ΚΛΕΙΣΙΜΑΤΟΣ'!AF110/'2.ΤΙΜΕΣ ΚΛΕΙΣΙΜΑΤΟΣ'!AF109)</f>
        <v>-9.2593254127967123E-3</v>
      </c>
      <c r="AG109" s="43">
        <f>LN('2.ΤΙΜΕΣ ΚΛΕΙΣΙΜΑΤΟΣ'!AG110/'2.ΤΙΜΕΣ ΚΛΕΙΣΙΜΑΤΟΣ'!AG109)</f>
        <v>-5.1959738930710986E-2</v>
      </c>
      <c r="AH109" s="43">
        <f>LN('2.ΤΙΜΕΣ ΚΛΕΙΣΙΜΑΤΟΣ'!AH110/'2.ΤΙΜΕΣ ΚΛΕΙΣΙΜΑΤΟΣ'!AH109)</f>
        <v>-1.9398648178265917E-3</v>
      </c>
      <c r="AI109" s="43">
        <f>LN('2.ΤΙΜΕΣ ΚΛΕΙΣΙΜΑΤΟΣ'!AI110/'2.ΤΙΜΕΣ ΚΛΕΙΣΙΜΑΤΟΣ'!AI109)</f>
        <v>0</v>
      </c>
      <c r="AJ109" s="43">
        <f>LN('2.ΤΙΜΕΣ ΚΛΕΙΣΙΜΑΤΟΣ'!AJ110/'2.ΤΙΜΕΣ ΚΛΕΙΣΙΜΑΤΟΣ'!AJ109)</f>
        <v>5.6239718322876109E-2</v>
      </c>
      <c r="AK109" s="43">
        <f>LN('2.ΤΙΜΕΣ ΚΛΕΙΣΙΜΑΤΟΣ'!AK110/'2.ΤΙΜΕΣ ΚΛΕΙΣΙΜΑΤΟΣ'!AK109)</f>
        <v>-1.4051753455650302E-2</v>
      </c>
      <c r="AL109" s="43">
        <f>LN('2.ΤΙΜΕΣ ΚΛΕΙΣΙΜΑΤΟΣ'!AL110/'2.ΤΙΜΕΣ ΚΛΕΙΣΙΜΑΤΟΣ'!AL109)</f>
        <v>-7.067167223092443E-3</v>
      </c>
      <c r="AM109" s="43">
        <f>LN('2.ΤΙΜΕΣ ΚΛΕΙΣΙΜΑΤΟΣ'!AM110/'2.ΤΙΜΕΣ ΚΛΕΙΣΙΜΑΤΟΣ'!AM109)</f>
        <v>-1.2361096823574088E-2</v>
      </c>
      <c r="AN109" s="43">
        <f>LN('2.ΤΙΜΕΣ ΚΛΕΙΣΙΜΑΤΟΣ'!AN110/'2.ΤΙΜΕΣ ΚΛΕΙΣΙΜΑΤΟΣ'!AN109)</f>
        <v>-1.6064602503806674E-2</v>
      </c>
      <c r="AO109" s="43">
        <f>LN('2.ΤΙΜΕΣ ΚΛΕΙΣΙΜΑΤΟΣ'!AO110/'2.ΤΙΜΕΣ ΚΛΕΙΣΙΜΑΤΟΣ'!AO109)</f>
        <v>0</v>
      </c>
      <c r="AP109" s="43">
        <f>LN('2.ΤΙΜΕΣ ΚΛΕΙΣΙΜΑΤΟΣ'!AP110/'2.ΤΙΜΕΣ ΚΛΕΙΣΙΜΑΤΟΣ'!AP109)</f>
        <v>1.6970104218461561E-2</v>
      </c>
      <c r="AQ109" s="43">
        <f>LN('2.ΤΙΜΕΣ ΚΛΕΙΣΙΜΑΤΟΣ'!AQ110/'2.ΤΙΜΕΣ ΚΛΕΙΣΙΜΑΤΟΣ'!AQ109)</f>
        <v>3.9062549670652105E-3</v>
      </c>
      <c r="AR109" s="43">
        <f>LN('2.ΤΙΜΕΣ ΚΛΕΙΣΙΜΑΤΟΣ'!AR110/'2.ΤΙΜΕΣ ΚΛΕΙΣΙΜΑΤΟΣ'!AR109)</f>
        <v>-2.2204157311010407E-2</v>
      </c>
      <c r="AS109" s="43">
        <f>LN('2.ΤΙΜΕΣ ΚΛΕΙΣΙΜΑΤΟΣ'!AS110/'2.ΤΙΜΕΣ ΚΛΕΙΣΙΜΑΤΟΣ'!AS109)</f>
        <v>9.6619109117368901E-3</v>
      </c>
      <c r="AT109" s="43">
        <f>LN('2.ΤΙΜΕΣ ΚΛΕΙΣΙΜΑΤΟΣ'!AT110/'2.ΤΙΜΕΣ ΚΛΕΙΣΙΜΑΤΟΣ'!AT109)</f>
        <v>8.3857933762739641E-3</v>
      </c>
      <c r="AU109" s="43">
        <f>LN('2.ΤΙΜΕΣ ΚΛΕΙΣΙΜΑΤΟΣ'!AU110/'2.ΤΙΜΕΣ ΚΛΕΙΣΙΜΑΤΟΣ'!AU109)</f>
        <v>6.9071690963537957E-4</v>
      </c>
    </row>
    <row r="110" spans="1:47">
      <c r="A110" s="41">
        <v>43713</v>
      </c>
      <c r="B110" s="43">
        <f>LN('2.ΤΙΜΕΣ ΚΛΕΙΣΙΜΑΤΟΣ'!B111/'2.ΤΙΜΕΣ ΚΛΕΙΣΙΜΑΤΟΣ'!B110)</f>
        <v>1.5355388083194737E-2</v>
      </c>
      <c r="C110" s="43">
        <f>LN('2.ΤΙΜΕΣ ΚΛΕΙΣΙΜΑΤΟΣ'!C111/'2.ΤΙΜΕΣ ΚΛΕΙΣΙΜΑΤΟΣ'!C110)</f>
        <v>3.6010437523033033E-2</v>
      </c>
      <c r="D110" s="43">
        <f>LN('2.ΤΙΜΕΣ ΚΛΕΙΣΙΜΑΤΟΣ'!D111/'2.ΤΙΜΕΣ ΚΛΕΙΣΙΜΑΤΟΣ'!D110)</f>
        <v>3.5339366445308863E-2</v>
      </c>
      <c r="E110" s="43">
        <f>LN('2.ΤΙΜΕΣ ΚΛΕΙΣΙΜΑΤΟΣ'!E111/'2.ΤΙΜΕΣ ΚΛΕΙΣΙΜΑΤΟΣ'!E110)</f>
        <v>1.9208273638267191E-2</v>
      </c>
      <c r="F110" s="43">
        <f>LN('2.ΤΙΜΕΣ ΚΛΕΙΣΙΜΑΤΟΣ'!F111/'2.ΤΙΜΕΣ ΚΛΕΙΣΙΜΑΤΟΣ'!F110)</f>
        <v>2.6433257068155431E-2</v>
      </c>
      <c r="G110" s="43">
        <f>LN('2.ΤΙΜΕΣ ΚΛΕΙΣΙΜΑΤΟΣ'!G111/'2.ΤΙΜΕΣ ΚΛΕΙΣΙΜΑΤΟΣ'!G110)</f>
        <v>3.1350529884076009E-2</v>
      </c>
      <c r="H110" s="43">
        <f>LN('2.ΤΙΜΕΣ ΚΛΕΙΣΙΜΑΤΟΣ'!H111/'2.ΤΙΜΕΣ ΚΛΕΙΣΙΜΑΤΟΣ'!H110)</f>
        <v>1.0372558815622976E-2</v>
      </c>
      <c r="I110" s="43">
        <f>LN('2.ΤΙΜΕΣ ΚΛΕΙΣΙΜΑΤΟΣ'!I111/'2.ΤΙΜΕΣ ΚΛΕΙΣΙΜΑΤΟΣ'!I110)</f>
        <v>3.6435027345321579E-2</v>
      </c>
      <c r="J110" s="43">
        <f>LN('2.ΤΙΜΕΣ ΚΛΕΙΣΙΜΑΤΟΣ'!J111/'2.ΤΙΜΕΣ ΚΛΕΙΣΙΜΑΤΟΣ'!J110)</f>
        <v>5.0115669128787024E-2</v>
      </c>
      <c r="K110" s="43">
        <f>LN('2.ΤΙΜΕΣ ΚΛΕΙΣΙΜΑΤΟΣ'!K111/'2.ΤΙΜΕΣ ΚΛΕΙΣΙΜΑΤΟΣ'!K110)</f>
        <v>1.0998121856532617E-2</v>
      </c>
      <c r="L110" s="43">
        <f>LN('2.ΤΙΜΕΣ ΚΛΕΙΣΙΜΑΤΟΣ'!L111/'2.ΤΙΜΕΣ ΚΛΕΙΣΙΜΑΤΟΣ'!L110)</f>
        <v>1.980262729617973E-2</v>
      </c>
      <c r="M110" s="43">
        <f>LN('2.ΤΙΜΕΣ ΚΛΕΙΣΙΜΑΤΟΣ'!M111/'2.ΤΙΜΕΣ ΚΛΕΙΣΙΜΑΤΟΣ'!M110)</f>
        <v>2.173913899619967E-3</v>
      </c>
      <c r="N110" s="43">
        <f>LN('2.ΤΙΜΕΣ ΚΛΕΙΣΙΜΑΤΟΣ'!N111/'2.ΤΙΜΕΣ ΚΛΕΙΣΙΜΑΤΟΣ'!N110)</f>
        <v>1.1657305145671384E-2</v>
      </c>
      <c r="O110" s="43">
        <f>LN('2.ΤΙΜΕΣ ΚΛΕΙΣΙΜΑΤΟΣ'!O111/'2.ΤΙΜΕΣ ΚΛΕΙΣΙΜΑΤΟΣ'!O110)</f>
        <v>2.0726130517116952E-2</v>
      </c>
      <c r="P110" s="43">
        <f>LN('2.ΤΙΜΕΣ ΚΛΕΙΣΙΜΑΤΟΣ'!P111/'2.ΤΙΜΕΣ ΚΛΕΙΣΙΜΑΤΟΣ'!P110)</f>
        <v>1.9200589856616934E-2</v>
      </c>
      <c r="Q110" s="43">
        <f>LN('2.ΤΙΜΕΣ ΚΛΕΙΣΙΜΑΤΟΣ'!Q111/'2.ΤΙΜΕΣ ΚΛΕΙΣΙΜΑΤΟΣ'!Q110)</f>
        <v>4.0139167590344263E-2</v>
      </c>
      <c r="R110" s="43">
        <f>LN('2.ΤΙΜΕΣ ΚΛΕΙΣΙΜΑΤΟΣ'!R111/'2.ΤΙΜΕΣ ΚΛΕΙΣΙΜΑΤΟΣ'!R110)</f>
        <v>1.3158084577511201E-2</v>
      </c>
      <c r="S110" s="43">
        <f>LN('2.ΤΙΜΕΣ ΚΛΕΙΣΙΜΑΤΟΣ'!S111/'2.ΤΙΜΕΣ ΚΛΕΙΣΙΜΑΤΟΣ'!S110)</f>
        <v>1.7932339460662101E-2</v>
      </c>
      <c r="T110" s="43">
        <f>LN('2.ΤΙΜΕΣ ΚΛΕΙΣΙΜΑΤΟΣ'!T111/'2.ΤΙΜΕΣ ΚΛΕΙΣΙΜΑΤΟΣ'!T110)</f>
        <v>7.2376673002306031E-3</v>
      </c>
      <c r="U110" s="43">
        <f>LN('2.ΤΙΜΕΣ ΚΛΕΙΣΙΜΑΤΟΣ'!U111/'2.ΤΙΜΕΣ ΚΛΕΙΣΙΜΑΤΟΣ'!U110)</f>
        <v>3.9220713153281329E-2</v>
      </c>
      <c r="V110" s="43">
        <f>LN('2.ΤΙΜΕΣ ΚΛΕΙΣΙΜΑΤΟΣ'!V111/'2.ΤΙΜΕΣ ΚΛΕΙΣΙΜΑΤΟΣ'!V110)</f>
        <v>2.1460051019769288E-2</v>
      </c>
      <c r="W110" s="43">
        <f>LN('2.ΤΙΜΕΣ ΚΛΕΙΣΙΜΑΤΟΣ'!W111/'2.ΤΙΜΕΣ ΚΛΕΙΣΙΜΑΤΟΣ'!W110)</f>
        <v>2.5348556031881157E-3</v>
      </c>
      <c r="X110" s="43">
        <f>LN('2.ΤΙΜΕΣ ΚΛΕΙΣΙΜΑΤΟΣ'!X111/'2.ΤΙΜΕΣ ΚΛΕΙΣΙΜΑΤΟΣ'!X110)</f>
        <v>0</v>
      </c>
      <c r="Y110" s="43">
        <f>LN('2.ΤΙΜΕΣ ΚΛΕΙΣΙΜΑΤΟΣ'!Y111/'2.ΤΙΜΕΣ ΚΛΕΙΣΙΜΑΤΟΣ'!Y110)</f>
        <v>4.1297557098120434E-2</v>
      </c>
      <c r="Z110" s="43">
        <f>LN('2.ΤΙΜΕΣ ΚΛΕΙΣΙΜΑΤΟΣ'!Z111/'2.ΤΙΜΕΣ ΚΛΕΙΣΙΜΑΤΟΣ'!Z110)</f>
        <v>3.4071583216141346E-3</v>
      </c>
      <c r="AA110" s="43">
        <f>LN('2.ΤΙΜΕΣ ΚΛΕΙΣΙΜΑΤΟΣ'!AA111/'2.ΤΙΜΕΣ ΚΛΕΙΣΙΜΑΤΟΣ'!AA110)</f>
        <v>0</v>
      </c>
      <c r="AB110" s="43">
        <f>LN('2.ΤΙΜΕΣ ΚΛΕΙΣΙΜΑΤΟΣ'!AB111/'2.ΤΙΜΕΣ ΚΛΕΙΣΙΜΑΤΟΣ'!AB110)</f>
        <v>-1.8744147943503039E-3</v>
      </c>
      <c r="AC110" s="43">
        <f>LN('2.ΤΙΜΕΣ ΚΛΕΙΣΙΜΑΤΟΣ'!AC111/'2.ΤΙΜΕΣ ΚΛΕΙΣΙΜΑΤΟΣ'!AC110)</f>
        <v>0</v>
      </c>
      <c r="AD110" s="43">
        <f>LN('2.ΤΙΜΕΣ ΚΛΕΙΣΙΜΑΤΟΣ'!AD111/'2.ΤΙΜΕΣ ΚΛΕΙΣΙΜΑΤΟΣ'!AD110)</f>
        <v>2.8370697129215566E-2</v>
      </c>
      <c r="AE110" s="43">
        <f>LN('2.ΤΙΜΕΣ ΚΛΕΙΣΙΜΑΤΟΣ'!AE111/'2.ΤΙΜΕΣ ΚΛΕΙΣΙΜΑΤΟΣ'!AE110)</f>
        <v>2.3347363996991107E-2</v>
      </c>
      <c r="AF110" s="43">
        <f>LN('2.ΤΙΜΕΣ ΚΛΕΙΣΙΜΑΤΟΣ'!AF111/'2.ΤΙΜΕΣ ΚΛΕΙΣΙΜΑΤΟΣ'!AF110)</f>
        <v>2.0714204387563235E-2</v>
      </c>
      <c r="AG110" s="43">
        <f>LN('2.ΤΙΜΕΣ ΚΛΕΙΣΙΜΑΤΟΣ'!AG111/'2.ΤΙΜΕΣ ΚΛΕΙΣΙΜΑΤΟΣ'!AG110)</f>
        <v>3.4938051361280441E-2</v>
      </c>
      <c r="AH110" s="43">
        <f>LN('2.ΤΙΜΕΣ ΚΛΕΙΣΙΜΑΤΟΣ'!AH111/'2.ΤΙΜΕΣ ΚΛΕΙΣΙΜΑΤΟΣ'!AH110)</f>
        <v>-7.7973104600317297E-3</v>
      </c>
      <c r="AI110" s="43">
        <f>LN('2.ΤΙΜΕΣ ΚΛΕΙΣΙΜΑΤΟΣ'!AI111/'2.ΤΙΜΕΣ ΚΛΕΙΣΙΜΑΤΟΣ'!AI110)</f>
        <v>8.0972102326193028E-3</v>
      </c>
      <c r="AJ110" s="43">
        <f>LN('2.ΤΙΜΕΣ ΚΛΕΙΣΙΜΑΤΟΣ'!AJ111/'2.ΤΙΜΕΣ ΚΛΕΙΣΙΜΑΤΟΣ'!AJ110)</f>
        <v>1.1650617219975274E-2</v>
      </c>
      <c r="AK110" s="43">
        <f>LN('2.ΤΙΜΕΣ ΚΛΕΙΣΙΜΑΤΟΣ'!AK111/'2.ΤΙΜΕΣ ΚΛΕΙΣΙΜΑΤΟΣ'!AK110)</f>
        <v>4.7058910374124926E-3</v>
      </c>
      <c r="AL110" s="43">
        <f>LN('2.ΤΙΜΕΣ ΚΛΕΙΣΙΜΑΤΟΣ'!AL111/'2.ΤΙΜΕΣ ΚΛΕΙΣΙΜΑΤΟΣ'!AL110)</f>
        <v>2.1053409197832263E-2</v>
      </c>
      <c r="AM110" s="43">
        <f>LN('2.ΤΙΜΕΣ ΚΛΕΙΣΙΜΑΤΟΣ'!AM111/'2.ΤΙΜΕΣ ΚΛΕΙΣΙΜΑΤΟΣ'!AM110)</f>
        <v>1.4815085785140682E-2</v>
      </c>
      <c r="AN110" s="43">
        <f>LN('2.ΤΙΜΕΣ ΚΛΕΙΣΙΜΑΤΟΣ'!AN111/'2.ΤΙΜΕΣ ΚΛΕΙΣΙΜΑΤΟΣ'!AN110)</f>
        <v>-2.6668247082161294E-2</v>
      </c>
      <c r="AO110" s="43">
        <f>LN('2.ΤΙΜΕΣ ΚΛΕΙΣΙΜΑΤΟΣ'!AO111/'2.ΤΙΜΕΣ ΚΛΕΙΣΙΜΑΤΟΣ'!AO110)</f>
        <v>5.2770571008438193E-3</v>
      </c>
      <c r="AP110" s="43">
        <f>LN('2.ΤΙΜΕΣ ΚΛΕΙΣΙΜΑΤΟΣ'!AP111/'2.ΤΙΜΕΣ ΚΛΕΙΣΙΜΑΤΟΣ'!AP110)</f>
        <v>1.1947573421117982E-2</v>
      </c>
      <c r="AQ110" s="43">
        <f>LN('2.ΤΙΜΕΣ ΚΛΕΙΣΙΜΑΤΟΣ'!AQ111/'2.ΤΙΜΕΣ ΚΛΕΙΣΙΜΑΤΟΣ'!AQ110)</f>
        <v>5.3143433675711983E-2</v>
      </c>
      <c r="AR110" s="43">
        <f>LN('2.ΤΙΜΕΣ ΚΛΕΙΣΙΜΑΤΟΣ'!AR111/'2.ΤΙΜΕΣ ΚΛΕΙΣΙΜΑΤΟΣ'!AR110)</f>
        <v>7.4847890796432476E-2</v>
      </c>
      <c r="AS110" s="43">
        <f>LN('2.ΤΙΜΕΣ ΚΛΕΙΣΙΜΑΤΟΣ'!AS111/'2.ΤΙΜΕΣ ΚΛΕΙΣΙΜΑΤΟΣ'!AS110)</f>
        <v>1.4320053774748471E-2</v>
      </c>
      <c r="AT110" s="43">
        <f>LN('2.ΤΙΜΕΣ ΚΛΕΙΣΙΜΑΤΟΣ'!AT111/'2.ΤΙΜΕΣ ΚΛΕΙΣΙΜΑΤΟΣ'!AT110)</f>
        <v>1.8614808442232011E-2</v>
      </c>
      <c r="AU110" s="43">
        <f>LN('2.ΤΙΜΕΣ ΚΛΕΙΣΙΜΑΤΟΣ'!AU111/'2.ΤΙΜΕΣ ΚΛΕΙΣΙΜΑΤΟΣ'!AU110)</f>
        <v>2.3330709554834642E-2</v>
      </c>
    </row>
    <row r="111" spans="1:47">
      <c r="A111" s="41">
        <v>43714</v>
      </c>
      <c r="B111" s="43">
        <f>LN('2.ΤΙΜΕΣ ΚΛΕΙΣΙΜΑΤΟΣ'!B112/'2.ΤΙΜΕΣ ΚΛΕΙΣΙΜΑΤΟΣ'!B111)</f>
        <v>-5.0923089037126579E-3</v>
      </c>
      <c r="C111" s="43">
        <f>LN('2.ΤΙΜΕΣ ΚΛΕΙΣΙΜΑΤΟΣ'!C112/'2.ΤΙΜΕΣ ΚΛΕΙΣΙΜΑΤΟΣ'!C111)</f>
        <v>-8.8817701347804218E-3</v>
      </c>
      <c r="D111" s="43">
        <f>LN('2.ΤΙΜΕΣ ΚΛΕΙΣΙΜΑΤΟΣ'!D112/'2.ΤΙΜΕΣ ΚΛΕΙΣΙΜΑΤΟΣ'!D111)</f>
        <v>6.1087544883211909E-3</v>
      </c>
      <c r="E111" s="43">
        <f>LN('2.ΤΙΜΕΣ ΚΛΕΙΣΙΜΑΤΟΣ'!E112/'2.ΤΙΜΕΣ ΚΛΕΙΣΙΜΑΤΟΣ'!E111)</f>
        <v>-8.9579577820992212E-3</v>
      </c>
      <c r="F111" s="43">
        <f>LN('2.ΤΙΜΕΣ ΚΛΕΙΣΙΜΑΤΟΣ'!F112/'2.ΤΙΜΕΣ ΚΛΕΙΣΙΜΑΤΟΣ'!F111)</f>
        <v>-5.4496047675645911E-3</v>
      </c>
      <c r="G111" s="43">
        <f>LN('2.ΤΙΜΕΣ ΚΛΕΙΣΙΜΑΤΟΣ'!G112/'2.ΤΙΜΕΣ ΚΛΕΙΣΙΜΑΤΟΣ'!G111)</f>
        <v>1.1049836186584935E-2</v>
      </c>
      <c r="H111" s="43">
        <f>LN('2.ΤΙΜΕΣ ΚΛΕΙΣΙΜΑΤΟΣ'!H112/'2.ΤΙΜΕΣ ΚΛΕΙΣΙΜΑΤΟΣ'!H111)</f>
        <v>-1.9896440326878585E-2</v>
      </c>
      <c r="I111" s="43">
        <f>LN('2.ΤΙΜΕΣ ΚΛΕΙΣΙΜΑΤΟΣ'!I112/'2.ΤΙΜΕΣ ΚΛΕΙΣΙΜΑΤΟΣ'!I111)</f>
        <v>-1.1589028758790955E-2</v>
      </c>
      <c r="J111" s="43">
        <f>LN('2.ΤΙΜΕΣ ΚΛΕΙΣΙΜΑΤΟΣ'!J112/'2.ΤΙΜΕΣ ΚΛΕΙΣΙΜΑΤΟΣ'!J111)</f>
        <v>-1.883294833309224E-2</v>
      </c>
      <c r="K111" s="43">
        <f>LN('2.ΤΙΜΕΣ ΚΛΕΙΣΙΜΑΤΟΣ'!K112/'2.ΤΙΜΕΣ ΚΛΕΙΣΙΜΑΤΟΣ'!K111)</f>
        <v>-4.3146239168855294E-3</v>
      </c>
      <c r="L111" s="43">
        <f>LN('2.ΤΙΜΕΣ ΚΛΕΙΣΙΜΑΤΟΣ'!L112/'2.ΤΙΜΕΣ ΚΛΕΙΣΙΜΑΤΟΣ'!L111)</f>
        <v>-2.1804629966852711E-2</v>
      </c>
      <c r="M111" s="43">
        <f>LN('2.ΤΙΜΕΣ ΚΛΕΙΣΙΜΑΤΟΣ'!M112/'2.ΤΙΜΕΣ ΚΛΕΙΣΙΜΑΤΟΣ'!M111)</f>
        <v>3.2520353863773159E-3</v>
      </c>
      <c r="N111" s="43">
        <f>LN('2.ΤΙΜΕΣ ΚΛΕΙΣΙΜΑΤΟΣ'!N112/'2.ΤΙΜΕΣ ΚΛΕΙΣΙΜΑΤΟΣ'!N111)</f>
        <v>2.6305420929789787E-3</v>
      </c>
      <c r="O111" s="43">
        <f>LN('2.ΤΙΜΕΣ ΚΛΕΙΣΙΜΑΤΟΣ'!O112/'2.ΤΙΜΕΣ ΚΛΕΙΣΙΜΑΤΟΣ'!O111)</f>
        <v>2.5608208616736505E-3</v>
      </c>
      <c r="P111" s="43">
        <f>LN('2.ΤΙΜΕΣ ΚΛΕΙΣΙΜΑΤΟΣ'!P112/'2.ΤΙΜΕΣ ΚΛΕΙΣΙΜΑΤΟΣ'!P111)</f>
        <v>-6.359321908292504E-3</v>
      </c>
      <c r="Q111" s="43">
        <f>LN('2.ΤΙΜΕΣ ΚΛΕΙΣΙΜΑΤΟΣ'!Q112/'2.ΤΙΜΕΣ ΚΛΕΙΣΙΜΑΤΟΣ'!Q111)</f>
        <v>-1.6529301951210471E-2</v>
      </c>
      <c r="R111" s="43">
        <f>LN('2.ΤΙΜΕΣ ΚΛΕΙΣΙΜΑΤΟΣ'!R112/'2.ΤΙΜΕΣ ΚΛΕΙΣΙΜΑΤΟΣ'!R111)</f>
        <v>0</v>
      </c>
      <c r="S111" s="43">
        <f>LN('2.ΤΙΜΕΣ ΚΛΕΙΣΙΜΑΤΟΣ'!S112/'2.ΤΙΜΕΣ ΚΛΕΙΣΙΜΑΤΟΣ'!S111)</f>
        <v>0</v>
      </c>
      <c r="T111" s="43">
        <f>LN('2.ΤΙΜΕΣ ΚΛΕΙΣΙΜΑΤΟΣ'!T112/'2.ΤΙΜΕΣ ΚΛΕΙΣΙΜΑΤΟΣ'!T111)</f>
        <v>-2.4067400305649764E-3</v>
      </c>
      <c r="U111" s="43">
        <f>LN('2.ΤΙΜΕΣ ΚΛΕΙΣΙΜΑΤΟΣ'!U112/'2.ΤΙΜΕΣ ΚΛΕΙΣΙΜΑΤΟΣ'!U111)</f>
        <v>4.5146803545268342E-3</v>
      </c>
      <c r="V111" s="43">
        <f>LN('2.ΤΙΜΕΣ ΚΛΕΙΣΙΜΑΤΟΣ'!V112/'2.ΤΙΜΕΣ ΚΛΕΙΣΙΜΑΤΟΣ'!V111)</f>
        <v>2.1208915691376296E-3</v>
      </c>
      <c r="W111" s="43">
        <f>LN('2.ΤΙΜΕΣ ΚΛΕΙΣΙΜΑΤΟΣ'!W112/'2.ΤΙΜΕΣ ΚΛΕΙΣΙΜΑΤΟΣ'!W111)</f>
        <v>-6.3492276786588919E-3</v>
      </c>
      <c r="X111" s="43">
        <f>LN('2.ΤΙΜΕΣ ΚΛΕΙΣΙΜΑΤΟΣ'!X112/'2.ΤΙΜΕΣ ΚΛΕΙΣΙΜΑΤΟΣ'!X111)</f>
        <v>-1.5253214016138616E-2</v>
      </c>
      <c r="Y111" s="43">
        <f>LN('2.ΤΙΜΕΣ ΚΛΕΙΣΙΜΑΤΟΣ'!Y112/'2.ΤΙΜΕΣ ΚΛΕΙΣΙΜΑΤΟΣ'!Y111)</f>
        <v>-4.1580101486637881E-3</v>
      </c>
      <c r="Z111" s="43">
        <f>LN('2.ΤΙΜΕΣ ΚΛΕΙΣΙΜΑΤΟΣ'!Z112/'2.ΤΙΜΕΣ ΚΛΕΙΣΙΜΑΤΟΣ'!Z111)</f>
        <v>0</v>
      </c>
      <c r="AA111" s="43">
        <f>LN('2.ΤΙΜΕΣ ΚΛΕΙΣΙΜΑΤΟΣ'!AA112/'2.ΤΙΜΕΣ ΚΛΕΙΣΙΜΑΤΟΣ'!AA111)</f>
        <v>3.4542348680873824E-3</v>
      </c>
      <c r="AB111" s="43">
        <f>LN('2.ΤΙΜΕΣ ΚΛΕΙΣΙΜΑΤΟΣ'!AB112/'2.ΤΙΜΕΣ ΚΛΕΙΣΙΜΑΤΟΣ'!AB111)</f>
        <v>-5.6444176196770697E-3</v>
      </c>
      <c r="AC111" s="43">
        <f>LN('2.ΤΙΜΕΣ ΚΛΕΙΣΙΜΑΤΟΣ'!AC112/'2.ΤΙΜΕΣ ΚΛΕΙΣΙΜΑΤΟΣ'!AC111)</f>
        <v>0</v>
      </c>
      <c r="AD111" s="43">
        <f>LN('2.ΤΙΜΕΣ ΚΛΕΙΣΙΜΑΤΟΣ'!AD112/'2.ΤΙΜΕΣ ΚΛΕΙΣΙΜΑΤΟΣ'!AD111)</f>
        <v>-2.263180046019744E-2</v>
      </c>
      <c r="AE111" s="43">
        <f>LN('2.ΤΙΜΕΣ ΚΛΕΙΣΙΜΑΤΟΣ'!AE112/'2.ΤΙΜΕΣ ΚΛΕΙΣΙΜΑΤΟΣ'!AE111)</f>
        <v>1.9048194970694411E-2</v>
      </c>
      <c r="AF111" s="43">
        <f>LN('2.ΤΙΜΕΣ ΚΛΕΙΣΙΜΑΤΟΣ'!AF112/'2.ΤΙΜΕΣ ΚΛΕΙΣΙΜΑΤΟΣ'!AF111)</f>
        <v>0</v>
      </c>
      <c r="AG111" s="43">
        <f>LN('2.ΤΙΜΕΣ ΚΛΕΙΣΙΜΑΤΟΣ'!AG112/'2.ΤΙΜΕΣ ΚΛΕΙΣΙΜΑΤΟΣ'!AG111)</f>
        <v>-2.3888215174695492E-2</v>
      </c>
      <c r="AH111" s="43">
        <f>LN('2.ΤΙΜΕΣ ΚΛΕΙΣΙΜΑΤΟΣ'!AH112/'2.ΤΙΜΕΣ ΚΛΕΙΣΙΜΑΤΟΣ'!AH111)</f>
        <v>-1.1811160928344609E-2</v>
      </c>
      <c r="AI111" s="43">
        <f>LN('2.ΤΙΜΕΣ ΚΛΕΙΣΙΜΑΤΟΣ'!AI112/'2.ΤΙΜΕΣ ΚΛΕΙΣΙΜΑΤΟΣ'!AI111)</f>
        <v>-1.6260520871780405E-2</v>
      </c>
      <c r="AJ111" s="43">
        <f>LN('2.ΤΙΜΕΣ ΚΛΕΙΣΙΜΑΤΟΣ'!AJ112/'2.ΤΙΜΕΣ ΚΛΕΙΣΙΜΑΤΟΣ'!AJ111)</f>
        <v>-2.3438572972017582E-2</v>
      </c>
      <c r="AK111" s="43">
        <f>LN('2.ΤΙΜΕΣ ΚΛΕΙΣΙΜΑΤΟΣ'!AK112/'2.ΤΙΜΕΣ ΚΛΕΙΣΙΜΑΤΟΣ'!AK111)</f>
        <v>-4.7058910374125048E-3</v>
      </c>
      <c r="AL111" s="43">
        <f>LN('2.ΤΙΜΕΣ ΚΛΕΙΣΙΜΑΤΟΣ'!AL112/'2.ΤΙΜΕΣ ΚΛΕΙΣΙΜΑΤΟΣ'!AL111)</f>
        <v>2.061928720273561E-2</v>
      </c>
      <c r="AM111" s="43">
        <f>LN('2.ΤΙΜΕΣ ΚΛΕΙΣΙΜΑΤΟΣ'!AM112/'2.ΤΙΜΕΣ ΚΛΕΙΣΙΜΑΤΟΣ'!AM111)</f>
        <v>4.8899852941917702E-3</v>
      </c>
      <c r="AN111" s="43">
        <f>LN('2.ΤΙΜΕΣ ΚΛΕΙΣΙΜΑΤΟΣ'!AN112/'2.ΤΙΜΕΣ ΚΛΕΙΣΙΜΑΤΟΣ'!AN111)</f>
        <v>-2.3134575401656969E-2</v>
      </c>
      <c r="AO111" s="43">
        <f>LN('2.ΤΙΜΕΣ ΚΛΕΙΣΙΜΑΤΟΣ'!AO112/'2.ΤΙΜΕΣ ΚΛΕΙΣΙΜΑΤΟΣ'!AO111)</f>
        <v>-1.0582109330536972E-2</v>
      </c>
      <c r="AP111" s="43">
        <f>LN('2.ΤΙΜΕΣ ΚΛΕΙΣΙΜΑΤΟΣ'!AP112/'2.ΤΙΜΕΣ ΚΛΕΙΣΙΜΑΤΟΣ'!AP111)</f>
        <v>0</v>
      </c>
      <c r="AQ111" s="43">
        <f>LN('2.ΤΙΜΕΣ ΚΛΕΙΣΙΜΑΤΟΣ'!AQ112/'2.ΤΙΜΕΣ ΚΛΕΙΣΙΜΑΤΟΣ'!AQ111)</f>
        <v>-1.4897854680636946E-2</v>
      </c>
      <c r="AR111" s="43">
        <f>LN('2.ΤΙΜΕΣ ΚΛΕΙΣΙΜΑΤΟΣ'!AR112/'2.ΤΙΜΕΣ ΚΛΕΙΣΙΜΑΤΟΣ'!AR111)</f>
        <v>-1.2903404835907954E-2</v>
      </c>
      <c r="AS111" s="43">
        <f>LN('2.ΤΙΜΕΣ ΚΛΕΙΣΙΜΑΤΟΣ'!AS112/'2.ΤΙΜΕΣ ΚΛΕΙΣΙΜΑΤΟΣ'!AS111)</f>
        <v>-9.5238815112554786E-3</v>
      </c>
      <c r="AT111" s="43">
        <f>LN('2.ΤΙΜΕΣ ΚΛΕΙΣΙΜΑΤΟΣ'!AT112/'2.ΤΙΜΕΣ ΚΛΕΙΣΙΜΑΤΟΣ'!AT111)</f>
        <v>-1.6529301951210582E-2</v>
      </c>
      <c r="AU111" s="43">
        <f>LN('2.ΤΙΜΕΣ ΚΛΕΙΣΙΜΑΤΟΣ'!AU112/'2.ΤΙΜΕΣ ΚΛΕΙΣΙΜΑΤΟΣ'!AU111)</f>
        <v>-6.0434924170180556E-3</v>
      </c>
    </row>
    <row r="112" spans="1:47">
      <c r="A112" s="41">
        <v>43717</v>
      </c>
      <c r="B112" s="43">
        <f>LN('2.ΤΙΜΕΣ ΚΛΕΙΣΙΜΑΤΟΣ'!B113/'2.ΤΙΜΕΣ ΚΛΕΙΣΙΜΑΤΟΣ'!B112)</f>
        <v>-2.5530551310270416E-2</v>
      </c>
      <c r="C112" s="43">
        <f>LN('2.ΤΙΜΕΣ ΚΛΕΙΣΙΜΑΤΟΣ'!C113/'2.ΤΙΜΕΣ ΚΛΕΙΣΙΜΑΤΟΣ'!C112)</f>
        <v>-4.8780584534328549E-3</v>
      </c>
      <c r="D112" s="43">
        <f>LN('2.ΤΙΜΕΣ ΚΛΕΙΣΙΜΑΤΟΣ'!D113/'2.ΤΙΜΕΣ ΚΛΕΙΣΙΜΑΤΟΣ'!D112)</f>
        <v>1.4200225532549149E-3</v>
      </c>
      <c r="E112" s="43">
        <f>LN('2.ΤΙΜΕΣ ΚΛΕΙΣΙΜΑΤΟΣ'!E113/'2.ΤΙΜΕΣ ΚΛΕΙΣΙΜΑΤΟΣ'!E112)</f>
        <v>1.1333255811006537E-2</v>
      </c>
      <c r="F112" s="43">
        <f>LN('2.ΤΙΜΕΣ ΚΛΕΙΣΙΜΑΤΟΣ'!F113/'2.ΤΙΜΕΣ ΚΛΕΙΣΙΜΑΤΟΣ'!F112)</f>
        <v>-4.3811680155630877E-3</v>
      </c>
      <c r="G112" s="43">
        <f>LN('2.ΤΙΜΕΣ ΚΛΕΙΣΙΜΑΤΟΣ'!G113/'2.ΤΙΜΕΣ ΚΛΕΙΣΙΜΑΤΟΣ'!G112)</f>
        <v>-1.6000341346440964E-2</v>
      </c>
      <c r="H112" s="43">
        <f>LN('2.ΤΙΜΕΣ ΚΛΕΙΣΙΜΑΤΟΣ'!H113/'2.ΤΙΜΕΣ ΚΛΕΙΣΙΜΑΤΟΣ'!H112)</f>
        <v>7.6263477350642069E-3</v>
      </c>
      <c r="I112" s="43">
        <f>LN('2.ΤΙΜΕΣ ΚΛΕΙΣΙΜΑΤΟΣ'!I113/'2.ΤΙΜΕΣ ΚΛΕΙΣΙΜΑΤΟΣ'!I112)</f>
        <v>-1.4210928063295349E-2</v>
      </c>
      <c r="J112" s="43">
        <f>LN('2.ΤΙΜΕΣ ΚΛΕΙΣΙΜΑΤΟΣ'!J113/'2.ΤΙΜΕΣ ΚΛΕΙΣΙΜΑΤΟΣ'!J112)</f>
        <v>-3.4819765159227925E-2</v>
      </c>
      <c r="K112" s="43">
        <f>LN('2.ΤΙΜΕΣ ΚΛΕΙΣΙΜΑΤΟΣ'!K113/'2.ΤΙΜΕΣ ΚΛΕΙΣΙΜΑΤΟΣ'!K112)</f>
        <v>-3.0132766156024126E-2</v>
      </c>
      <c r="L112" s="43">
        <f>LN('2.ΤΙΜΕΣ ΚΛΕΙΣΙΜΑΤΟΣ'!L113/'2.ΤΙΜΕΣ ΚΛΕΙΣΙΜΑΤΟΣ'!L112)</f>
        <v>-7.0387419814760474E-3</v>
      </c>
      <c r="M112" s="43">
        <f>LN('2.ΤΙΜΕΣ ΚΛΕΙΣΙΜΑΤΟΣ'!M113/'2.ΤΙΜΕΣ ΚΛΕΙΣΙΜΑΤΟΣ'!M112)</f>
        <v>-2.166848085090314E-3</v>
      </c>
      <c r="N112" s="43">
        <f>LN('2.ΤΙΜΕΣ ΚΛΕΙΣΙΜΑΤΟΣ'!N113/'2.ΤΙΜΕΣ ΚΛΕΙΣΙΜΑΤΟΣ'!N112)</f>
        <v>-1.9497931831683503E-2</v>
      </c>
      <c r="O112" s="43">
        <f>LN('2.ΤΙΜΕΣ ΚΛΕΙΣΙΜΑΤΟΣ'!O113/'2.ΤΙΜΕΣ ΚΛΕΙΣΙΜΑΤΟΣ'!O112)</f>
        <v>-3.843694674562827E-3</v>
      </c>
      <c r="P112" s="43">
        <f>LN('2.ΤΙΜΕΣ ΚΛΕΙΣΙΜΑΤΟΣ'!P113/'2.ΤΙΜΕΣ ΚΛΕΙΣΙΜΑΤΟΣ'!P112)</f>
        <v>-4.7961722634929441E-3</v>
      </c>
      <c r="Q112" s="43">
        <f>LN('2.ΤΙΜΕΣ ΚΛΕΙΣΙΜΑΤΟΣ'!Q113/'2.ΤΙΜΕΣ ΚΛΕΙΣΙΜΑΤΟΣ'!Q112)</f>
        <v>-1.6807118316381174E-2</v>
      </c>
      <c r="R112" s="43">
        <f>LN('2.ΤΙΜΕΣ ΚΛΕΙΣΙΜΑΤΟΣ'!R113/'2.ΤΙΜΕΣ ΚΛΕΙΣΙΜΑΤΟΣ'!R112)</f>
        <v>-5.3704178971861097E-2</v>
      </c>
      <c r="S112" s="43">
        <f>LN('2.ΤΙΜΕΣ ΚΛΕΙΣΙΜΑΤΟΣ'!S113/'2.ΤΙΜΕΣ ΚΛΕΙΣΙΜΑΤΟΣ'!S112)</f>
        <v>-3.6192128593416681E-2</v>
      </c>
      <c r="T112" s="43">
        <f>LN('2.ΤΙΜΕΣ ΚΛΕΙΣΙΜΑΤΟΣ'!T113/'2.ΤΙΜΕΣ ΚΛΕΙΣΙΜΑΤΟΣ'!T112)</f>
        <v>-2.0694591242832981E-2</v>
      </c>
      <c r="U112" s="43">
        <f>LN('2.ΤΙΜΕΣ ΚΛΕΙΣΙΜΑΤΟΣ'!U113/'2.ΤΙΜΕΣ ΚΛΕΙΣΙΜΑΤΟΣ'!U112)</f>
        <v>-1.8182319083190474E-2</v>
      </c>
      <c r="V112" s="43">
        <f>LN('2.ΤΙΜΕΣ ΚΛΕΙΣΙΜΑΤΟΣ'!V113/'2.ΤΙΜΕΣ ΚΛΕΙΣΙΜΑΤΟΣ'!V112)</f>
        <v>-1.0649727916658039E-2</v>
      </c>
      <c r="W112" s="43">
        <f>LN('2.ΤΙΜΕΣ ΚΛΕΙΣΙΜΑΤΟΣ'!W113/'2.ΤΙΜΕΣ ΚΛΕΙΣΙΜΑΤΟΣ'!W112)</f>
        <v>-1.1531197599189679E-2</v>
      </c>
      <c r="X112" s="43">
        <f>LN('2.ΤΙΜΕΣ ΚΛΕΙΣΙΜΑΤΟΣ'!X113/'2.ΤΙΜΕΣ ΚΛΕΙΣΙΜΑΤΟΣ'!X112)</f>
        <v>1.2314082810691929E-2</v>
      </c>
      <c r="Y112" s="43">
        <f>LN('2.ΤΙΜΕΣ ΚΛΕΙΣΙΜΑΤΟΣ'!Y113/'2.ΤΙΜΕΣ ΚΛΕΙΣΙΜΑΤΟΣ'!Y112)</f>
        <v>-1.6807118316381289E-2</v>
      </c>
      <c r="Z112" s="43">
        <f>LN('2.ΤΙΜΕΣ ΚΛΕΙΣΙΜΑΤΟΣ'!Z113/'2.ΤΙΜΕΣ ΚΛΕΙΣΙΜΑΤΟΣ'!Z112)</f>
        <v>-1.0256500167188997E-2</v>
      </c>
      <c r="AA112" s="43">
        <f>LN('2.ΤΙΜΕΣ ΚΛΕΙΣΙΜΑΤΟΣ'!AA113/'2.ΤΙΜΕΣ ΚΛΕΙΣΙΜΑΤΟΣ'!AA112)</f>
        <v>0</v>
      </c>
      <c r="AB112" s="43">
        <f>LN('2.ΤΙΜΕΣ ΚΛΕΙΣΙΜΑΤΟΣ'!AB113/'2.ΤΙΜΕΣ ΚΛΕΙΣΙΜΑΤΟΣ'!AB112)</f>
        <v>-1.5209418663528795E-2</v>
      </c>
      <c r="AC112" s="43">
        <f>LN('2.ΤΙΜΕΣ ΚΛΕΙΣΙΜΑΤΟΣ'!AC113/'2.ΤΙΜΕΣ ΚΛΕΙΣΙΜΑΤΟΣ'!AC112)</f>
        <v>2.7548226788446837E-3</v>
      </c>
      <c r="AD112" s="43">
        <f>LN('2.ΤΙΜΕΣ ΚΛΕΙΣΙΜΑΤΟΣ'!AD113/'2.ΤΙΜΕΣ ΚΛΕΙΣΙΜΑΤΟΣ'!AD112)</f>
        <v>-2.0231903971584777E-2</v>
      </c>
      <c r="AE112" s="43">
        <f>LN('2.ΤΙΜΕΣ ΚΛΕΙΣΙΜΑΤΟΣ'!AE113/'2.ΤΙΜΕΣ ΚΛΕΙΣΙΜΑΤΟΣ'!AE112)</f>
        <v>-1.1385322225125241E-2</v>
      </c>
      <c r="AF112" s="43">
        <f>LN('2.ΤΙΜΕΣ ΚΛΕΙΣΙΜΑΤΟΣ'!AF113/'2.ΤΙΜΕΣ ΚΛΕΙΣΙΜΑΤΟΣ'!AF112)</f>
        <v>-1.8391322971423544E-2</v>
      </c>
      <c r="AG112" s="43">
        <f>LN('2.ΤΙΜΕΣ ΚΛΕΙΣΙΜΑΤΟΣ'!AG113/'2.ΤΙΜΕΣ ΚΛΕΙΣΙΜΑΤΟΣ'!AG112)</f>
        <v>-4.036422385536035E-2</v>
      </c>
      <c r="AH112" s="43">
        <f>LN('2.ΤΙΜΕΣ ΚΛΕΙΣΙΜΑΤΟΣ'!AH113/'2.ΤΙΜΕΣ ΚΛΕΙΣΙΜΑΤΟΣ'!AH112)</f>
        <v>1.9782400121057205E-3</v>
      </c>
      <c r="AI112" s="43">
        <f>LN('2.ΤΙΜΕΣ ΚΛΕΙΣΙΜΑΤΟΣ'!AI113/'2.ΤΙΜΕΣ ΚΛΕΙΣΙΜΑΤΟΣ'!AI112)</f>
        <v>1.6260520871780326E-2</v>
      </c>
      <c r="AJ112" s="43">
        <f>LN('2.ΤΙΜΕΣ ΚΛΕΙΣΙΜΑΤΟΣ'!AJ113/'2.ΤΙΜΕΣ ΚΛΕΙΣΙΜΑΤΟΣ'!AJ112)</f>
        <v>-1.5936592262812414E-2</v>
      </c>
      <c r="AK112" s="43">
        <f>LN('2.ΤΙΜΕΣ ΚΛΕΙΣΙΜΑΤΟΣ'!AK113/'2.ΤΙΜΕΣ ΚΛΕΙΣΙΜΑΤΟΣ'!AK112)</f>
        <v>-4.728141195946012E-3</v>
      </c>
      <c r="AL112" s="43">
        <f>LN('2.ΤΙΜΕΣ ΚΛΕΙΣΙΜΑΤΟΣ'!AL113/'2.ΤΙΜΕΣ ΚΛΕΙΣΙΜΑΤΟΣ'!AL112)</f>
        <v>-4.8790164169431827E-2</v>
      </c>
      <c r="AM112" s="43">
        <f>LN('2.ΤΙΜΕΣ ΚΛΕΙΣΙΜΑΤΟΣ'!AM113/'2.ΤΙΜΕΣ ΚΛΕΙΣΙΜΑΤΟΣ'!AM112)</f>
        <v>-2.4420036555517443E-3</v>
      </c>
      <c r="AN112" s="43">
        <f>LN('2.ΤΙΜΕΣ ΚΛΕΙΣΙΜΑΤΟΣ'!AN113/'2.ΤΙΜΕΣ ΚΛΕΙΣΙΜΑΤΟΣ'!AN112)</f>
        <v>-6.5957967791797398E-2</v>
      </c>
      <c r="AO112" s="43">
        <f>LN('2.ΤΙΜΕΣ ΚΛΕΙΣΙΜΑΤΟΣ'!AO113/'2.ΤΙΜΕΣ ΚΛΕΙΣΙΜΑΤΟΣ'!AO112)</f>
        <v>-1.8792499349367286E-2</v>
      </c>
      <c r="AP112" s="43">
        <f>LN('2.ΤΙΜΕΣ ΚΛΕΙΣΙΜΑΤΟΣ'!AP113/'2.ΤΙΜΕΣ ΚΛΕΙΣΙΜΑΤΟΣ'!AP112)</f>
        <v>-2.1609484332854988E-2</v>
      </c>
      <c r="AQ112" s="43">
        <f>LN('2.ΤΙΜΕΣ ΚΛΕΙΣΙΜΑΤΟΣ'!AQ113/'2.ΤΙΜΕΣ ΚΛΕΙΣΙΜΑΤΟΣ'!AQ112)</f>
        <v>-4.4110698447473076E-2</v>
      </c>
      <c r="AR112" s="43">
        <f>LN('2.ΤΙΜΕΣ ΚΛΕΙΣΙΜΑΤΟΣ'!AR113/'2.ΤΙΜΕΣ ΚΛΕΙΣΙΜΑΤΟΣ'!AR112)</f>
        <v>-3.2520353863773432E-3</v>
      </c>
      <c r="AS112" s="43">
        <f>LN('2.ΤΙΜΕΣ ΚΛΕΙΣΙΜΑΤΟΣ'!AS113/'2.ΤΙΜΕΣ ΚΛΕΙΣΙΜΑΤΟΣ'!AS112)</f>
        <v>-2.4214258120594512E-2</v>
      </c>
      <c r="AT112" s="43">
        <f>LN('2.ΤΙΜΕΣ ΚΛΕΙΣΙΜΑΤΟΣ'!AT113/'2.ΤΙΜΕΣ ΚΛΕΙΣΙΜΑΤΟΣ'!AT112)</f>
        <v>-2.1053409197832381E-2</v>
      </c>
      <c r="AU112" s="43">
        <f>LN('2.ΤΙΜΕΣ ΚΛΕΙΣΙΜΑΤΟΣ'!AU113/'2.ΤΙΜΕΣ ΚΛΕΙΣΙΜΑΤΟΣ'!AU112)</f>
        <v>-1.2244247914630751E-2</v>
      </c>
    </row>
    <row r="113" spans="1:47">
      <c r="A113" s="41">
        <v>43718</v>
      </c>
      <c r="B113" s="43">
        <f>LN('2.ΤΙΜΕΣ ΚΛΕΙΣΙΜΑΤΟΣ'!B114/'2.ΤΙΜΕΣ ΚΛΕΙΣΙΜΑΤΟΣ'!B113)</f>
        <v>-2.3850087090947301E-2</v>
      </c>
      <c r="C113" s="43">
        <f>LN('2.ΤΙΜΕΣ ΚΛΕΙΣΙΜΑΤΟΣ'!C114/'2.ΤΙΜΕΣ ΚΛΕΙΣΙΜΑΤΟΣ'!C113)</f>
        <v>-1.6313217320840852E-3</v>
      </c>
      <c r="D113" s="43">
        <f>LN('2.ΤΙΜΕΣ ΚΛΕΙΣΙΜΑΤΟΣ'!D114/'2.ΤΙΜΕΣ ΚΛΕΙΣΙΜΑΤΟΣ'!D113)</f>
        <v>-7.5287770415761865E-3</v>
      </c>
      <c r="E113" s="43">
        <f>LN('2.ΤΙΜΕΣ ΚΛΕΙΣΙΜΑΤΟΣ'!E114/'2.ΤΙΜΕΣ ΚΛΕΙΣΙΜΑΤΟΣ'!E113)</f>
        <v>-1.253373614725658E-2</v>
      </c>
      <c r="F113" s="43">
        <f>LN('2.ΤΙΜΕΣ ΚΛΕΙΣΙΜΑΤΟΣ'!F114/'2.ΤΙΜΕΣ ΚΛΕΙΣΙΜΑΤΟΣ'!F113)</f>
        <v>-1.6602484285027728E-2</v>
      </c>
      <c r="G113" s="43">
        <f>LN('2.ΤΙΜΕΣ ΚΛΕΙΣΙΜΑΤΟΣ'!G114/'2.ΤΙΜΕΣ ΚΛΕΙΣΙΜΑΤΟΣ'!G113)</f>
        <v>-7.4720148387009541E-3</v>
      </c>
      <c r="H113" s="43">
        <f>LN('2.ΤΙΜΕΣ ΚΛΕΙΣΙΜΑΤΟΣ'!H114/'2.ΤΙΜΕΣ ΚΛΕΙΣΙΜΑΤΟΣ'!H113)</f>
        <v>-6.6698675091071058E-3</v>
      </c>
      <c r="I113" s="43">
        <f>LN('2.ΤΙΜΕΣ ΚΛΕΙΣΙΜΑΤΟΣ'!I114/'2.ΤΙΜΕΣ ΚΛΕΙΣΙΜΑΤΟΣ'!I113)</f>
        <v>1.3597242864532457E-2</v>
      </c>
      <c r="J113" s="43">
        <f>LN('2.ΤΙΜΕΣ ΚΛΕΙΣΙΜΑΤΟΣ'!J114/'2.ΤΙΜΕΣ ΚΛΕΙΣΙΜΑΤΟΣ'!J113)</f>
        <v>-3.9447782910164517E-3</v>
      </c>
      <c r="K113" s="43">
        <f>LN('2.ΤΙΜΕΣ ΚΛΕΙΣΙΜΑΤΟΣ'!K114/'2.ΤΙΜΕΣ ΚΛΕΙΣΙΜΑΤΟΣ'!K113)</f>
        <v>-9.2688063530316542E-2</v>
      </c>
      <c r="L113" s="43">
        <f>LN('2.ΤΙΜΕΣ ΚΛΕΙΣΙΜΑΤΟΣ'!L114/'2.ΤΙΜΕΣ ΚΛΕΙΣΙΜΑΤΟΣ'!L113)</f>
        <v>-2.5258917193164772E-3</v>
      </c>
      <c r="M113" s="43">
        <f>LN('2.ΤΙΜΕΣ ΚΛΕΙΣΙΜΑΤΟΣ'!M114/'2.ΤΙΜΕΣ ΚΛΕΙΣΙΜΑΤΟΣ'!M113)</f>
        <v>-1.3100624045698206E-2</v>
      </c>
      <c r="N113" s="43">
        <f>LN('2.ΤΙΜΕΣ ΚΛΕΙΣΙΜΑΤΟΣ'!N114/'2.ΤΙΜΕΣ ΚΛΕΙΣΙΜΑΤΟΣ'!N113)</f>
        <v>-5.1110024140962024E-2</v>
      </c>
      <c r="O113" s="43">
        <f>LN('2.ΤΙΜΕΣ ΚΛΕΙΣΙΜΑΤΟΣ'!O114/'2.ΤΙΜΕΣ ΚΛΕΙΣΙΜΑΤΟΣ'!O113)</f>
        <v>-1.8135212044212395E-2</v>
      </c>
      <c r="P113" s="43">
        <f>LN('2.ΤΙΜΕΣ ΚΛΕΙΣΙΜΑΤΟΣ'!P114/'2.ΤΙΜΕΣ ΚΛΕΙΣΙΜΑΤΟΣ'!P113)</f>
        <v>-1.603849581974516E-3</v>
      </c>
      <c r="Q113" s="43">
        <f>LN('2.ΤΙΜΕΣ ΚΛΕΙΣΙΜΑΤΟΣ'!Q114/'2.ΤΙΜΕΣ ΚΛΕΙΣΙΜΑΤΟΣ'!Q113)</f>
        <v>-3.3955890011382718E-3</v>
      </c>
      <c r="R113" s="43">
        <f>LN('2.ΤΙΜΕΣ ΚΛΕΙΣΙΜΑΤΟΣ'!R114/'2.ΤΙΜΕΣ ΚΛΕΙΣΙΜΑΤΟΣ'!R113)</f>
        <v>-4.2259809289882731E-2</v>
      </c>
      <c r="S113" s="43">
        <f>LN('2.ΤΙΜΕΣ ΚΛΕΙΣΙΜΑΤΟΣ'!S114/'2.ΤΙΜΕΣ ΚΛΕΙΣΙΜΑΤΟΣ'!S113)</f>
        <v>1.2210163906931337E-2</v>
      </c>
      <c r="T113" s="43">
        <f>LN('2.ΤΙΜΕΣ ΚΛΕΙΣΙΜΑΤΟΣ'!T114/'2.ΤΙΜΕΣ ΚΛΕΙΣΙΜΑΤΟΣ'!T113)</f>
        <v>-2.6169717733384834E-2</v>
      </c>
      <c r="U113" s="43">
        <f>LN('2.ΤΙΜΕΣ ΚΛΕΙΣΙΜΑΤΟΣ'!U114/'2.ΤΙΜΕΣ ΚΛΕΙΣΙΜΑΤΟΣ'!U113)</f>
        <v>-2.3202897079663984E-2</v>
      </c>
      <c r="V113" s="43">
        <f>LN('2.ΤΙΜΕΣ ΚΛΕΙΣΙΜΑΤΟΣ'!V114/'2.ΤΙΜΕΣ ΚΛΕΙΣΙΜΑΤΟΣ'!V113)</f>
        <v>-4.2918520815410323E-3</v>
      </c>
      <c r="W113" s="43">
        <f>LN('2.ΤΙΜΕΣ ΚΛΕΙΣΙΜΑΤΟΣ'!W114/'2.ΤΙΜΕΣ ΚΛΕΙΣΙΜΑΤΟΣ'!W113)</f>
        <v>0</v>
      </c>
      <c r="X113" s="43">
        <f>LN('2.ΤΙΜΕΣ ΚΛΕΙΣΙΜΑΤΟΣ'!X114/'2.ΤΙΜΕΣ ΚΛΕΙΣΙΜΑΤΟΣ'!X113)</f>
        <v>2.9391312054467367E-3</v>
      </c>
      <c r="Y113" s="43">
        <f>LN('2.ΤΙΜΕΣ ΚΛΕΙΣΙΜΑΤΟΣ'!Y114/'2.ΤΙΜΕΣ ΚΛΕΙΣΙΜΑΤΟΣ'!Y113)</f>
        <v>-2.1208915691376244E-3</v>
      </c>
      <c r="Z113" s="43">
        <f>LN('2.ΤΙΜΕΣ ΚΛΕΙΣΙΜΑΤΟΣ'!Z114/'2.ΤΙΜΕΣ ΚΛΕΙΣΙΜΑΤΟΣ'!Z113)</f>
        <v>0</v>
      </c>
      <c r="AA113" s="43">
        <f>LN('2.ΤΙΜΕΣ ΚΛΕΙΣΙΜΑΤΟΣ'!AA114/'2.ΤΙΜΕΣ ΚΛΕΙΣΙΜΑΤΟΣ'!AA113)</f>
        <v>8.902085089676097E-2</v>
      </c>
      <c r="AB113" s="43">
        <f>LN('2.ΤΙΜΕΣ ΚΛΕΙΣΙΜΑΤΟΣ'!AB114/'2.ΤΙΜΕΣ ΚΛΕΙΣΙΜΑΤΟΣ'!AB113)</f>
        <v>-7.6923456231556137E-3</v>
      </c>
      <c r="AC113" s="43">
        <f>LN('2.ΤΙΜΕΣ ΚΛΕΙΣΙΜΑΤΟΣ'!AC114/'2.ΤΙΜΕΣ ΚΛΕΙΣΙΜΑΤΟΣ'!AC113)</f>
        <v>-2.7548226788446199E-3</v>
      </c>
      <c r="AD113" s="43">
        <f>LN('2.ΤΙΜΕΣ ΚΛΕΙΣΙΜΑΤΟΣ'!AD114/'2.ΤΙΜΕΣ ΚΛΕΙΣΙΜΑΤΟΣ'!AD113)</f>
        <v>-1.322576221926125E-2</v>
      </c>
      <c r="AE113" s="43">
        <f>LN('2.ΤΙΜΕΣ ΚΛΕΙΣΙΜΑΤΟΣ'!AE114/'2.ΤΙΜΕΣ ΚΛΕΙΣΙΜΑΤΟΣ'!AE113)</f>
        <v>3.8095284166676487E-3</v>
      </c>
      <c r="AF113" s="43">
        <f>LN('2.ΤΙΜΕΣ ΚΛΕΙΣΙΜΑΤΟΣ'!AF114/'2.ΤΙΜΕΣ ΚΛΕΙΣΙΜΑΤΟΣ'!AF113)</f>
        <v>-4.0242116278433361E-2</v>
      </c>
      <c r="AG113" s="43">
        <f>LN('2.ΤΙΜΕΣ ΚΛΕΙΣΙΜΑΤΟΣ'!AG114/'2.ΤΙΜΕΣ ΚΛΕΙΣΙΜΑΤΟΣ'!AG113)</f>
        <v>-1.3825104991842431E-2</v>
      </c>
      <c r="AH113" s="43">
        <f>LN('2.ΤΙΜΕΣ ΚΛΕΙΣΙΜΑΤΟΣ'!AH114/'2.ΤΙΜΕΣ ΚΛΕΙΣΙΜΑΤΟΣ'!AH113)</f>
        <v>-9.9305682026007997E-3</v>
      </c>
      <c r="AI113" s="43">
        <f>LN('2.ΤΙΜΕΣ ΚΛΕΙΣΙΜΑΤΟΣ'!AI114/'2.ΤΙΜΕΣ ΚΛΕΙΣΙΜΑΤΟΣ'!AI113)</f>
        <v>-8.0972102326193618E-3</v>
      </c>
      <c r="AJ113" s="43">
        <f>LN('2.ΤΙΜΕΣ ΚΛΕΙΣΙΜΑΤΟΣ'!AJ114/'2.ΤΙΜΕΣ ΚΛΕΙΣΙΜΑΤΟΣ'!AJ113)</f>
        <v>-3.2655962974052689E-2</v>
      </c>
      <c r="AK113" s="43">
        <f>LN('2.ΤΙΜΕΣ ΚΛΕΙΣΙΜΑΤΟΣ'!AK114/'2.ΤΙΜΕΣ ΚΛΕΙΣΙΜΑΤΟΣ'!AK113)</f>
        <v>-1.4320053774748445E-2</v>
      </c>
      <c r="AL113" s="43">
        <f>LN('2.ΤΙΜΕΣ ΚΛΕΙΣΙΜΑΤΟΣ'!AL114/'2.ΤΙΜΕΣ ΚΛΕΙΣΙΜΑΤΟΣ'!AL113)</f>
        <v>-2.1661496781179419E-2</v>
      </c>
      <c r="AM113" s="43">
        <f>LN('2.ΤΙΜΕΣ ΚΛΕΙΣΙΜΑΤΟΣ'!AM114/'2.ΤΙΜΕΣ ΚΛΕΙΣΙΜΑΤΟΣ'!AM113)</f>
        <v>-7.3619964410691942E-3</v>
      </c>
      <c r="AN113" s="43">
        <f>LN('2.ΤΙΜΕΣ ΚΛΕΙΣΙΜΑΤΟΣ'!AN114/'2.ΤΙΜΕΣ ΚΛΕΙΣΙΜΑΤΟΣ'!AN113)</f>
        <v>2.911739857072717E-2</v>
      </c>
      <c r="AO113" s="43">
        <f>LN('2.ΤΙΜΕΣ ΚΛΕΙΣΙΜΑΤΟΣ'!AO114/'2.ΤΙΜΕΣ ΚΛΕΙΣΙΜΑΤΟΣ'!AO113)</f>
        <v>1.0781775603288413E-2</v>
      </c>
      <c r="AP113" s="43">
        <f>LN('2.ΤΙΜΕΣ ΚΛΕΙΣΙΜΑΤΟΣ'!AP114/'2.ΤΙΜΕΣ ΚΛΕΙΣΙΜΑΤΟΣ'!AP113)</f>
        <v>2.4242436115062545E-3</v>
      </c>
      <c r="AQ113" s="43">
        <f>LN('2.ΤΙΜΕΣ ΚΛΕΙΣΙΜΑΤΟΣ'!AQ114/'2.ΤΙΜΕΣ ΚΛΕΙΣΙΜΑΤΟΣ'!AQ113)</f>
        <v>-2.481516911972402E-2</v>
      </c>
      <c r="AR113" s="43">
        <f>LN('2.ΤΙΜΕΣ ΚΛΕΙΣΙΜΑΤΟΣ'!AR114/'2.ΤΙΜΕΣ ΚΛΕΙΣΙΜΑΤΟΣ'!AR113)</f>
        <v>-3.3115608784497437E-2</v>
      </c>
      <c r="AS113" s="43">
        <f>LN('2.ΤΙΜΕΣ ΚΛΕΙΣΙΜΑΤΟΣ'!AS114/'2.ΤΙΜΕΣ ΚΛΕΙΣΙΜΑΤΟΣ'!AS113)</f>
        <v>-2.2305757514298162E-2</v>
      </c>
      <c r="AT113" s="43">
        <f>LN('2.ΤΙΜΕΣ ΚΛΕΙΣΙΜΑΤΟΣ'!AT114/'2.ΤΙΜΕΣ ΚΛΕΙΣΙΜΑΤΟΣ'!AT113)</f>
        <v>-1.5005640617870049E-2</v>
      </c>
      <c r="AU113" s="43">
        <f>LN('2.ΤΙΜΕΣ ΚΛΕΙΣΙΜΑΤΟΣ'!AU114/'2.ΤΙΜΕΣ ΚΛΕΙΣΙΜΑΤΟΣ'!AU113)</f>
        <v>-1.0523270918451072E-2</v>
      </c>
    </row>
    <row r="114" spans="1:47">
      <c r="A114" s="41">
        <v>43719</v>
      </c>
      <c r="B114" s="43">
        <f>LN('2.ΤΙΜΕΣ ΚΛΕΙΣΙΜΑΤΟΣ'!B115/'2.ΤΙΜΕΣ ΚΛΕΙΣΙΜΑΤΟΣ'!B114)</f>
        <v>1.0006754615552657E-2</v>
      </c>
      <c r="C114" s="43">
        <f>LN('2.ΤΙΜΕΣ ΚΛΕΙΣΙΜΑΤΟΣ'!C115/'2.ΤΙΜΕΣ ΚΛΕΙΣΙΜΑΤΟΣ'!C114)</f>
        <v>8.1301260832500888E-3</v>
      </c>
      <c r="D114" s="43">
        <f>LN('2.ΤΙΜΕΣ ΚΛΕΙΣΙΜΑΤΟΣ'!D115/'2.ΤΙΜΕΣ ΚΛΕΙΣΙΜΑΤΟΣ'!D114)</f>
        <v>-6.1463008486941778E-3</v>
      </c>
      <c r="E114" s="43">
        <f>LN('2.ΤΙΜΕΣ ΚΛΕΙΣΙΜΑΤΟΣ'!E115/'2.ΤΙΜΕΣ ΚΛΕΙΣΙΜΑΤΟΣ'!E114)</f>
        <v>3.7139546949456786E-2</v>
      </c>
      <c r="F114" s="43">
        <f>LN('2.ΤΙΜΕΣ ΚΛΕΙΣΙΜΑΤΟΣ'!F115/'2.ΤΙΜΕΣ ΚΛΕΙΣΙΜΑΤΟΣ'!F114)</f>
        <v>-4.1008023727377135E-2</v>
      </c>
      <c r="G114" s="43">
        <f>LN('2.ΤΙΜΕΣ ΚΛΕΙΣΙΜΑΤΟΣ'!G115/'2.ΤΙΜΕΣ ΚΛΕΙΣΙΜΑΤΟΣ'!G114)</f>
        <v>2.4692612590371414E-2</v>
      </c>
      <c r="H114" s="43">
        <f>LN('2.ΤΙΜΕΣ ΚΛΕΙΣΙΜΑΤΟΣ'!H115/'2.ΤΙΜΕΣ ΚΛΕΙΣΙΜΑΤΟΣ'!H114)</f>
        <v>-7.677580899034306E-3</v>
      </c>
      <c r="I114" s="43">
        <f>LN('2.ΤΙΜΕΣ ΚΛΕΙΣΙΜΑΤΟΣ'!I115/'2.ΤΙΜΕΣ ΚΛΕΙΣΙΜΑΤΟΣ'!I114)</f>
        <v>2.3658974316646986E-2</v>
      </c>
      <c r="J114" s="43">
        <f>LN('2.ΤΙΜΕΣ ΚΛΕΙΣΙΜΑΤΟΣ'!J115/'2.ΤΙΜΕΣ ΚΛΕΙΣΙΜΑΤΟΣ'!J114)</f>
        <v>2.7292142288007554E-2</v>
      </c>
      <c r="K114" s="43">
        <f>LN('2.ΤΙΜΕΣ ΚΛΕΙΣΙΜΑΤΟΣ'!K115/'2.ΤΙΜΕΣ ΚΛΕΙΣΙΜΑΤΟΣ'!K114)</f>
        <v>3.8246007715074465E-3</v>
      </c>
      <c r="L114" s="43">
        <f>LN('2.ΤΙΜΕΣ ΚΛΕΙΣΙΜΑΤΟΣ'!L115/'2.ΤΙΜΕΣ ΚΛΕΙΣΙΜΑΤΟΣ'!L114)</f>
        <v>-1.5186031771901275E-3</v>
      </c>
      <c r="M114" s="43">
        <f>LN('2.ΤΙΜΕΣ ΚΛΕΙΣΙΜΑΤΟΣ'!M115/'2.ΤΙΜΕΣ ΚΛΕΙΣΙΜΑΤΟΣ'!M114)</f>
        <v>0</v>
      </c>
      <c r="N114" s="43">
        <f>LN('2.ΤΙΜΕΣ ΚΛΕΙΣΙΜΑΤΟΣ'!N115/'2.ΤΙΜΕΣ ΚΛΕΙΣΙΜΑΤΟΣ'!N114)</f>
        <v>1.2678736642427444E-3</v>
      </c>
      <c r="O114" s="43">
        <f>LN('2.ΤΙΜΕΣ ΚΛΕΙΣΙΜΑΤΟΣ'!O115/'2.ΤΙΜΕΣ ΚΛΕΙΣΙΜΑΤΟΣ'!O114)</f>
        <v>-6.5574005461591636E-3</v>
      </c>
      <c r="P114" s="43">
        <f>LN('2.ΤΙΜΕΣ ΚΛΕΙΣΙΜΑΤΟΣ'!P115/'2.ΤΙΜΕΣ ΚΛΕΙΣΙΜΑΤΟΣ'!P114)</f>
        <v>0</v>
      </c>
      <c r="Q114" s="43">
        <f>LN('2.ΤΙΜΕΣ ΚΛΕΙΣΙΜΑΤΟΣ'!Q115/'2.ΤΙΜΕΣ ΚΛΕΙΣΙΜΑΤΟΣ'!Q114)</f>
        <v>3.6732009268729944E-2</v>
      </c>
      <c r="R114" s="43">
        <f>LN('2.ΤΙΜΕΣ ΚΛΕΙΣΙΜΑΤΟΣ'!R115/'2.ΤΙΜΕΣ ΚΛΕΙΣΙΜΑΤΟΣ'!R114)</f>
        <v>1.7825783952600666E-2</v>
      </c>
      <c r="S114" s="43">
        <f>LN('2.ΤΙΜΕΣ ΚΛΕΙΣΙΜΑΤΟΣ'!S115/'2.ΤΙΜΕΣ ΚΛΕΙΣΙΜΑΤΟΣ'!S114)</f>
        <v>-1.214329232401831E-3</v>
      </c>
      <c r="T114" s="43">
        <f>LN('2.ΤΙΜΕΣ ΚΛΕΙΣΙΜΑΤΟΣ'!T115/'2.ΤΙΜΕΣ ΚΛΕΙΣΙΜΑΤΟΣ'!T114)</f>
        <v>1.6280885604137537E-2</v>
      </c>
      <c r="U114" s="43">
        <f>LN('2.ΤΙΜΕΣ ΚΛΕΙΣΙΜΑΤΟΣ'!U115/'2.ΤΙΜΕΣ ΚΛΕΙΣΙΜΑΤΟΣ'!U114)</f>
        <v>4.6838493124264375E-3</v>
      </c>
      <c r="V114" s="43">
        <f>LN('2.ΤΙΜΕΣ ΚΛΕΙΣΙΜΑΤΟΣ'!V115/'2.ΤΙΜΕΣ ΚΛΕΙΣΙΜΑΤΟΣ'!V114)</f>
        <v>2.148228538289605E-3</v>
      </c>
      <c r="W114" s="43">
        <f>LN('2.ΤΙΜΕΣ ΚΛΕΙΣΙΜΑΤΟΣ'!W115/'2.ΤΙΜΕΣ ΚΛΕΙΣΙΜΑΤΟΣ'!W114)</f>
        <v>2.2930941063917108E-2</v>
      </c>
      <c r="X114" s="43">
        <f>LN('2.ΤΙΜΕΣ ΚΛΕΙΣΙΜΑΤΟΣ'!X115/'2.ΤΙΜΕΣ ΚΛΕΙΣΙΜΑΤΟΣ'!X114)</f>
        <v>2.3961466882677956E-2</v>
      </c>
      <c r="Y114" s="43">
        <f>LN('2.ΤΙΜΕΣ ΚΛΕΙΣΙΜΑΤΟΣ'!Y115/'2.ΤΙΜΕΣ ΚΛΕΙΣΙΜΑΤΟΣ'!Y114)</f>
        <v>6.3492276786587445E-3</v>
      </c>
      <c r="Z114" s="43">
        <f>LN('2.ΤΙΜΕΣ ΚΛΕΙΣΙΜΑΤΟΣ'!Z115/'2.ΤΙΜΕΣ ΚΛΕΙΣΙΜΑΤΟΣ'!Z114)</f>
        <v>3.4305350967892222E-3</v>
      </c>
      <c r="AA114" s="43">
        <f>LN('2.ΤΙΜΕΣ ΚΛΕΙΣΙΜΑΤΟΣ'!AA115/'2.ΤΙΜΕΣ ΚΛΕΙΣΙΜΑΤΟΣ'!AA114)</f>
        <v>1.5649771667127815E-2</v>
      </c>
      <c r="AB114" s="43">
        <f>LN('2.ΤΙΜΕΣ ΚΛΕΙΣΙΜΑΤΟΣ'!AB115/'2.ΤΙΜΕΣ ΚΛΕΙΣΙΜΑΤΟΣ'!AB114)</f>
        <v>3.9740328649514121E-2</v>
      </c>
      <c r="AC114" s="43">
        <f>LN('2.ΤΙΜΕΣ ΚΛΕΙΣΙΜΑΤΟΣ'!AC115/'2.ΤΙΜΕΣ ΚΛΕΙΣΙΜΑΤΟΣ'!AC114)</f>
        <v>0</v>
      </c>
      <c r="AD114" s="43">
        <f>LN('2.ΤΙΜΕΣ ΚΛΕΙΣΙΜΑΤΟΣ'!AD115/'2.ΤΙΜΕΣ ΚΛΕΙΣΙΜΑΤΟΣ'!AD114)</f>
        <v>2.0498521548340753E-2</v>
      </c>
      <c r="AE114" s="43">
        <f>LN('2.ΤΙΜΕΣ ΚΛΕΙΣΙΜΑΤΟΣ'!AE115/'2.ΤΙΜΕΣ ΚΛΕΙΣΙΜΑΤΟΣ'!AE114)</f>
        <v>3.7950709685517555E-3</v>
      </c>
      <c r="AF114" s="43">
        <f>LN('2.ΤΙΜΕΣ ΚΛΕΙΣΙΜΑΤΟΣ'!AF115/'2.ΤΙΜΕΣ ΚΛΕΙΣΙΜΑΤΟΣ'!AF114)</f>
        <v>-2.4451095864164194E-2</v>
      </c>
      <c r="AG114" s="43">
        <f>LN('2.ΤΙΜΕΣ ΚΛΕΙΣΙΜΑΤΟΣ'!AG115/'2.ΤΙΜΕΣ ΚΛΕΙΣΙΜΑΤΟΣ'!AG114)</f>
        <v>3.4210861916316317E-2</v>
      </c>
      <c r="AH114" s="43">
        <f>LN('2.ΤΙΜΕΣ ΚΛΕΙΣΙΜΑΤΟΣ'!AH115/'2.ΤΙΜΕΣ ΚΛΕΙΣΙΜΑΤΟΣ'!AH114)</f>
        <v>0</v>
      </c>
      <c r="AI114" s="43">
        <f>LN('2.ΤΙΜΕΣ ΚΛΕΙΣΙΜΑΤΟΣ'!AI115/'2.ΤΙΜΕΣ ΚΛΕΙΣΙΜΑΤΟΣ'!AI114)</f>
        <v>0</v>
      </c>
      <c r="AJ114" s="43">
        <f>LN('2.ΤΙΜΕΣ ΚΛΕΙΣΙΜΑΤΟΣ'!AJ115/'2.ΤΙΜΕΣ ΚΛΕΙΣΙΜΑΤΟΣ'!AJ114)</f>
        <v>5.6466611667770956E-2</v>
      </c>
      <c r="AK114" s="43">
        <f>LN('2.ΤΙΜΕΣ ΚΛΕΙΣΙΜΑΤΟΣ'!AK115/'2.ΤΙΜΕΣ ΚΛΕΙΣΙΜΑΤΟΣ'!AK114)</f>
        <v>0</v>
      </c>
      <c r="AL114" s="43">
        <f>LN('2.ΤΙΜΕΣ ΚΛΕΙΣΙΜΑΤΟΣ'!AL115/'2.ΤΙΜΕΣ ΚΛΕΙΣΙΜΑΤΟΣ'!AL114)</f>
        <v>2.1661496781179467E-2</v>
      </c>
      <c r="AM114" s="43">
        <f>LN('2.ΤΙΜΕΣ ΚΛΕΙΣΙΜΑΤΟΣ'!AM115/'2.ΤΙΜΕΣ ΚΛΕΙΣΙΜΑΤΟΣ'!AM114)</f>
        <v>0</v>
      </c>
      <c r="AN114" s="43">
        <f>LN('2.ΤΙΜΕΣ ΚΛΕΙΣΙΜΑΤΟΣ'!AN115/'2.ΤΙΜΕΣ ΚΛΕΙΣΙΜΑΤΟΣ'!AN114)</f>
        <v>2.3992426743221367E-2</v>
      </c>
      <c r="AO114" s="43">
        <f>LN('2.ΤΙΜΕΣ ΚΛΕΙΣΙΜΑΤΟΣ'!AO115/'2.ΤΙΜΕΣ ΚΛΕΙΣΙΜΑΤΟΣ'!AO114)</f>
        <v>-1.3495481474884509E-2</v>
      </c>
      <c r="AP114" s="43">
        <f>LN('2.ΤΙΜΕΣ ΚΛΕΙΣΙΜΑΤΟΣ'!AP115/'2.ΤΙΜΕΣ ΚΛΕΙΣΙΜΑΤΟΣ'!AP114)</f>
        <v>-5.7300853837340675E-2</v>
      </c>
      <c r="AQ114" s="43">
        <f>LN('2.ΤΙΜΕΣ ΚΛΕΙΣΙΜΑΤΟΣ'!AQ115/'2.ΤΙΜΕΣ ΚΛΕΙΣΙΜΑΤΟΣ'!AQ114)</f>
        <v>2.2852459951875227E-2</v>
      </c>
      <c r="AR114" s="43">
        <f>LN('2.ΤΙΜΕΣ ΚΛΕΙΣΙΜΑΤΟΣ'!AR115/'2.ΤΙΜΕΣ ΚΛΕΙΣΙΜΑΤΟΣ'!AR114)</f>
        <v>2.0000666706669435E-2</v>
      </c>
      <c r="AS114" s="43">
        <f>LN('2.ΤΙΜΕΣ ΚΛΕΙΣΙΜΑΤΟΣ'!AS115/'2.ΤΙΜΕΣ ΚΛΕΙΣΙΜΑΤΟΣ'!AS114)</f>
        <v>7.4906717291574384E-3</v>
      </c>
      <c r="AT114" s="43">
        <f>LN('2.ΤΙΜΕΣ ΚΛΕΙΣΙΜΑΤΟΣ'!AT115/'2.ΤΙΜΕΣ ΚΛΕΙΣΙΜΑΤΟΣ'!AT114)</f>
        <v>-4.3290110895855809E-3</v>
      </c>
      <c r="AU114" s="43">
        <f>LN('2.ΤΙΜΕΣ ΚΛΕΙΣΙΜΑΤΟΣ'!AU115/'2.ΤΙΜΕΣ ΚΛΕΙΣΙΜΑΤΟΣ'!AU114)</f>
        <v>8.7751205985352621E-3</v>
      </c>
    </row>
    <row r="115" spans="1:47">
      <c r="A115" s="41">
        <v>43720</v>
      </c>
      <c r="B115" s="43">
        <f>LN('2.ΤΙΜΕΣ ΚΛΕΙΣΙΜΑΤΟΣ'!B116/'2.ΤΙΜΕΣ ΚΛΕΙΣΙΜΑΤΟΣ'!B115)</f>
        <v>-2.9915262462758964E-3</v>
      </c>
      <c r="C115" s="43">
        <f>LN('2.ΤΙΜΕΣ ΚΛΕΙΣΙΜΑΤΟΣ'!C116/'2.ΤΙΜΕΣ ΚΛΕΙΣΙΜΑΤΟΣ'!C115)</f>
        <v>-4.056800695614318E-3</v>
      </c>
      <c r="D115" s="43">
        <f>LN('2.ΤΙΜΕΣ ΚΛΕΙΣΙΜΑΤΟΣ'!D116/'2.ΤΙΜΕΣ ΚΛΕΙΣΙΜΑΤΟΣ'!D115)</f>
        <v>-5.6674890224706533E-3</v>
      </c>
      <c r="E115" s="43">
        <f>LN('2.ΤΙΜΕΣ ΚΛΕΙΣΙΜΑΤΟΣ'!E116/'2.ΤΙΜΕΣ ΚΛΕΙΣΙΜΑΤΟΣ'!E115)</f>
        <v>-9.3023926623135612E-3</v>
      </c>
      <c r="F115" s="43">
        <f>LN('2.ΤΙΜΕΣ ΚΛΕΙΣΙΜΑΤΟΣ'!F116/'2.ΤΙΜΕΣ ΚΛΕΙΣΙΜΑΤΟΣ'!F115)</f>
        <v>-9.345862418237658E-3</v>
      </c>
      <c r="G115" s="43">
        <f>LN('2.ΤΙΜΕΣ ΚΛΕΙΣΙΜΑΤΟΣ'!G116/'2.ΤΙΜΕΣ ΚΛΕΙΣΙΜΑΤΟΣ'!G115)</f>
        <v>-6.1162270174360944E-3</v>
      </c>
      <c r="H115" s="43">
        <f>LN('2.ΤΙΜΕΣ ΚΛΕΙΣΙΜΑΤΟΣ'!H116/'2.ΤΙΜΕΣ ΚΛΕΙΣΙΜΑΤΟΣ'!H115)</f>
        <v>-2.9327615094520063E-2</v>
      </c>
      <c r="I115" s="43">
        <f>LN('2.ΤΙΜΕΣ ΚΛΕΙΣΙΜΑΤΟΣ'!I116/'2.ΤΙΜΕΣ ΚΛΕΙΣΙΜΑΤΟΣ'!I115)</f>
        <v>-1.2669852741051665E-2</v>
      </c>
      <c r="J115" s="43">
        <f>LN('2.ΤΙΜΕΣ ΚΛΕΙΣΙΜΑΤΟΣ'!J116/'2.ΤΙΜΕΣ ΚΛΕΙΣΙΜΑΤΟΣ'!J115)</f>
        <v>-6.9471526029857142E-3</v>
      </c>
      <c r="K115" s="43">
        <f>LN('2.ΤΙΜΕΣ ΚΛΕΙΣΙΜΑΤΟΣ'!K116/'2.ΤΙΜΕΣ ΚΛΕΙΣΙΜΑΤΟΣ'!K115)</f>
        <v>-3.8246007715075437E-3</v>
      </c>
      <c r="L115" s="43">
        <f>LN('2.ΤΙΜΕΣ ΚΛΕΙΣΙΜΑΤΟΣ'!L116/'2.ΤΙΜΕΣ ΚΛΕΙΣΙΜΑΤΟΣ'!L115)</f>
        <v>-1.2745520485866061E-2</v>
      </c>
      <c r="M115" s="43">
        <f>LN('2.ΤΙΜΕΣ ΚΛΕΙΣΙΜΑΤΟΣ'!M116/'2.ΤΙΜΕΣ ΚΛΕΙΣΙΜΑΤΟΣ'!M115)</f>
        <v>-1.0995053334168876E-3</v>
      </c>
      <c r="N115" s="43">
        <f>LN('2.ΤΙΜΕΣ ΚΛΕΙΣΙΜΑΤΟΣ'!N116/'2.ΤΙΜΕΣ ΚΛΕΙΣΙΜΑΤΟΣ'!N115)</f>
        <v>-1.2466516461248694E-2</v>
      </c>
      <c r="O115" s="43">
        <f>LN('2.ΤΙΜΕΣ ΚΛΕΙΣΙΜΑΤΟΣ'!O116/'2.ΤΙΜΕΣ ΚΛΕΙΣΙΜΑΤΟΣ'!O115)</f>
        <v>0</v>
      </c>
      <c r="P115" s="43">
        <f>LN('2.ΤΙΜΕΣ ΚΛΕΙΣΙΜΑΤΟΣ'!P116/'2.ΤΙΜΕΣ ΚΛΕΙΣΙΜΑΤΟΣ'!P115)</f>
        <v>3.205130948948331E-3</v>
      </c>
      <c r="Q115" s="43">
        <f>LN('2.ΤΙΜΕΣ ΚΛΕΙΣΙΜΑΤΟΣ'!Q116/'2.ΤΙΜΕΣ ΚΛΕΙΣΙΜΑΤΟΣ'!Q115)</f>
        <v>-9.8847592325419734E-3</v>
      </c>
      <c r="R115" s="43">
        <f>LN('2.ΤΙΜΕΣ ΚΛΕΙΣΙΜΑΤΟΣ'!R116/'2.ΤΙΜΕΣ ΚΛΕΙΣΙΜΑΤΟΣ'!R115)</f>
        <v>-1.4952218756868868E-2</v>
      </c>
      <c r="S115" s="43">
        <f>LN('2.ΤΙΜΕΣ ΚΛΕΙΣΙΜΑΤΟΣ'!S116/'2.ΤΙΜΕΣ ΚΛΕΙΣΙΜΑΤΟΣ'!S115)</f>
        <v>8.4695001135737837E-3</v>
      </c>
      <c r="T115" s="43">
        <f>LN('2.ΤΙΜΕΣ ΚΛΕΙΣΙΜΑΤΟΣ'!T116/'2.ΤΙΜΕΣ ΚΛΕΙΣΙΜΑΤΟΣ'!T115)</f>
        <v>-2.8987536873252298E-2</v>
      </c>
      <c r="U115" s="43">
        <f>LN('2.ΤΙΜΕΣ ΚΛΕΙΣΙΜΑΤΟΣ'!U116/'2.ΤΙΜΕΣ ΚΛΕΙΣΙΜΑΤΟΣ'!U115)</f>
        <v>-1.4117881545785157E-2</v>
      </c>
      <c r="V115" s="43">
        <f>LN('2.ΤΙΜΕΣ ΚΛΕΙΣΙΜΑΤΟΣ'!V116/'2.ΤΙΜΕΣ ΚΛΕΙΣΙΜΑΤΟΣ'!V115)</f>
        <v>-4.3010818993906973E-3</v>
      </c>
      <c r="W115" s="43">
        <f>LN('2.ΤΙΜΕΣ ΚΛΕΙΣΙΜΑΤΟΣ'!W116/'2.ΤΙΜΕΣ ΚΛΕΙΣΙΜΑΤΟΣ'!W115)</f>
        <v>-3.1992491741491734E-2</v>
      </c>
      <c r="X115" s="43">
        <f>LN('2.ΤΙΜΕΣ ΚΛΕΙΣΙΜΑΤΟΣ'!X116/'2.ΤΙΜΕΣ ΚΛΕΙΣΙΜΑΤΟΣ'!X115)</f>
        <v>5.8642375408018369E-3</v>
      </c>
      <c r="Y115" s="43">
        <f>LN('2.ΤΙΜΕΣ ΚΛΕΙΣΙΜΑΤΟΣ'!Y116/'2.ΤΙΜΕΣ ΚΛΕΙΣΙΜΑΤΟΣ'!Y115)</f>
        <v>-1.055409068943492E-3</v>
      </c>
      <c r="Z115" s="43">
        <f>LN('2.ΤΙΜΕΣ ΚΛΕΙΣΙΜΑΤΟΣ'!Z116/'2.ΤΙΜΕΣ ΚΛΕΙΣΙΜΑΤΟΣ'!Z115)</f>
        <v>-6.8728792877620643E-3</v>
      </c>
      <c r="AA115" s="43">
        <f>LN('2.ΤΙΜΕΣ ΚΛΕΙΣΙΜΑΤΟΣ'!AA116/'2.ΤΙΜΕΣ ΚΛΕΙΣΙΜΑΤΟΣ'!AA115)</f>
        <v>-4.4451762570833921E-2</v>
      </c>
      <c r="AB115" s="43">
        <f>LN('2.ΤΙΜΕΣ ΚΛΕΙΣΙΜΑΤΟΣ'!AB116/'2.ΤΙΜΕΣ ΚΛΕΙΣΙΜΑΤΟΣ'!AB115)</f>
        <v>-2.0619287202735592E-2</v>
      </c>
      <c r="AC115" s="43">
        <f>LN('2.ΤΙΜΕΣ ΚΛΕΙΣΙΜΑΤΟΣ'!AC116/'2.ΤΙΜΕΣ ΚΛΕΙΣΙΜΑΤΟΣ'!AC115)</f>
        <v>0</v>
      </c>
      <c r="AD115" s="43">
        <f>LN('2.ΤΙΜΕΣ ΚΛΕΙΣΙΜΑΤΟΣ'!AD116/'2.ΤΙΜΕΣ ΚΛΕΙΣΙΜΑΤΟΣ'!AD115)</f>
        <v>-4.3573053689555897E-3</v>
      </c>
      <c r="AE115" s="43">
        <f>LN('2.ΤΙΜΕΣ ΚΛΕΙΣΙΜΑΤΟΣ'!AE116/'2.ΤΙΜΕΣ ΚΛΕΙΣΙΜΑΤΟΣ'!AE115)</f>
        <v>-7.6045993852193036E-3</v>
      </c>
      <c r="AF115" s="43">
        <f>LN('2.ΤΙΜΕΣ ΚΛΕΙΣΙΜΑΤΟΣ'!AF116/'2.ΤΙΜΕΣ ΚΛΕΙΣΙΜΑΤΟΣ'!AF115)</f>
        <v>4.9382816405825767E-3</v>
      </c>
      <c r="AG115" s="43">
        <f>LN('2.ΤΙΜΕΣ ΚΛΕΙΣΙΜΑΤΟΣ'!AG116/'2.ΤΙΜΕΣ ΚΛΕΙΣΙΜΑΤΟΣ'!AG115)</f>
        <v>-2.2676708671029815E-2</v>
      </c>
      <c r="AH115" s="43">
        <f>LN('2.ΤΙΜΕΣ ΚΛΕΙΣΙΜΑΤΟΣ'!AH116/'2.ΤΙΜΕΣ ΚΛΕΙΣΙΜΑΤΟΣ'!AH115)</f>
        <v>-2.8341978002275083E-2</v>
      </c>
      <c r="AI115" s="43">
        <f>LN('2.ΤΙΜΕΣ ΚΛΕΙΣΙΜΑΤΟΣ'!AI116/'2.ΤΙΜΕΣ ΚΛΕΙΣΙΜΑΤΟΣ'!AI115)</f>
        <v>-1.6393809775676497E-2</v>
      </c>
      <c r="AJ115" s="43">
        <f>LN('2.ΤΙΜΕΣ ΚΛΕΙΣΙΜΑΤΟΣ'!AJ116/'2.ΤΙΜΕΣ ΚΛΕΙΣΙΜΑΤΟΣ'!AJ115)</f>
        <v>-3.5932009226063329E-2</v>
      </c>
      <c r="AK115" s="43">
        <f>LN('2.ΤΙΜΕΣ ΚΛΕΙΣΙΜΑΤΟΣ'!AK116/'2.ΤΙΜΕΣ ΚΛΕΙΣΙΜΑΤΟΣ'!AK115)</f>
        <v>-4.8192864359489947E-3</v>
      </c>
      <c r="AL115" s="43">
        <f>LN('2.ΤΙΜΕΣ ΚΛΕΙΣΙΜΑΤΟΣ'!AL116/'2.ΤΙΜΕΣ ΚΛΕΙΣΙΜΑΤΟΣ'!AL115)</f>
        <v>-2.1661496781179419E-2</v>
      </c>
      <c r="AM115" s="43">
        <f>LN('2.ΤΙΜΕΣ ΚΛΕΙΣΙΜΑΤΟΣ'!AM116/'2.ΤΙΜΕΣ ΚΛΕΙΣΙΜΑΤΟΣ'!AM115)</f>
        <v>-1.4888612493750524E-2</v>
      </c>
      <c r="AN115" s="43">
        <f>LN('2.ΤΙΜΕΣ ΚΛΕΙΣΙΜΑΤΟΣ'!AN116/'2.ΤΙΜΕΣ ΚΛΕΙΣΙΜΑΤΟΣ'!AN115)</f>
        <v>-2.1787354184907296E-2</v>
      </c>
      <c r="AO115" s="43">
        <f>LN('2.ΤΙΜΕΣ ΚΛΕΙΣΙΜΑΤΟΣ'!AO116/'2.ΤΙΜΕΣ ΚΛΕΙΣΙΜΑΤΟΣ'!AO115)</f>
        <v>-5.449604767564703E-3</v>
      </c>
      <c r="AP115" s="43">
        <f>LN('2.ΤΙΜΕΣ ΚΛΕΙΣΙΜΑΤΟΣ'!AP116/'2.ΤΙΜΕΣ ΚΛΕΙΣΙΜΑΤΟΣ'!AP115)</f>
        <v>-3.6557595733797577E-2</v>
      </c>
      <c r="AQ115" s="43">
        <f>LN('2.ΤΙΜΕΣ ΚΛΕΙΣΙΜΑΤΟΣ'!AQ116/'2.ΤΙΜΕΣ ΚΛΕΙΣΙΜΑΤΟΣ'!AQ115)</f>
        <v>-7.8895872751629324E-3</v>
      </c>
      <c r="AR115" s="43">
        <f>LN('2.ΤΙΜΕΣ ΚΛΕΙΣΙΜΑΤΟΣ'!AR116/'2.ΤΙΜΕΣ ΚΛΕΙΣΙΜΑΤΟΣ'!AR115)</f>
        <v>-9.9503308531679793E-3</v>
      </c>
      <c r="AS115" s="43">
        <f>LN('2.ΤΙΜΕΣ ΚΛΕΙΣΙΜΑΤΟΣ'!AS116/'2.ΤΙΜΕΣ ΚΛΕΙΣΙΜΑΤΟΣ'!AS115)</f>
        <v>4.8553225416990739E-2</v>
      </c>
      <c r="AT115" s="43">
        <f>LN('2.ΤΙΜΕΣ ΚΛΕΙΣΙΜΑΤΟΣ'!AT116/'2.ΤΙΜΕΣ ΚΛΕΙΣΙΜΑΤΟΣ'!AT115)</f>
        <v>1.5070252920998173E-2</v>
      </c>
      <c r="AU115" s="43">
        <f>LN('2.ΤΙΜΕΣ ΚΛΕΙΣΙΜΑΤΟΣ'!AU116/'2.ΤΙΜΕΣ ΚΛΕΙΣΙΜΑΤΟΣ'!AU115)</f>
        <v>-7.9047166291183902E-3</v>
      </c>
    </row>
    <row r="116" spans="1:47">
      <c r="A116" s="41">
        <v>43721</v>
      </c>
      <c r="B116" s="43">
        <f>LN('2.ΤΙΜΕΣ ΚΛΕΙΣΙΜΑΤΟΣ'!B117/'2.ΤΙΜΕΣ ΚΛΕΙΣΙΜΑΤΟΣ'!B116)</f>
        <v>-2.1875346465107953E-2</v>
      </c>
      <c r="C116" s="43">
        <f>LN('2.ΤΙΜΕΣ ΚΛΕΙΣΙΜΑΤΟΣ'!C117/'2.ΤΙΜΕΣ ΚΛΕΙΣΙΜΑΤΟΣ'!C116)</f>
        <v>4.8661896511729063E-3</v>
      </c>
      <c r="D116" s="43">
        <f>LN('2.ΤΙΜΕΣ ΚΛΕΙΣΙΜΑΤΟΣ'!D117/'2.ΤΙΜΕΣ ΚΛΕΙΣΙΜΑΤΟΣ'!D116)</f>
        <v>9.769217496688647E-3</v>
      </c>
      <c r="E116" s="43">
        <f>LN('2.ΤΙΜΕΣ ΚΛΕΙΣΙΜΑΤΟΣ'!E117/'2.ΤΙΜΕΣ ΚΛΕΙΣΙΜΑΤΟΣ'!E116)</f>
        <v>1.6797383066501477E-2</v>
      </c>
      <c r="F116" s="43">
        <f>LN('2.ΤΙΜΕΣ ΚΛΕΙΣΙΜΑΤΟΣ'!F117/'2.ΤΙΜΕΣ ΚΛΕΙΣΙΜΑΤΟΣ'!F116)</f>
        <v>3.5149421074445919E-3</v>
      </c>
      <c r="G116" s="43">
        <f>LN('2.ΤΙΜΕΣ ΚΛΕΙΣΙΜΑΤΟΣ'!G117/'2.ΤΙΜΕΣ ΚΛΕΙΣΙΜΑΤΟΣ'!G116)</f>
        <v>1.2195273093818206E-2</v>
      </c>
      <c r="H116" s="43">
        <f>LN('2.ΤΙΜΕΣ ΚΛΕΙΣΙΜΑΤΟΣ'!H117/'2.ΤΙΜΕΣ ΚΛΕΙΣΙΜΑΤΟΣ'!H116)</f>
        <v>1.1834457647002798E-2</v>
      </c>
      <c r="I116" s="43">
        <f>LN('2.ΤΙΜΕΣ ΚΛΕΙΣΙΜΑΤΟΣ'!I117/'2.ΤΙΜΕΣ ΚΛΕΙΣΙΜΑΤΟΣ'!I116)</f>
        <v>7.8621511729485786E-3</v>
      </c>
      <c r="J116" s="43">
        <f>LN('2.ΤΙΜΕΣ ΚΛΕΙΣΙΜΑΤΟΣ'!J117/'2.ΤΙΜΕΣ ΚΛΕΙΣΙΜΑΤΟΣ'!J116)</f>
        <v>6.1776258239569348E-3</v>
      </c>
      <c r="K116" s="43">
        <f>LN('2.ΤΙΜΕΣ ΚΛΕΙΣΙΜΑΤΟΣ'!K117/'2.ΤΙΜΕΣ ΚΛΕΙΣΙΜΑΤΟΣ'!K116)</f>
        <v>-1.1899254395374727E-3</v>
      </c>
      <c r="L116" s="43">
        <f>LN('2.ΤΙΜΕΣ ΚΛΕΙΣΙΜΑΤΟΣ'!L117/'2.ΤΙΜΕΣ ΚΛΕΙΣΙΜΑΤΟΣ'!L116)</f>
        <v>1.1731835655019921E-2</v>
      </c>
      <c r="M116" s="43">
        <f>LN('2.ΤΙΜΕΣ ΚΛΕΙΣΙΜΑΤΟΣ'!M117/'2.ΤΙΜΕΣ ΚΛΕΙΣΙΜΑΤΟΣ'!M116)</f>
        <v>1.0941028178208202E-2</v>
      </c>
      <c r="N116" s="43">
        <f>LN('2.ΤΙΜΕΣ ΚΛΕΙΣΙΜΑΤΟΣ'!N117/'2.ΤΙΜΕΣ ΚΛΕΙΣΙΜΑΤΟΣ'!N116)</f>
        <v>3.5705577991003823E-2</v>
      </c>
      <c r="O116" s="43">
        <f>LN('2.ΤΙΜΕΣ ΚΛΕΙΣΙΜΑΤΟΣ'!O117/'2.ΤΙΜΕΣ ΚΛΕΙΣΙΜΑΤΟΣ'!O116)</f>
        <v>2.5975486403260736E-2</v>
      </c>
      <c r="P116" s="43">
        <f>LN('2.ΤΙΜΕΣ ΚΛΕΙΣΙΜΑΤΟΣ'!P117/'2.ΤΙΜΕΣ ΚΛΕΙΣΙΜΑΤΟΣ'!P116)</f>
        <v>1.1137744410456021E-2</v>
      </c>
      <c r="Q116" s="43">
        <f>LN('2.ΤΙΜΕΣ ΚΛΕΙΣΙΜΑΤΟΣ'!Q117/'2.ΤΙΜΕΣ ΚΛΕΙΣΙΜΑΤΟΣ'!Q116)</f>
        <v>2.4854124340702496E-2</v>
      </c>
      <c r="R116" s="43">
        <f>LN('2.ΤΙΜΕΣ ΚΛΕΙΣΙΜΑΤΟΣ'!R117/'2.ΤΙΜΕΣ ΚΛΕΙΣΙΜΑΤΟΣ'!R116)</f>
        <v>-3.5932485661253856E-3</v>
      </c>
      <c r="S116" s="43">
        <f>LN('2.ΤΙΜΕΣ ΚΛΕΙΣΙΜΑΤΟΣ'!S117/'2.ΤΙΜΕΣ ΚΛΕΙΣΙΜΑΤΟΣ'!S116)</f>
        <v>-1.8237587549780901E-2</v>
      </c>
      <c r="T116" s="43">
        <f>LN('2.ΤΙΜΕΣ ΚΛΕΙΣΙΜΑΤΟΣ'!T117/'2.ΤΙΜΕΣ ΚΛΕΙΣΙΜΑΤΟΣ'!T116)</f>
        <v>-3.843694674562827E-3</v>
      </c>
      <c r="U116" s="43">
        <f>LN('2.ΤΙΜΕΣ ΚΛΕΙΣΙΜΑΤΟΣ'!U117/'2.ΤΙΜΕΣ ΚΛΕΙΣΙΜΑΤΟΣ'!U116)</f>
        <v>4.728141195946116E-3</v>
      </c>
      <c r="V116" s="43">
        <f>LN('2.ΤΙΜΕΣ ΚΛΕΙΣΙΜΑΤΟΣ'!V117/'2.ΤΙΜΕΣ ΚΛΕΙΣΙΜΑΤΟΣ'!V116)</f>
        <v>-2.1574981400212367E-3</v>
      </c>
      <c r="W116" s="43">
        <f>LN('2.ΤΙΜΕΣ ΚΛΕΙΣΙΜΑΤΟΣ'!W117/'2.ΤΙΜΕΣ ΚΛΕΙΣΙΜΑΤΟΣ'!W116)</f>
        <v>3.3251145148687801E-2</v>
      </c>
      <c r="X116" s="43">
        <f>LN('2.ΤΙΜΕΣ ΚΛΕΙΣΙΜΑΤΟΣ'!X117/'2.ΤΙΜΕΣ ΚΛΕΙΣΙΜΑΤΟΣ'!X116)</f>
        <v>2.9107469711006955E-2</v>
      </c>
      <c r="Y116" s="43">
        <f>LN('2.ΤΙΜΕΣ ΚΛΕΙΣΙΜΑΤΟΣ'!Y117/'2.ΤΙΜΕΣ ΚΛΕΙΣΙΜΑΤΟΣ'!Y116)</f>
        <v>3.162891408508217E-3</v>
      </c>
      <c r="Z116" s="43">
        <f>LN('2.ΤΙΜΕΣ ΚΛΕΙΣΙΜΑΤΟΣ'!Z117/'2.ΤΙΜΕΣ ΚΛΕΙΣΙΜΑΤΟΣ'!Z116)</f>
        <v>0</v>
      </c>
      <c r="AA116" s="43">
        <f>LN('2.ΤΙΜΕΣ ΚΛΕΙΣΙΜΑΤΟΣ'!AA117/'2.ΤΙΜΕΣ ΚΛΕΙΣΙΜΑΤΟΣ'!AA116)</f>
        <v>0.11054187439982383</v>
      </c>
      <c r="AB116" s="43">
        <f>LN('2.ΤΙΜΕΣ ΚΛΕΙΣΙΜΑΤΟΣ'!AB117/'2.ΤΙΜΕΣ ΚΛΕΙΣΙΜΑΤΟΣ'!AB116)</f>
        <v>5.6657375356772999E-3</v>
      </c>
      <c r="AC116" s="43">
        <f>LN('2.ΤΙΜΕΣ ΚΛΕΙΣΙΜΑΤΟΣ'!AC117/'2.ΤΙΜΕΣ ΚΛΕΙΣΙΜΑΤΟΣ'!AC116)</f>
        <v>0</v>
      </c>
      <c r="AD116" s="43">
        <f>LN('2.ΤΙΜΕΣ ΚΛΕΙΣΙΜΑΤΟΣ'!AD117/'2.ΤΙΜΕΣ ΚΛΕΙΣΙΜΑΤΟΣ'!AD116)</f>
        <v>2.5863510589919154E-2</v>
      </c>
      <c r="AE116" s="43">
        <f>LN('2.ΤΙΜΕΣ ΚΛΕΙΣΙΜΑΤΟΣ'!AE117/'2.ΤΙΜΕΣ ΚΛΕΙΣΙΜΑΤΟΣ'!AE116)</f>
        <v>-2.3167059281534418E-2</v>
      </c>
      <c r="AF116" s="43">
        <f>LN('2.ΤΙΜΕΣ ΚΛΕΙΣΙΜΑΤΟΣ'!AF117/'2.ΤΙΜΕΣ ΚΛΕΙΣΙΜΑΤΟΣ'!AF116)</f>
        <v>0</v>
      </c>
      <c r="AG116" s="43">
        <f>LN('2.ΤΙΜΕΣ ΚΛΕΙΣΙΜΑΤΟΣ'!AG117/'2.ΤΙΜΕΣ ΚΛΕΙΣΙΜΑΤΟΣ'!AG116)</f>
        <v>9.1324835632724723E-3</v>
      </c>
      <c r="AH116" s="43">
        <f>LN('2.ΤΙΜΕΣ ΚΛΕΙΣΙΜΑΤΟΣ'!AH117/'2.ΤΙΜΕΣ ΚΛΕΙΣΙΜΑΤΟΣ'!AH116)</f>
        <v>-3.7661354636310415E-2</v>
      </c>
      <c r="AI116" s="43">
        <f>LN('2.ΤΙΜΕΣ ΚΛΕΙΣΙΜΑΤΟΣ'!AI117/'2.ΤΙΜΕΣ ΚΛΕΙΣΙΜΑΤΟΣ'!AI116)</f>
        <v>1.639380977567657E-2</v>
      </c>
      <c r="AJ116" s="43">
        <f>LN('2.ΤΙΜΕΣ ΚΛΕΙΣΙΜΑΤΟΣ'!AJ117/'2.ΤΙΜΕΣ ΚΛΕΙΣΙΜΑΤΟΣ'!AJ116)</f>
        <v>-8.1633106391609811E-3</v>
      </c>
      <c r="AK116" s="43">
        <f>LN('2.ΤΙΜΕΣ ΚΛΕΙΣΙΜΑΤΟΣ'!AK117/'2.ΤΙΜΕΣ ΚΛΕΙΣΙΜΑΤΟΣ'!AK116)</f>
        <v>4.8192864359489218E-3</v>
      </c>
      <c r="AL116" s="43">
        <f>LN('2.ΤΙΜΕΣ ΚΛΕΙΣΙΜΑΤΟΣ'!AL117/'2.ΤΙΜΕΣ ΚΛΕΙΣΙΜΑΤΟΣ'!AL116)</f>
        <v>2.1661496781179467E-2</v>
      </c>
      <c r="AM116" s="43">
        <f>LN('2.ΤΙΜΕΣ ΚΛΕΙΣΙΜΑΤΟΣ'!AM117/'2.ΤΙΜΕΣ ΚΛΕΙΣΙΜΑΤΟΣ'!AM116)</f>
        <v>1.242251999855711E-2</v>
      </c>
      <c r="AN116" s="43">
        <f>LN('2.ΤΙΜΕΣ ΚΛΕΙΣΙΜΑΤΟΣ'!AN117/'2.ΤΙΜΕΣ ΚΛΕΙΣΙΜΑΤΟΣ'!AN116)</f>
        <v>-1.1074310299093665E-2</v>
      </c>
      <c r="AO116" s="43">
        <f>LN('2.ΤΙΜΕΣ ΚΛΕΙΣΙΜΑΤΟΣ'!AO117/'2.ΤΙΜΕΣ ΚΛΕΙΣΙΜΑΤΟΣ'!AO116)</f>
        <v>0</v>
      </c>
      <c r="AP116" s="43">
        <f>LN('2.ΤΙΜΕΣ ΚΛΕΙΣΙΜΑΤΟΣ'!AP117/'2.ΤΙΜΕΣ ΚΛΕΙΣΙΜΑΤΟΣ'!AP116)</f>
        <v>1.3210231736806482E-2</v>
      </c>
      <c r="AQ116" s="43">
        <f>LN('2.ΤΙΜΕΣ ΚΛΕΙΣΙΜΑΤΟΣ'!AQ117/'2.ΤΙΜΕΣ ΚΛΕΙΣΙΜΑΤΟΣ'!AQ116)</f>
        <v>1.9608471388376337E-2</v>
      </c>
      <c r="AR116" s="43">
        <f>LN('2.ΤΙΜΕΣ ΚΛΕΙΣΙΜΑΤΟΣ'!AR117/'2.ΤΙΜΕΣ ΚΛΕΙΣΙΜΑΤΟΣ'!AR116)</f>
        <v>6.6445427186685108E-3</v>
      </c>
      <c r="AS116" s="43">
        <f>LN('2.ΤΙΜΕΣ ΚΛΕΙΣΙΜΑΤΟΣ'!AS117/'2.ΤΙΜΕΣ ΚΛΕΙΣΙΜΑΤΟΣ'!AS116)</f>
        <v>1.8779894651596275E-2</v>
      </c>
      <c r="AT116" s="43">
        <f>LN('2.ΤΙΜΕΣ ΚΛΕΙΣΙΜΑΤΟΣ'!AT117/'2.ΤΙΜΕΣ ΚΛΕΙΣΙΜΑΤΟΣ'!AT116)</f>
        <v>2.9475818132953465E-2</v>
      </c>
      <c r="AU116" s="43">
        <f>LN('2.ΤΙΜΕΣ ΚΛΕΙΣΙΜΑΤΟΣ'!AU117/'2.ΤΙΜΕΣ ΚΛΕΙΣΙΜΑΤΟΣ'!AU116)</f>
        <v>7.5430508626740658E-3</v>
      </c>
    </row>
    <row r="117" spans="1:47">
      <c r="A117" s="41">
        <v>43724</v>
      </c>
      <c r="B117" s="43">
        <f>LN('2.ΤΙΜΕΣ ΚΛΕΙΣΙΜΑΤΟΣ'!B118/'2.ΤΙΜΕΣ ΚΛΕΙΣΙΜΑΤΟΣ'!B117)</f>
        <v>7.7953284088266963E-3</v>
      </c>
      <c r="C117" s="43">
        <f>LN('2.ΤΙΜΕΣ ΚΛΕΙΣΙΜΑΤΟΣ'!C118/'2.ΤΙΜΕΣ ΚΛΕΙΣΙΜΑΤΟΣ'!C117)</f>
        <v>1.7642799242749817E-2</v>
      </c>
      <c r="D117" s="43">
        <f>LN('2.ΤΙΜΕΣ ΚΛΕΙΣΙΜΑΤΟΣ'!D118/'2.ΤΙΜΕΣ ΚΛΕΙΣΙΜΑΤΟΣ'!D117)</f>
        <v>1.7146465834514173E-2</v>
      </c>
      <c r="E117" s="43">
        <f>LN('2.ΤΙΜΕΣ ΚΛΕΙΣΙΜΑΤΟΣ'!E118/'2.ΤΙΜΕΣ ΚΛΕΙΣΙΜΑΤΟΣ'!E117)</f>
        <v>1.085414826400855E-2</v>
      </c>
      <c r="F117" s="43">
        <f>LN('2.ΤΙΜΕΣ ΚΛΕΙΣΙΜΑΤΟΣ'!F118/'2.ΤΙΜΕΣ ΚΛΕΙΣΙΜΑΤΟΣ'!F117)</f>
        <v>2.3364496610195056E-3</v>
      </c>
      <c r="G117" s="43">
        <f>LN('2.ΤΙΜΕΣ ΚΛΕΙΣΙΜΑΤΟΣ'!G118/'2.ΤΙΜΕΣ ΚΛΕΙΣΙΜΑΤΟΣ'!G117)</f>
        <v>1.2048338516174574E-2</v>
      </c>
      <c r="H117" s="43">
        <f>LN('2.ΤΙΜΕΣ ΚΛΕΙΣΙΜΑΤΟΣ'!H118/'2.ΤΙΜΕΣ ΚΛΕΙΣΙΜΑΤΟΣ'!H117)</f>
        <v>5.3447834443412987E-2</v>
      </c>
      <c r="I117" s="43">
        <f>LN('2.ΤΙΜΕΣ ΚΛΕΙΣΙΜΑΤΟΣ'!I118/'2.ΤΙΜΕΣ ΚΛΕΙΣΙΜΑΤΟΣ'!I117)</f>
        <v>3.4925124032260377E-2</v>
      </c>
      <c r="J117" s="43">
        <f>LN('2.ΤΙΜΕΣ ΚΛΕΙΣΙΜΑΤΟΣ'!J118/'2.ΤΙΜΕΣ ΚΛΕΙΣΙΜΑΤΟΣ'!J117)</f>
        <v>5.7570682900677239E-3</v>
      </c>
      <c r="K117" s="43">
        <f>LN('2.ΤΙΜΕΣ ΚΛΕΙΣΙΜΑΤΟΣ'!K118/'2.ΤΙΜΕΣ ΚΛΕΙΣΙΜΑΤΟΣ'!K117)</f>
        <v>8.6934161834355452E-3</v>
      </c>
      <c r="L117" s="43">
        <f>LN('2.ΤΙΜΕΣ ΚΛΕΙΣΙΜΑΤΟΣ'!L118/'2.ΤΙΜΕΣ ΚΛΕΙΣΙΜΑΤΟΣ'!L117)</f>
        <v>6.066752682237362E-3</v>
      </c>
      <c r="M117" s="43">
        <f>LN('2.ΤΙΜΕΣ ΚΛΕΙΣΙΜΑΤΟΣ'!M118/'2.ΤΙΜΕΣ ΚΛΕΙΣΙΜΑΤΟΣ'!M117)</f>
        <v>3.3175862238899574E-2</v>
      </c>
      <c r="N117" s="43">
        <f>LN('2.ΤΙΜΕΣ ΚΛΕΙΣΙΜΑΤΟΣ'!N118/'2.ΤΙΜΕΣ ΚΛΕΙΣΙΜΑΤΟΣ'!N117)</f>
        <v>-2.7548226788445085E-3</v>
      </c>
      <c r="O117" s="43">
        <f>LN('2.ΤΙΜΕΣ ΚΛΕΙΣΙΜΑΤΟΣ'!O118/'2.ΤΙΜΕΣ ΚΛΕΙΣΙΜΑΤΟΣ'!O117)</f>
        <v>6.3897980987709883E-3</v>
      </c>
      <c r="P117" s="43">
        <f>LN('2.ΤΙΜΕΣ ΚΛΕΙΣΙΜΑΤΟΣ'!P118/'2.ΤΙΜΕΣ ΚΛΕΙΣΙΜΑΤΟΣ'!P117)</f>
        <v>2.8082968742825305E-2</v>
      </c>
      <c r="Q117" s="43">
        <f>LN('2.ΤΙΜΕΣ ΚΛΕΙΣΙΜΑΤΟΣ'!Q118/'2.ΤΙΜΕΣ ΚΛΕΙΣΙΜΑΤΟΣ'!Q117)</f>
        <v>1.2911557636198078E-3</v>
      </c>
      <c r="R117" s="43">
        <f>LN('2.ΤΙΜΕΣ ΚΛΕΙΣΙΜΑΤΟΣ'!R118/'2.ΤΙΜΕΣ ΚΛΕΙΣΙΜΑΤΟΣ'!R117)</f>
        <v>7.8881728490060796E-3</v>
      </c>
      <c r="S117" s="43">
        <f>LN('2.ΤΙΜΕΣ ΚΛΕΙΣΙΜΑΤΟΣ'!S118/'2.ΤΙΜΕΣ ΚΛΕΙΣΙΜΑΤΟΣ'!S117)</f>
        <v>-1.3588844061896485E-2</v>
      </c>
      <c r="T117" s="43">
        <f>LN('2.ΤΙΜΕΣ ΚΛΕΙΣΙΜΑΤΟΣ'!T118/'2.ΤΙΜΕΣ ΚΛΕΙΣΙΜΑΤΟΣ'!T117)</f>
        <v>3.8436946745629363E-3</v>
      </c>
      <c r="U117" s="43">
        <f>LN('2.ΤΙΜΕΣ ΚΛΕΙΣΙΜΑΤΟΣ'!U118/'2.ΤΙΜΕΣ ΚΛΕΙΣΙΜΑΤΟΣ'!U117)</f>
        <v>-7.1006215495764274E-3</v>
      </c>
      <c r="V117" s="43">
        <f>LN('2.ΤΙΜΕΣ ΚΛΕΙΣΙΜΑΤΟΣ'!V118/'2.ΤΙΜΕΣ ΚΛΕΙΣΙΜΑΤΟΣ'!V117)</f>
        <v>4.3103515011222631E-3</v>
      </c>
      <c r="W117" s="43">
        <f>LN('2.ΤΙΜΕΣ ΚΛΕΙΣΙΜΑΤΟΣ'!W118/'2.ΤΙΜΕΣ ΚΛΕΙΣΙΜΑΤΟΣ'!W117)</f>
        <v>3.7664827954768648E-3</v>
      </c>
      <c r="X117" s="43">
        <f>LN('2.ΤΙΜΕΣ ΚΛΕΙΣΙΜΑΤΟΣ'!X118/'2.ΤΙΜΕΣ ΚΛΕΙΣΙΜΑΤΟΣ'!X117)</f>
        <v>1.6894488898761831E-2</v>
      </c>
      <c r="Y117" s="43">
        <f>LN('2.ΤΙΜΕΣ ΚΛΕΙΣΙΜΑΤΟΣ'!Y118/'2.ΤΙΜΕΣ ΚΛΕΙΣΙΜΑΤΟΣ'!Y117)</f>
        <v>0</v>
      </c>
      <c r="Z117" s="43">
        <f>LN('2.ΤΙΜΕΣ ΚΛΕΙΣΙΜΑΤΟΣ'!Z118/'2.ΤΙΜΕΣ ΚΛΕΙΣΙΜΑΤΟΣ'!Z117)</f>
        <v>6.8728792877620504E-3</v>
      </c>
      <c r="AA117" s="43">
        <f>LN('2.ΤΙΜΕΣ ΚΛΕΙΣΙΜΑΤΟΣ'!AA118/'2.ΤΙΜΕΣ ΚΛΕΙΣΙΜΑΤΟΣ'!AA117)</f>
        <v>1.1560822401076006E-2</v>
      </c>
      <c r="AB117" s="43">
        <f>LN('2.ΤΙΜΕΣ ΚΛΕΙΣΙΜΑΤΟΣ'!AB118/'2.ΤΙΜΕΣ ΚΛΕΙΣΙΜΑΤΟΣ'!AB117)</f>
        <v>2.9686781180042462E-2</v>
      </c>
      <c r="AC117" s="43">
        <f>LN('2.ΤΙΜΕΣ ΚΛΕΙΣΙΜΑΤΟΣ'!AC118/'2.ΤΙΜΕΣ ΚΛΕΙΣΙΜΑΤΟΣ'!AC117)</f>
        <v>1.3783599701213596E-3</v>
      </c>
      <c r="AD117" s="43">
        <f>LN('2.ΤΙΜΕΣ ΚΛΕΙΣΙΜΑΤΟΣ'!AD118/'2.ΤΙΜΕΣ ΚΛΕΙΣΙΜΑΤΟΣ'!AD117)</f>
        <v>-1.4285957247476541E-2</v>
      </c>
      <c r="AE117" s="43">
        <f>LN('2.ΤΙΜΕΣ ΚΛΕΙΣΙΜΑΤΟΣ'!AE118/'2.ΤΙΜΕΣ ΚΛΕΙΣΙΜΑΤΟΣ'!AE117)</f>
        <v>7.782140442054949E-3</v>
      </c>
      <c r="AF117" s="43">
        <f>LN('2.ΤΙΜΕΣ ΚΛΕΙΣΙΜΑΤΟΣ'!AF118/'2.ΤΙΜΕΣ ΚΛΕΙΣΙΜΑΤΟΣ'!AF117)</f>
        <v>-3.5091319811270061E-2</v>
      </c>
      <c r="AG117" s="43">
        <f>LN('2.ΤΙΜΕΣ ΚΛΕΙΣΙΜΑΤΟΣ'!AG118/'2.ΤΙΜΕΣ ΚΛΕΙΣΙΜΑΤΟΣ'!AG117)</f>
        <v>2.6907452919924402E-2</v>
      </c>
      <c r="AH117" s="43">
        <f>LN('2.ΤΙΜΕΣ ΚΛΕΙΣΙΜΑΤΟΣ'!AH118/'2.ΤΙΜΕΣ ΚΛΕΙΣΙΜΑΤΟΣ'!AH117)</f>
        <v>3.04485464470696E-2</v>
      </c>
      <c r="AI117" s="43">
        <f>LN('2.ΤΙΜΕΣ ΚΛΕΙΣΙΜΑΤΟΣ'!AI118/'2.ΤΙΜΕΣ ΚΛΕΙΣΙΜΑΤΟΣ'!AI117)</f>
        <v>0</v>
      </c>
      <c r="AJ117" s="43">
        <f>LN('2.ΤΙΜΕΣ ΚΛΕΙΣΙΜΑΤΟΣ'!AJ118/'2.ΤΙΜΕΣ ΚΛΕΙΣΙΜΑΤΟΣ'!AJ117)</f>
        <v>3.6221263434318356E-2</v>
      </c>
      <c r="AK117" s="43">
        <f>LN('2.ΤΙΜΕΣ ΚΛΕΙΣΙΜΑΤΟΣ'!AK118/'2.ΤΙΜΕΣ ΚΛΕΙΣΙΜΑΤΟΣ'!AK117)</f>
        <v>4.7961722634930135E-3</v>
      </c>
      <c r="AL117" s="43">
        <f>LN('2.ΤΙΜΕΣ ΚΛΕΙΣΙΜΑΤΟΣ'!AL118/'2.ΤΙΜΕΣ ΚΛΕΙΣΙΜΑΤΟΣ'!AL117)</f>
        <v>2.1202207650602906E-2</v>
      </c>
      <c r="AM117" s="43">
        <f>LN('2.ΤΙΜΕΣ ΚΛΕΙΣΙΜΑΤΟΣ'!AM118/'2.ΤΙΜΕΣ ΚΛΕΙΣΙΜΑΤΟΣ'!AM117)</f>
        <v>7.3801072976226803E-3</v>
      </c>
      <c r="AN117" s="43">
        <f>LN('2.ΤΙΜΕΣ ΚΛΕΙΣΙΜΑΤΟΣ'!AN118/'2.ΤΙΜΕΣ ΚΛΕΙΣΙΜΑΤΟΣ'!AN117)</f>
        <v>-2.4803977365808173E-2</v>
      </c>
      <c r="AO117" s="43">
        <f>LN('2.ΤΙΜΕΣ ΚΛΕΙΣΙΜΑΤΟΣ'!AO118/'2.ΤΙΜΕΣ ΚΛΕΙΣΙΜΑΤΟΣ'!AO117)</f>
        <v>8.1633106391608354E-3</v>
      </c>
      <c r="AP117" s="43">
        <f>LN('2.ΤΙΜΕΣ ΚΛΕΙΣΙΜΑΤΟΣ'!AP118/'2.ΤΙΜΕΣ ΚΛΕΙΣΙΜΑΤΟΣ'!AP117)</f>
        <v>7.8431774610258787E-3</v>
      </c>
      <c r="AQ117" s="43">
        <f>LN('2.ΤΙΜΕΣ ΚΛΕΙΣΙΜΑΤΟΣ'!AQ118/'2.ΤΙΜΕΣ ΚΛΕΙΣΙΜΑΤΟΣ'!AQ117)</f>
        <v>-9.7561749453646852E-3</v>
      </c>
      <c r="AR117" s="43">
        <f>LN('2.ΤΙΜΕΣ ΚΛΕΙΣΙΜΑΤΟΣ'!AR118/'2.ΤΙΜΕΣ ΚΛΕΙΣΙΜΑΤΟΣ'!AR117)</f>
        <v>-6.6445427186686131E-3</v>
      </c>
      <c r="AS117" s="43">
        <f>LN('2.ΤΙΜΕΣ ΚΛΕΙΣΙΜΑΤΟΣ'!AS118/'2.ΤΙΜΕΣ ΚΛΕΙΣΙΜΑΤΟΣ'!AS117)</f>
        <v>0</v>
      </c>
      <c r="AT117" s="43">
        <f>LN('2.ΤΙΜΕΣ ΚΛΕΙΣΙΜΑΤΟΣ'!AT118/'2.ΤΙΜΕΣ ΚΛΕΙΣΙΜΑΤΟΣ'!AT117)</f>
        <v>4.1407926660313871E-3</v>
      </c>
      <c r="AU117" s="43">
        <f>LN('2.ΤΙΜΕΣ ΚΛΕΙΣΙΜΑΤΟΣ'!AU118/'2.ΤΙΜΕΣ ΚΛΕΙΣΙΜΑΤΟΣ'!AU117)</f>
        <v>1.269633792891813E-2</v>
      </c>
    </row>
    <row r="118" spans="1:47">
      <c r="A118" s="41">
        <v>43725</v>
      </c>
      <c r="B118" s="43">
        <f>LN('2.ΤΙΜΕΣ ΚΛΕΙΣΙΜΑΤΟΣ'!B119/'2.ΤΙΜΕΣ ΚΛΕΙΣΙΜΑΤΟΣ'!B118)</f>
        <v>-3.7206198848046376E-3</v>
      </c>
      <c r="C118" s="43">
        <f>LN('2.ΤΙΜΕΣ ΚΛΕΙΣΙΜΑΤΟΣ'!C119/'2.ΤΙΜΕΣ ΚΛΕΙΣΙΜΑΤΟΣ'!C118)</f>
        <v>7.917697736785306E-3</v>
      </c>
      <c r="D118" s="43">
        <f>LN('2.ΤΙΜΕΣ ΚΛΕΙΣΙΜΑΤΟΣ'!D119/'2.ΤΙΜΕΣ ΚΛΕΙΣΙΜΑΤΟΣ'!D118)</f>
        <v>-5.0423664723044277E-3</v>
      </c>
      <c r="E118" s="43">
        <f>LN('2.ΤΙΜΕΣ ΚΛΕΙΣΙΜΑΤΟΣ'!E119/'2.ΤΙΜΕΣ ΚΛΕΙΣΙΜΑΤΟΣ'!E118)</f>
        <v>-3.645182279797135E-2</v>
      </c>
      <c r="F118" s="43">
        <f>LN('2.ΤΙΜΕΣ ΚΛΕΙΣΙΜΑΤΟΣ'!F119/'2.ΤΙΜΕΣ ΚΛΕΙΣΙΜΑΤΟΣ'!F118)</f>
        <v>3.494470649773557E-3</v>
      </c>
      <c r="G118" s="43">
        <f>LN('2.ΤΙΜΕΣ ΚΛΕΙΣΙΜΑΤΟΣ'!G119/'2.ΤΙΜΕΣ ΚΛΕΙΣΙΜΑΤΟΣ'!G118)</f>
        <v>-6.0060240602119218E-3</v>
      </c>
      <c r="H118" s="43">
        <f>LN('2.ΤΙΜΕΣ ΚΛΕΙΣΙΜΑΤΟΣ'!H119/'2.ΤΙΜΕΣ ΚΛΕΙΣΙΜΑΤΟΣ'!H118)</f>
        <v>0</v>
      </c>
      <c r="I118" s="43">
        <f>LN('2.ΤΙΜΕΣ ΚΛΕΙΣΙΜΑΤΟΣ'!I119/'2.ΤΙΜΕΣ ΚΛΕΙΣΙΜΑΤΟΣ'!I118)</f>
        <v>-2.5332724340821001E-2</v>
      </c>
      <c r="J118" s="43">
        <f>LN('2.ΤΙΜΕΣ ΚΛΕΙΣΙΜΑΤΟΣ'!J119/'2.ΤΙΜΕΣ ΚΛΕΙΣΙΜΑΤΟΣ'!J118)</f>
        <v>-7.6834799819481018E-3</v>
      </c>
      <c r="K118" s="43">
        <f>LN('2.ΤΙΜΕΣ ΚΛΕΙΣΙΜΑΤΟΣ'!K119/'2.ΤΙΜΕΣ ΚΛΕΙΣΙΜΑΤΟΣ'!K118)</f>
        <v>-3.0087466550061438E-2</v>
      </c>
      <c r="L118" s="43">
        <f>LN('2.ΤΙΜΕΣ ΚΛΕΙΣΙΜΑΤΟΣ'!L119/'2.ΤΙΜΕΣ ΚΛΕΙΣΙΜΑΤΟΣ'!L118)</f>
        <v>-5.0530678513912887E-3</v>
      </c>
      <c r="M118" s="43">
        <f>LN('2.ΤΙΜΕΣ ΚΛΕΙΣΙΜΑΤΟΣ'!M119/'2.ΤΙΜΕΣ ΚΛΕΙΣΙΜΑΤΟΣ'!M118)</f>
        <v>1.0520779508038345E-3</v>
      </c>
      <c r="N118" s="43">
        <f>LN('2.ΤΙΜΕΣ ΚΛΕΙΣΙΜΑΤΟΣ'!N119/'2.ΤΙΜΕΣ ΚΛΕΙΣΙΜΑΤΟΣ'!N118)</f>
        <v>-5.3938309319608753E-3</v>
      </c>
      <c r="O118" s="43">
        <f>LN('2.ΤΙΜΕΣ ΚΛΕΙΣΙΜΑΤΟΣ'!O119/'2.ΤΙΜΕΣ ΚΛΕΙΣΙΜΑΤΟΣ'!O118)</f>
        <v>1.2730746467981126E-3</v>
      </c>
      <c r="P118" s="43">
        <f>LN('2.ΤΙΜΕΣ ΚΛΕΙΣΙΜΑΤΟΣ'!P119/'2.ΤΙΜΕΣ ΚΛΕΙΣΙΜΑΤΟΣ'!P118)</f>
        <v>-4.6260683887823029E-3</v>
      </c>
      <c r="Q118" s="43">
        <f>LN('2.ΤΙΜΕΣ ΚΛΕΙΣΙΜΑΤΟΣ'!Q119/'2.ΤΙΜΕΣ ΚΛΕΙΣΙΜΑΤΟΣ'!Q118)</f>
        <v>-8.4224663746964752E-3</v>
      </c>
      <c r="R118" s="43">
        <f>LN('2.ΤΙΜΕΣ ΚΛΕΙΣΙΜΑΤΟΣ'!R119/'2.ΤΙΜΕΣ ΚΛΕΙΣΙΜΑΤΟΣ'!R118)</f>
        <v>-8.6083745366001638E-3</v>
      </c>
      <c r="S118" s="43">
        <f>LN('2.ΤΙΜΕΣ ΚΛΕΙΣΙΜΑΤΟΣ'!S119/'2.ΤΙΜΕΣ ΚΛΕΙΣΙΜΑΤΟΣ'!S118)</f>
        <v>-6.2383234126915906E-3</v>
      </c>
      <c r="T118" s="43">
        <f>LN('2.ΤΙΜΕΣ ΚΛΕΙΣΙΜΑΤΟΣ'!T119/'2.ΤΙΜΕΣ ΚΛΕΙΣΙΜΑΤΟΣ'!T118)</f>
        <v>7.6433493125680659E-3</v>
      </c>
      <c r="U118" s="43">
        <f>LN('2.ΤΙΜΕΣ ΚΛΕΙΣΙΜΑΤΟΣ'!U119/'2.ΤΙΜΕΣ ΚΛΕΙΣΙΜΑΤΟΣ'!U118)</f>
        <v>0</v>
      </c>
      <c r="V118" s="43">
        <f>LN('2.ΤΙΜΕΣ ΚΛΕΙΣΙΜΑΤΟΣ'!V119/'2.ΤΙΜΕΣ ΚΛΕΙΣΙΜΑΤΟΣ'!V118)</f>
        <v>4.2918520815410843E-3</v>
      </c>
      <c r="W118" s="43">
        <f>LN('2.ΤΙΜΕΣ ΚΛΕΙΣΙΜΑΤΟΣ'!W119/'2.ΤΙΜΕΣ ΚΛΕΙΣΙΜΑΤΟΣ'!W118)</f>
        <v>-1.515180502060222E-2</v>
      </c>
      <c r="X118" s="43">
        <f>LN('2.ΤΙΜΕΣ ΚΛΕΙΣΙΜΑΤΟΣ'!X119/'2.ΤΙΜΕΣ ΚΛΕΙΣΙΜΑΤΟΣ'!X118)</f>
        <v>-5.5998423309939734E-3</v>
      </c>
      <c r="Y118" s="43">
        <f>LN('2.ΤΙΜΕΣ ΚΛΕΙΣΙΜΑΤΟΣ'!Y119/'2.ΤΙΜΕΣ ΚΛΕΙΣΙΜΑΤΟΣ'!Y118)</f>
        <v>-1.9129169908995304E-2</v>
      </c>
      <c r="Z118" s="43">
        <f>LN('2.ΤΙΜΕΣ ΚΛΕΙΣΙΜΑΤΟΣ'!Z119/'2.ΤΙΜΕΣ ΚΛΕΙΣΙΜΑΤΟΣ'!Z118)</f>
        <v>-6.8728792877620643E-3</v>
      </c>
      <c r="AA118" s="43">
        <f>LN('2.ΤΙΜΕΣ ΚΛΕΙΣΙΜΑΤΟΣ'!AA119/'2.ΤΙΜΕΣ ΚΛΕΙΣΙΜΑΤΟΣ'!AA118)</f>
        <v>-3.5091319811270172E-2</v>
      </c>
      <c r="AB118" s="43">
        <f>LN('2.ΤΙΜΕΣ ΚΛΕΙΣΙΜΑΤΟΣ'!AB119/'2.ΤΙΜΕΣ ΚΛΕΙΣΙΜΑΤΟΣ'!AB118)</f>
        <v>-2.5927378256136554E-2</v>
      </c>
      <c r="AC118" s="43">
        <f>LN('2.ΤΙΜΕΣ ΚΛΕΙΣΙΜΑΤΟΣ'!AC119/'2.ΤΙΜΕΣ ΚΛΕΙΣΙΜΑΤΟΣ'!AC118)</f>
        <v>-1.3783599701212709E-3</v>
      </c>
      <c r="AD118" s="43">
        <f>LN('2.ΤΙΜΕΣ ΚΛΕΙΣΙΜΑΤΟΣ'!AD119/'2.ΤΙΜΕΣ ΚΛΕΙΣΙΜΑΤΟΣ'!AD118)</f>
        <v>0</v>
      </c>
      <c r="AE118" s="43">
        <f>LN('2.ΤΙΜΕΣ ΚΛΕΙΣΙΜΑΤΟΣ'!AE119/'2.ΤΙΜΕΣ ΚΛΕΙΣΙΜΑΤΟΣ'!AE118)</f>
        <v>-3.8835000263977445E-3</v>
      </c>
      <c r="AF118" s="43">
        <f>LN('2.ΤΙΜΕΣ ΚΛΕΙΣΙΜΑΤΟΣ'!AF119/'2.ΤΙΜΕΣ ΚΛΕΙΣΙΜΑΤΟΣ'!AF118)</f>
        <v>-1.025650016718911E-2</v>
      </c>
      <c r="AG118" s="43">
        <f>LN('2.ΤΙΜΕΣ ΚΛΕΙΣΙΜΑΤΟΣ'!AG119/'2.ΤΙΜΕΣ ΚΛΕΙΣΙΜΑΤΟΣ'!AG118)</f>
        <v>-2.2372297754533099E-2</v>
      </c>
      <c r="AH118" s="43">
        <f>LN('2.ΤΙΜΕΣ ΚΛΕΙΣΙΜΑΤΟΣ'!AH119/'2.ΤΙΜΕΣ ΚΛΕΙΣΙΜΑΤΟΣ'!AH118)</f>
        <v>0</v>
      </c>
      <c r="AI118" s="43">
        <f>LN('2.ΤΙΜΕΣ ΚΛΕΙΣΙΜΑΤΟΣ'!AI119/'2.ΤΙΜΕΣ ΚΛΕΙΣΙΜΑΤΟΣ'!AI118)</f>
        <v>8.0972102326193028E-3</v>
      </c>
      <c r="AJ118" s="43">
        <f>LN('2.ΤΙΜΕΣ ΚΛΕΙΣΙΜΑΤΟΣ'!AJ119/'2.ΤΙΜΕΣ ΚΛΕΙΣΙΜΑΤΟΣ'!AJ118)</f>
        <v>-7.9365495957363034E-3</v>
      </c>
      <c r="AK118" s="43">
        <f>LN('2.ΤΙΜΕΣ ΚΛΕΙΣΙΜΑΤΟΣ'!AK119/'2.ΤΙΜΕΣ ΚΛΕΙΣΙΜΑΤΟΣ'!AK118)</f>
        <v>4.7732787526578117E-3</v>
      </c>
      <c r="AL118" s="43">
        <f>LN('2.ΤΙΜΕΣ ΚΛΕΙΣΙΜΑΤΟΣ'!AL119/'2.ΤΙΜΕΣ ΚΛΕΙΣΙΜΑΤΟΣ'!AL118)</f>
        <v>-2.1202207650602822E-2</v>
      </c>
      <c r="AM118" s="43">
        <f>LN('2.ΤΙΜΕΣ ΚΛΕΙΣΙΜΑΤΟΣ'!AM119/'2.ΤΙΜΕΣ ΚΛΕΙΣΙΜΑΤΟΣ'!AM118)</f>
        <v>-2.4539889615667028E-3</v>
      </c>
      <c r="AN118" s="43">
        <f>LN('2.ΤΙΜΕΣ ΚΛΕΙΣΙΜΑΤΟΣ'!AN119/'2.ΤΙΜΕΣ ΚΛΕΙΣΙΜΑΤΟΣ'!AN118)</f>
        <v>-2.0761991448429128E-2</v>
      </c>
      <c r="AO118" s="43">
        <f>LN('2.ΤΙΜΕΣ ΚΛΕΙΣΙΜΑΤΟΣ'!AO119/'2.ΤΙΜΕΣ ΚΛΕΙΣΙΜΑΤΟΣ'!AO118)</f>
        <v>5.4054185669079819E-3</v>
      </c>
      <c r="AP118" s="43">
        <f>LN('2.ΤΙΜΕΣ ΚΛΕΙΣΙΜΑΤΟΣ'!AP119/'2.ΤΙΜΕΣ ΚΛΕΙΣΙΜΑΤΟΣ'!AP118)</f>
        <v>-1.0471299867295366E-2</v>
      </c>
      <c r="AQ118" s="43">
        <f>LN('2.ΤΙΜΕΣ ΚΛΕΙΣΙΜΑΤΟΣ'!AQ119/'2.ΤΙΜΕΣ ΚΛΕΙΣΙΜΑΤΟΣ'!AQ118)</f>
        <v>-1.1834457647002796E-2</v>
      </c>
      <c r="AR118" s="43">
        <f>LN('2.ΤΙΜΕΣ ΚΛΕΙΣΙΜΑΤΟΣ'!AR119/'2.ΤΙΜΕΣ ΚΛΕΙΣΙΜΑΤΟΣ'!AR118)</f>
        <v>-1.5113637810048184E-2</v>
      </c>
      <c r="AS118" s="43">
        <f>LN('2.ΤΙΜΕΣ ΚΛΕΙΣΙΜΑΤΟΣ'!AS119/'2.ΤΙΜΕΣ ΚΛΕΙΣΙΜΑΤΟΣ'!AS118)</f>
        <v>-2.3530497410194046E-2</v>
      </c>
      <c r="AT118" s="43">
        <f>LN('2.ΤΙΜΕΣ ΚΛΕΙΣΙΜΑΤΟΣ'!AT119/'2.ΤΙΜΕΣ ΚΛΕΙΣΙΜΑΤΟΣ'!AT118)</f>
        <v>-2.935221201252745E-2</v>
      </c>
      <c r="AU118" s="43">
        <f>LN('2.ΤΙΜΕΣ ΚΛΕΙΣΙΜΑΤΟΣ'!AU119/'2.ΤΙΜΕΣ ΚΛΕΙΣΙΜΑΤΟΣ'!AU118)</f>
        <v>-6.9717309870905774E-3</v>
      </c>
    </row>
    <row r="119" spans="1:47">
      <c r="A119" s="41">
        <v>43726</v>
      </c>
      <c r="B119" s="43">
        <f>LN('2.ΤΙΜΕΣ ΚΛΕΙΣΙΜΑΤΟΣ'!B120/'2.ΤΙΜΕΣ ΚΛΕΙΣΙΜΑΤΟΣ'!B119)</f>
        <v>2.1455734218346387E-2</v>
      </c>
      <c r="C119" s="43">
        <f>LN('2.ΤΙΜΕΣ ΚΛΕΙΣΙΜΑΤΟΣ'!C120/'2.ΤΙΜΕΣ ΚΛΕΙΣΙΜΑΤΟΣ'!C119)</f>
        <v>7.0727210353680146E-3</v>
      </c>
      <c r="D119" s="43">
        <f>LN('2.ΤΙΜΕΣ ΚΛΕΙΣΙΜΑΤΟΣ'!D120/'2.ΤΙΜΕΣ ΚΛΕΙΣΙΜΑΤΟΣ'!D119)</f>
        <v>0</v>
      </c>
      <c r="E119" s="43">
        <f>LN('2.ΤΙΜΕΣ ΚΛΕΙΣΙΜΑΤΟΣ'!E120/'2.ΤΙΜΕΣ ΚΛΕΙΣΙΜΑΤΟΣ'!E119)</f>
        <v>1.46244197534497E-2</v>
      </c>
      <c r="F119" s="43">
        <f>LN('2.ΤΙΜΕΣ ΚΛΕΙΣΙΜΑΤΟΣ'!F120/'2.ΤΙΜΕΣ ΚΛΕΙΣΙΜΑΤΟΣ'!F119)</f>
        <v>1.3857034661426281E-2</v>
      </c>
      <c r="G119" s="43">
        <f>LN('2.ΤΙΜΕΣ ΚΛΕΙΣΙΜΑΤΟΣ'!G120/'2.ΤΙΜΕΣ ΚΛΕΙΣΙΜΑΤΟΣ'!G119)</f>
        <v>-7.2551708811719098E-3</v>
      </c>
      <c r="H119" s="43">
        <f>LN('2.ΤΙΜΕΣ ΚΛΕΙΣΙΜΑΤΟΣ'!H120/'2.ΤΙΜΕΣ ΚΛΕΙΣΙΜΑΤΟΣ'!H119)</f>
        <v>1.4760415583120674E-2</v>
      </c>
      <c r="I119" s="43">
        <f>LN('2.ΤΙΜΕΣ ΚΛΕΙΣΙΜΑΤΟΣ'!I120/'2.ΤΙΜΕΣ ΚΛΕΙΣΙΜΑΤΟΣ'!I119)</f>
        <v>2.5332724340820911E-2</v>
      </c>
      <c r="J119" s="43">
        <f>LN('2.ΤΙΜΕΣ ΚΛΕΙΣΙΜΑΤΟΣ'!J120/'2.ΤΙΜΕΣ ΚΛΕΙΣΙΜΑΤΟΣ'!J119)</f>
        <v>1.4928506906543539E-2</v>
      </c>
      <c r="K119" s="43">
        <f>LN('2.ΤΙΜΕΣ ΚΛΕΙΣΙΜΑΤΟΣ'!K120/'2.ΤΙΜΕΣ ΚΛΕΙΣΙΜΑΤΟΣ'!K119)</f>
        <v>1.8877326076450814E-2</v>
      </c>
      <c r="L119" s="43">
        <f>LN('2.ΤΙΜΕΣ ΚΛΕΙΣΙΜΑΤΟΣ'!L120/'2.ΤΙΜΕΣ ΚΛΕΙΣΙΜΑΤΟΣ'!L119)</f>
        <v>2.30355704018236E-2</v>
      </c>
      <c r="M119" s="43">
        <f>LN('2.ΤΙΜΕΣ ΚΛΕΙΣΙΜΑΤΟΣ'!M120/'2.ΤΙΜΕΣ ΚΛΕΙΣΙΜΑΤΟΣ'!M119)</f>
        <v>6.2893289075639184E-3</v>
      </c>
      <c r="N119" s="43">
        <f>LN('2.ΤΙΜΕΣ ΚΛΕΙΣΙΜΑΤΟΣ'!N120/'2.ΤΙΜΕΣ ΚΛΕΙΣΙΜΑΤΟΣ'!N119)</f>
        <v>1.7458687998467816E-2</v>
      </c>
      <c r="O119" s="43">
        <f>LN('2.ΤΙΜΕΣ ΚΛΕΙΣΙΜΑΤΟΣ'!O120/'2.ΤΙΜΕΣ ΚΛΕΙΣΙΜΑΤΟΣ'!O119)</f>
        <v>2.7605266091888698E-2</v>
      </c>
      <c r="P119" s="43">
        <f>LN('2.ΤΙΜΕΣ ΚΛΕΙΣΙΜΑΤΟΣ'!P120/'2.ΤΙΜΕΣ ΚΛΕΙΣΙΜΑΤΟΣ'!P119)</f>
        <v>4.6260683887822431E-3</v>
      </c>
      <c r="Q119" s="43">
        <f>LN('2.ΤΙΜΕΣ ΚΛΕΙΣΙΜΑΤΟΣ'!Q120/'2.ΤΙΜΕΣ ΚΛΕΙΣΙΜΑΤΟΣ'!Q119)</f>
        <v>1.9499518690791566E-3</v>
      </c>
      <c r="R119" s="43">
        <f>LN('2.ΤΙΜΕΣ ΚΛΕΙΣΙΜΑΤΟΣ'!R120/'2.ΤΙΜΕΣ ΚΛΕΙΣΙΜΑΤΟΣ'!R119)</f>
        <v>5.0572573635632334E-2</v>
      </c>
      <c r="S119" s="43">
        <f>LN('2.ΤΙΜΕΣ ΚΛΕΙΣΙΜΑΤΟΣ'!S120/'2.ΤΙΜΕΣ ΚΛΕΙΣΙΜΑΤΟΣ'!S119)</f>
        <v>1.7370163781535924E-2</v>
      </c>
      <c r="T119" s="43">
        <f>LN('2.ΤΙΜΕΣ ΚΛΕΙΣΙΜΑΤΟΣ'!T120/'2.ΤΙΜΕΣ ΚΛΕΙΣΙΜΑΤΟΣ'!T119)</f>
        <v>1.0101095986503919E-2</v>
      </c>
      <c r="U119" s="43">
        <f>LN('2.ΤΙΜΕΣ ΚΛΕΙΣΙΜΑΤΟΣ'!U120/'2.ΤΙΜΕΣ ΚΛΕΙΣΙΜΑΤΟΣ'!U119)</f>
        <v>1.1806512586989044E-2</v>
      </c>
      <c r="V119" s="43">
        <f>LN('2.ΤΙΜΕΣ ΚΛΕΙΣΙΜΑΤΟΣ'!V120/'2.ΤΙΜΕΣ ΚΛΕΙΣΙΜΑΤΟΣ'!V119)</f>
        <v>2.1187233219443845E-2</v>
      </c>
      <c r="W119" s="43">
        <f>LN('2.ΤΙΜΕΣ ΚΛΕΙΣΙΜΑΤΟΣ'!W120/'2.ΤΙΜΕΣ ΚΛΕΙΣΙΜΑΤΟΣ'!W119)</f>
        <v>3.2543547732471208E-2</v>
      </c>
      <c r="X119" s="43">
        <f>LN('2.ΤΙΜΕΣ ΚΛΕΙΣΙΜΑΤΟΣ'!X120/'2.ΤΙΜΕΣ ΚΛΕΙΣΙΜΑΤΟΣ'!X119)</f>
        <v>1.4012239556966143E-2</v>
      </c>
      <c r="Y119" s="43">
        <f>LN('2.ΤΙΜΕΣ ΚΛΕΙΣΙΜΑΤΟΣ'!Y120/'2.ΤΙΜΕΣ ΚΛΕΙΣΙΜΑΤΟΣ'!Y119)</f>
        <v>1.1733467947866272E-2</v>
      </c>
      <c r="Z119" s="43">
        <f>LN('2.ΤΙΜΕΣ ΚΛΕΙΣΙΜΑΤΟΣ'!Z120/'2.ΤΙΜΕΣ ΚΛΕΙΣΙΜΑΤΟΣ'!Z119)</f>
        <v>3.4423441909729197E-3</v>
      </c>
      <c r="AA119" s="43">
        <f>LN('2.ΤΙΜΕΣ ΚΛΕΙΣΙΜΑΤΟΣ'!AA120/'2.ΤΙΜΕΣ ΚΛΕΙΣΙΜΑΤΟΣ'!AA119)</f>
        <v>8.8889474172459942E-3</v>
      </c>
      <c r="AB119" s="43">
        <f>LN('2.ΤΙΜΕΣ ΚΛΕΙΣΙΜΑΤΟΣ'!AB120/'2.ΤΙΜΕΣ ΚΛΕΙΣΙΜΑΤΟΣ'!AB119)</f>
        <v>5.6127369049573852E-3</v>
      </c>
      <c r="AC119" s="43">
        <f>LN('2.ΤΙΜΕΣ ΚΛΕΙΣΙΜΑΤΟΣ'!AC120/'2.ΤΙΜΕΣ ΚΛΕΙΣΙΜΑΤΟΣ'!AC119)</f>
        <v>0</v>
      </c>
      <c r="AD119" s="43">
        <f>LN('2.ΤΙΜΕΣ ΚΛΕΙΣΙΜΑΤΟΣ'!AD120/'2.ΤΙΜΕΣ ΚΛΕΙΣΙΜΑΤΟΣ'!AD119)</f>
        <v>7.168489478612497E-3</v>
      </c>
      <c r="AE119" s="43">
        <f>LN('2.ΤΙΜΕΣ ΚΛΕΙΣΙΜΑΤΟΣ'!AE120/'2.ΤΙΜΕΣ ΚΛΕΙΣΙΜΑΤΟΣ'!AE119)</f>
        <v>0</v>
      </c>
      <c r="AF119" s="43">
        <f>LN('2.ΤΙΜΕΣ ΚΛΕΙΣΙΜΑΤΟΣ'!AF120/'2.ΤΙΜΕΣ ΚΛΕΙΣΙΜΑΤΟΣ'!AF119)</f>
        <v>-1.9782008952038244E-2</v>
      </c>
      <c r="AG119" s="43">
        <f>LN('2.ΤΙΜΕΣ ΚΛΕΙΣΙΜΑΤΟΣ'!AG120/'2.ΤΙΜΕΣ ΚΛΕΙΣΙΜΑΤΟΣ'!AG119)</f>
        <v>6.7644000885420628E-3</v>
      </c>
      <c r="AH119" s="43">
        <f>LN('2.ΤΙΜΕΣ ΚΛΕΙΣΙΜΑΤΟΣ'!AH120/'2.ΤΙΜΕΣ ΚΛΕΙΣΙΜΑΤΟΣ'!AH119)</f>
        <v>8.2389755445528619E-3</v>
      </c>
      <c r="AI119" s="43">
        <f>LN('2.ΤΙΜΕΣ ΚΛΕΙΣΙΜΑΤΟΣ'!AI120/'2.ΤΙΜΕΣ ΚΛΕΙΣΙΜΑΤΟΣ'!AI119)</f>
        <v>8.0321716972642527E-3</v>
      </c>
      <c r="AJ119" s="43">
        <f>LN('2.ΤΙΜΕΣ ΚΛΕΙΣΙΜΑΤΟΣ'!AJ120/'2.ΤΙΜΕΣ ΚΛΕΙΣΙΜΑΤΟΣ'!AJ119)</f>
        <v>2.7506645789833729E-2</v>
      </c>
      <c r="AK119" s="43">
        <f>LN('2.ΤΙΜΕΣ ΚΛΕΙΣΙΜΑΤΟΣ'!AK120/'2.ΤΙΜΕΣ ΚΛΕΙΣΙΜΑΤΟΣ'!AK119)</f>
        <v>4.7506027585977988E-3</v>
      </c>
      <c r="AL119" s="43">
        <f>LN('2.ΤΙΜΕΣ ΚΛΕΙΣΙΜΑΤΟΣ'!AL120/'2.ΤΙΜΕΣ ΚΛΕΙΣΙΜΑΤΟΣ'!AL119)</f>
        <v>1.4184634991956163E-2</v>
      </c>
      <c r="AM119" s="43">
        <f>LN('2.ΤΙΜΕΣ ΚΛΕΙΣΙΜΑΤΟΣ'!AM120/'2.ΤΙΜΕΣ ΚΛΕΙΣΙΜΑΤΟΣ'!AM119)</f>
        <v>-1.734863833461309E-2</v>
      </c>
      <c r="AN119" s="43">
        <f>LN('2.ΤΙΜΕΣ ΚΛΕΙΣΙΜΑΤΟΣ'!AN120/'2.ΤΙΜΕΣ ΚΛΕΙΣΙΜΑΤΟΣ'!AN119)</f>
        <v>-1.8824085245635589E-2</v>
      </c>
      <c r="AO119" s="43">
        <f>LN('2.ΤΙΜΕΣ ΚΛΕΙΣΙΜΑΤΟΣ'!AO120/'2.ΤΙΜΕΣ ΚΛΕΙΣΙΜΑΤΟΣ'!AO119)</f>
        <v>-8.119124438504129E-3</v>
      </c>
      <c r="AP119" s="43">
        <f>LN('2.ΤΙΜΕΣ ΚΛΕΙΣΙΜΑΤΟΣ'!AP120/'2.ΤΙΜΕΣ ΚΛΕΙΣΙΜΑΤΟΣ'!AP119)</f>
        <v>0</v>
      </c>
      <c r="AQ119" s="43">
        <f>LN('2.ΤΙΜΕΣ ΚΛΕΙΣΙΜΑΤΟΣ'!AQ120/'2.ΤΙΜΕΣ ΚΛΕΙΣΙΜΑΤΟΣ'!AQ119)</f>
        <v>1.9821612039912025E-3</v>
      </c>
      <c r="AR119" s="43">
        <f>LN('2.ΤΙΜΕΣ ΚΛΕΙΣΙΜΑΤΟΣ'!AR120/'2.ΤΙΜΕΣ ΚΛΕΙΣΙΜΑΤΟΣ'!AR119)</f>
        <v>1.5113637810048106E-2</v>
      </c>
      <c r="AS119" s="43">
        <f>LN('2.ΤΙΜΕΣ ΚΛΕΙΣΙΜΑΤΟΣ'!AS120/'2.ΤΙΜΕΣ ΚΛΕΙΣΙΜΑΤΟΣ'!AS119)</f>
        <v>-9.5694510161506725E-3</v>
      </c>
      <c r="AT119" s="43">
        <f>LN('2.ΤΙΜΕΣ ΚΛΕΙΣΙΜΑΤΟΣ'!AT120/'2.ΤΙΜΕΣ ΚΛΕΙΣΙΜΑΤΟΣ'!AT119)</f>
        <v>3.1416196233378914E-2</v>
      </c>
      <c r="AU119" s="43">
        <f>LN('2.ΤΙΜΕΣ ΚΛΕΙΣΙΜΑΤΟΣ'!AU120/'2.ΤΙΜΕΣ ΚΛΕΙΣΙΜΑΤΟΣ'!AU119)</f>
        <v>1.2303483557580531E-2</v>
      </c>
    </row>
    <row r="120" spans="1:47">
      <c r="A120" s="41">
        <v>43727</v>
      </c>
      <c r="B120" s="43">
        <f>LN('2.ΤΙΜΕΣ ΚΛΕΙΣΙΜΑΤΟΣ'!B121/'2.ΤΙΜΕΣ ΚΛΕΙΣΙΜΑΤΟΣ'!B120)</f>
        <v>5.292767896517267E-3</v>
      </c>
      <c r="C120" s="43">
        <f>LN('2.ΤΙΜΕΣ ΚΛΕΙΣΙΜΑΤΟΣ'!C121/'2.ΤΙΜΕΣ ΚΛΕΙΣΙΜΑΤΟΣ'!C120)</f>
        <v>-1.5673984400127689E-3</v>
      </c>
      <c r="D120" s="43">
        <f>LN('2.ΤΙΜΕΣ ΚΛΕΙΣΙΜΑΤΟΣ'!D121/'2.ΤΙΜΕΣ ΚΛΕΙΣΙΜΑΤΟΣ'!D120)</f>
        <v>-9.549036395198416E-3</v>
      </c>
      <c r="E120" s="43">
        <f>LN('2.ΤΙΜΕΣ ΚΛΕΙΣΙΜΑΤΟΣ'!E121/'2.ΤΙΜΕΣ ΚΛΕΙΣΙΜΑΤΟΣ'!E120)</f>
        <v>1.0973254780512953E-2</v>
      </c>
      <c r="F120" s="43">
        <f>LN('2.ΤΙΜΕΣ ΚΛΕΙΣΙΜΑΤΟΣ'!F121/'2.ΤΙΜΕΣ ΚΛΕΙΣΙΜΑΤΟΣ'!F120)</f>
        <v>1.1461319306225416E-3</v>
      </c>
      <c r="G120" s="43">
        <f>LN('2.ΤΙΜΕΣ ΚΛΕΙΣΙΜΑΤΟΣ'!G121/'2.ΤΙΜΕΣ ΚΛΕΙΣΙΜΑΤΟΣ'!G120)</f>
        <v>3.1065819574890532E-2</v>
      </c>
      <c r="H120" s="43">
        <f>LN('2.ΤΙΜΕΣ ΚΛΕΙΣΙΜΑΤΟΣ'!H121/'2.ΤΙΜΕΣ ΚΛΕΙΣΙΜΑΤΟΣ'!H120)</f>
        <v>-4.5892691836410034E-3</v>
      </c>
      <c r="I120" s="43">
        <f>LN('2.ΤΙΜΕΣ ΚΛΕΙΣΙΜΑΤΟΣ'!I121/'2.ΤΙΜΕΣ ΚΛΕΙΣΙΜΑΤΟΣ'!I120)</f>
        <v>0</v>
      </c>
      <c r="J120" s="43">
        <f>LN('2.ΤΙΜΕΣ ΚΛΕΙΣΙΜΑΤΟΣ'!J121/'2.ΤΙΜΕΣ ΚΛΕΙΣΙΜΑΤΟΣ'!J120)</f>
        <v>1.7326233805910033E-2</v>
      </c>
      <c r="K120" s="43">
        <f>LN('2.ΤΙΜΕΣ ΚΛΕΙΣΙΜΑΤΟΣ'!K121/'2.ΤΙΜΕΣ ΚΛΕΙΣΙΜΑΤΟΣ'!K120)</f>
        <v>-3.30330000451158E-2</v>
      </c>
      <c r="L120" s="43">
        <f>LN('2.ΤΙΜΕΣ ΚΛΕΙΣΙΜΑΤΟΣ'!L121/'2.ΤΙΜΕΣ ΚΛΕΙΣΙΜΑΤΟΣ'!L120)</f>
        <v>-8.9508305200845569E-3</v>
      </c>
      <c r="M120" s="43">
        <f>LN('2.ΤΙΜΕΣ ΚΛΕΙΣΙΜΑΤΟΣ'!M121/'2.ΤΙΜΕΣ ΚΛΕΙΣΙΜΑΤΟΣ'!M120)</f>
        <v>-2.0920509722239518E-3</v>
      </c>
      <c r="N120" s="43">
        <f>LN('2.ΤΙΜΕΣ ΚΛΕΙΣΙΜΑΤΟΣ'!N121/'2.ΤΙΜΕΣ ΚΛΕΙΣΙΜΑΤΟΣ'!N120)</f>
        <v>0</v>
      </c>
      <c r="O120" s="43">
        <f>LN('2.ΤΙΜΕΣ ΚΛΕΙΣΙΜΑΤΟΣ'!O121/'2.ΤΙΜΕΣ ΚΛΕΙΣΙΜΑΤΟΣ'!O120)</f>
        <v>-6.2073445743338236E-3</v>
      </c>
      <c r="P120" s="43">
        <f>LN('2.ΤΙΜΕΣ ΚΛΕΙΣΙΜΑΤΟΣ'!P121/'2.ΤΙΜΕΣ ΚΛΕΙΣΙΜΑΤΟΣ'!P120)</f>
        <v>0</v>
      </c>
      <c r="Q120" s="43">
        <f>LN('2.ΤΙΜΕΣ ΚΛΕΙΣΙΜΑΤΟΣ'!Q121/'2.ΤΙΜΕΣ ΚΛΕΙΣΙΜΑΤΟΣ'!Q120)</f>
        <v>4.5351551653911425E-3</v>
      </c>
      <c r="R120" s="43">
        <f>LN('2.ΤΙΜΕΣ ΚΛΕΙΣΙΜΑΤΟΣ'!R121/'2.ΤΙΜΕΣ ΚΛΕΙΣΙΜΑΤΟΣ'!R120)</f>
        <v>-8.9439880708981397E-3</v>
      </c>
      <c r="S120" s="43">
        <f>LN('2.ΤΙΜΕΣ ΚΛΕΙΣΙΜΑΤΟΣ'!S121/'2.ΤΙΜΕΣ ΚΛΕΙΣΙΜΑΤΟΣ'!S120)</f>
        <v>-2.4630554323978593E-3</v>
      </c>
      <c r="T120" s="43">
        <f>LN('2.ΤΙΜΕΣ ΚΛΕΙΣΙΜΑΤΟΣ'!T121/'2.ΤΙΜΕΣ ΚΛΕΙΣΙΜΑΤΟΣ'!T120)</f>
        <v>-1.391546806197467E-2</v>
      </c>
      <c r="U120" s="43">
        <f>LN('2.ΤΙΜΕΣ ΚΛΕΙΣΙΜΑΤΟΣ'!U121/'2.ΤΙΜΕΣ ΚΛΕΙΣΙΜΑΤΟΣ'!U120)</f>
        <v>-2.8573372444056114E-2</v>
      </c>
      <c r="V120" s="43">
        <f>LN('2.ΤΙΜΕΣ ΚΛΕΙΣΙΜΑΤΟΣ'!V121/'2.ΤΙΜΕΣ ΚΛΕΙΣΙΜΑΤΟΣ'!V120)</f>
        <v>-6.309169193264832E-3</v>
      </c>
      <c r="W120" s="43">
        <f>LN('2.ΤΙΜΕΣ ΚΛΕΙΣΙΜΑΤΟΣ'!W121/'2.ΤΙΜΕΣ ΚΛΕΙΣΙΜΑΤΟΣ'!W120)</f>
        <v>1.2307693861328883E-3</v>
      </c>
      <c r="X120" s="43">
        <f>LN('2.ΤΙΜΕΣ ΚΛΕΙΣΙΜΑΤΟΣ'!X121/'2.ΤΙΜΕΣ ΚΛΕΙΣΙΜΑΤΟΣ'!X120)</f>
        <v>0</v>
      </c>
      <c r="Y120" s="43">
        <f>LN('2.ΤΙΜΕΣ ΚΛΕΙΣΙΜΑΤΟΣ'!Y121/'2.ΤΙΜΕΣ ΚΛΕΙΣΙΜΑΤΟΣ'!Y120)</f>
        <v>1.7867001828424319E-2</v>
      </c>
      <c r="Z120" s="43">
        <f>LN('2.ΤΙΜΕΣ ΚΛΕΙΣΙΜΑΤΟΣ'!Z121/'2.ΤΙΜΕΣ ΚΛΕΙΣΙΜΑΤΟΣ'!Z120)</f>
        <v>1.0256500167189061E-2</v>
      </c>
      <c r="AA120" s="43">
        <f>LN('2.ΤΙΜΕΣ ΚΛΕΙΣΙΜΑΤΟΣ'!AA121/'2.ΤΙΜΕΣ ΚΛΕΙΣΙΜΑΤΟΣ'!AA120)</f>
        <v>-2.9542118974315201E-3</v>
      </c>
      <c r="AB120" s="43">
        <f>LN('2.ΤΙΜΕΣ ΚΛΕΙΣΙΜΑΤΟΣ'!AB121/'2.ΤΙΜΕΣ ΚΛΕΙΣΙΜΑΤΟΣ'!AB120)</f>
        <v>9.285117775679478E-3</v>
      </c>
      <c r="AC120" s="43">
        <f>LN('2.ΤΙΜΕΣ ΚΛΕΙΣΙΜΑΤΟΣ'!AC121/'2.ΤΙΜΕΣ ΚΛΕΙΣΙΜΑΤΟΣ'!AC120)</f>
        <v>0</v>
      </c>
      <c r="AD120" s="43">
        <f>LN('2.ΤΙΜΕΣ ΚΛΕΙΣΙΜΑΤΟΣ'!AD121/'2.ΤΙΜΕΣ ΚΛΕΙΣΙΜΑΤΟΣ'!AD120)</f>
        <v>2.8530689824064807E-3</v>
      </c>
      <c r="AE120" s="43">
        <f>LN('2.ΤΙΜΕΣ ΚΛΕΙΣΙΜΑΤΟΣ'!AE121/'2.ΤΙΜΕΣ ΚΛΕΙΣΙΜΑΤΟΣ'!AE120)</f>
        <v>0</v>
      </c>
      <c r="AF120" s="43">
        <f>LN('2.ΤΙΜΕΣ ΚΛΕΙΣΙΜΑΤΟΣ'!AF121/'2.ΤΙΜΕΣ ΚΛΕΙΣΙΜΑΤΟΣ'!AF120)</f>
        <v>1.6684432907904136E-2</v>
      </c>
      <c r="AG120" s="43">
        <f>LN('2.ΤΙΜΕΣ ΚΛΕΙΣΙΜΑΤΟΣ'!AG121/'2.ΤΙΜΕΣ ΚΛΕΙΣΙΜΑΤΟΣ'!AG120)</f>
        <v>1.7817843316793893E-2</v>
      </c>
      <c r="AH120" s="43">
        <f>LN('2.ΤΙΜΕΣ ΚΛΕΙΣΙΜΑΤΟΣ'!AH121/'2.ΤΙΜΕΣ ΚΛΕΙΣΙΜΑΤΟΣ'!AH120)</f>
        <v>3.5268138837458052E-2</v>
      </c>
      <c r="AI120" s="43">
        <f>LN('2.ΤΙΜΕΣ ΚΛΕΙΣΙΜΑΤΟΣ'!AI121/'2.ΤΙΜΕΣ ΚΛΕΙΣΙΜΑΤΟΣ'!AI120)</f>
        <v>0</v>
      </c>
      <c r="AJ120" s="43">
        <f>LN('2.ΤΙΜΕΣ ΚΛΕΙΣΙΜΑΤΟΣ'!AJ121/'2.ΤΙΜΕΣ ΚΛΕΙΣΙΜΑΤΟΣ'!AJ120)</f>
        <v>-7.7821404420549628E-3</v>
      </c>
      <c r="AK120" s="43">
        <f>LN('2.ΤΙΜΕΣ ΚΛΕΙΣΙΜΑΤΟΣ'!AK121/'2.ΤΙΜΕΣ ΚΛΕΙΣΙΜΑΤΟΣ'!AK120)</f>
        <v>-1.4320053774748445E-2</v>
      </c>
      <c r="AL120" s="43">
        <f>LN('2.ΤΙΜΕΣ ΚΛΕΙΣΙΜΑΤΟΣ'!AL121/'2.ΤΙΜΕΣ ΚΛΕΙΣΙΜΑΤΟΣ'!AL120)</f>
        <v>-7.067167223092443E-3</v>
      </c>
      <c r="AM120" s="43">
        <f>LN('2.ΤΙΜΕΣ ΚΛΕΙΣΙΜΑΤΟΣ'!AM121/'2.ΤΙΜΕΣ ΚΛΕΙΣΙΜΑΤΟΣ'!AM120)</f>
        <v>9.950330853168092E-3</v>
      </c>
      <c r="AN120" s="43">
        <f>LN('2.ΤΙΜΕΣ ΚΛΕΙΣΙΜΑΤΟΣ'!AN121/'2.ΤΙΜΕΣ ΚΛΕΙΣΙΜΑΤΟΣ'!AN120)</f>
        <v>2.1152375005226761E-2</v>
      </c>
      <c r="AO120" s="43">
        <f>LN('2.ΤΙΜΕΣ ΚΛΕΙΣΙΜΑΤΟΣ'!AO121/'2.ΤΙΜΕΣ ΚΛΕΙΣΙΜΑΤΟΣ'!AO120)</f>
        <v>-5.449604767564703E-3</v>
      </c>
      <c r="AP120" s="43">
        <f>LN('2.ΤΙΜΕΣ ΚΛΕΙΣΙΜΑΤΟΣ'!AP121/'2.ΤΙΜΕΣ ΚΛΕΙΣΙΜΑΤΟΣ'!AP120)</f>
        <v>5.249355886143745E-3</v>
      </c>
      <c r="AQ120" s="43">
        <f>LN('2.ΤΙΜΕΣ ΚΛΕΙΣΙΜΑΤΟΣ'!AQ121/'2.ΤΙΜΕΣ ΚΛΕΙΣΙΜΑΤΟΣ'!AQ120)</f>
        <v>-3.9682591756206222E-3</v>
      </c>
      <c r="AR120" s="43">
        <f>LN('2.ΤΙΜΕΣ ΚΛΕΙΣΙΜΑΤΟΣ'!AR121/'2.ΤΙΜΕΣ ΚΛΕΙΣΙΜΑΤΟΣ'!AR120)</f>
        <v>-1.3423020332140661E-2</v>
      </c>
      <c r="AS120" s="43">
        <f>LN('2.ΤΙΜΕΣ ΚΛΕΙΣΙΜΑΤΟΣ'!AS121/'2.ΤΙΜΕΣ ΚΛΕΙΣΙΜΑΤΟΣ'!AS120)</f>
        <v>-1.9418085857101627E-2</v>
      </c>
      <c r="AT120" s="43">
        <f>LN('2.ΤΙΜΕΣ ΚΛΕΙΣΙΜΑΤΟΣ'!AT121/'2.ΤΙΜΕΣ ΚΛΕΙΣΙΜΑΤΟΣ'!AT120)</f>
        <v>-2.0639842208514825E-3</v>
      </c>
      <c r="AU120" s="43">
        <f>LN('2.ΤΙΜΕΣ ΚΛΕΙΣΙΜΑΤΟΣ'!AU121/'2.ΤΙΜΕΣ ΚΛΕΙΣΙΜΑΤΟΣ'!AU120)</f>
        <v>1.5459404971826011E-3</v>
      </c>
    </row>
    <row r="121" spans="1:47">
      <c r="A121" s="41">
        <v>43728</v>
      </c>
      <c r="B121" s="43">
        <f>LN('2.ΤΙΜΕΣ ΚΛΕΙΣΙΜΑΤΟΣ'!B122/'2.ΤΙΜΕΣ ΚΛΕΙΣΙΜΑΤΟΣ'!B121)</f>
        <v>-1.2282312078229407E-2</v>
      </c>
      <c r="C121" s="43">
        <f>LN('2.ΤΙΜΕΣ ΚΛΕΙΣΙΜΑΤΟΣ'!C122/'2.ΤΙΜΕΣ ΚΛΕΙΣΙΜΑΤΟΣ'!C121)</f>
        <v>7.8125397367936247E-3</v>
      </c>
      <c r="D121" s="43">
        <f>LN('2.ΤΙΜΕΣ ΚΛΕΙΣΙΜΑΤΟΣ'!D122/'2.ΤΙΜΕΣ ΚΛΕΙΣΙΜΑΤΟΣ'!D121)</f>
        <v>-5.6297809781542339E-3</v>
      </c>
      <c r="E121" s="43">
        <f>LN('2.ΤΙΜΕΣ ΚΛΕΙΣΙΜΑΤΟΣ'!E122/'2.ΤΙΜΕΣ ΚΛΕΙΣΙΜΑΤΟΣ'!E121)</f>
        <v>-3.4522473872293986E-3</v>
      </c>
      <c r="F121" s="43">
        <f>LN('2.ΤΙΜΕΣ ΚΛΕΙΣΙΜΑΤΟΣ'!F122/'2.ΤΙΜΕΣ ΚΛΕΙΣΙΜΑΤΟΣ'!F121)</f>
        <v>-5.7438411792521266E-3</v>
      </c>
      <c r="G121" s="43">
        <f>LN('2.ΤΙΜΕΣ ΚΛΕΙΣΙΜΑΤΟΣ'!G122/'2.ΤΙΜΕΣ ΚΛΕΙΣΙΜΑΤΟΣ'!G121)</f>
        <v>2.5553074424617486E-2</v>
      </c>
      <c r="H121" s="43">
        <f>LN('2.ΤΙΜΕΣ ΚΛΕΙΣΙΜΑΤΟΣ'!H122/'2.ΤΙΜΕΣ ΚΛΕΙΣΙΜΑΤΟΣ'!H121)</f>
        <v>5.5046010553292026E-3</v>
      </c>
      <c r="I121" s="43">
        <f>LN('2.ΤΙΜΕΣ ΚΛΕΙΣΙΜΑΤΟΣ'!I122/'2.ΤΙΜΕΣ ΚΛΕΙΣΙΜΑΤΟΣ'!I121)</f>
        <v>-5.8190283864868048E-4</v>
      </c>
      <c r="J121" s="43">
        <f>LN('2.ΤΙΜΕΣ ΚΛΕΙΣΙΜΑΤΟΣ'!J122/'2.ΤΙΜΕΣ ΚΛΕΙΣΙΜΑΤΟΣ'!J121)</f>
        <v>3.1970387705317523E-2</v>
      </c>
      <c r="K121" s="43">
        <f>LN('2.ΤΙΜΕΣ ΚΛΕΙΣΙΜΑΤΟΣ'!K122/'2.ΤΙΜΕΣ ΚΛΕΙΣΙΜΑΤΟΣ'!K121)</f>
        <v>-2.7376127750444255E-2</v>
      </c>
      <c r="L121" s="43">
        <f>LN('2.ΤΙΜΕΣ ΚΛΕΙΣΙΜΑΤΟΣ'!L122/'2.ΤΙΜΕΣ ΚΛΕΙΣΙΜΑΤΟΣ'!L121)</f>
        <v>1.5857616733339488E-2</v>
      </c>
      <c r="M121" s="43">
        <f>LN('2.ΤΙΜΕΣ ΚΛΕΙΣΙΜΑΤΟΣ'!M122/'2.ΤΙΜΕΣ ΚΛΕΙΣΙΜΑΤΟΣ'!M121)</f>
        <v>3.1364374901303115E-3</v>
      </c>
      <c r="N121" s="43">
        <f>LN('2.ΤΙΜΕΣ ΚΛΕΙΣΙΜΑΤΟΣ'!N122/'2.ΤΙΜΕΣ ΚΛΕΙΣΙΜΑΤΟΣ'!N121)</f>
        <v>1.3618414197888731E-3</v>
      </c>
      <c r="O121" s="43">
        <f>LN('2.ΤΙΜΕΣ ΚΛΕΙΣΙΜΑΤΟΣ'!O122/'2.ΤΙΜΕΣ ΚΛΕΙΣΙΜΑΤΟΣ'!O121)</f>
        <v>1.8507622655985455E-2</v>
      </c>
      <c r="P121" s="43">
        <f>LN('2.ΤΙΜΕΣ ΚΛΕΙΣΙΜΑΤΟΣ'!P122/'2.ΤΙΜΕΣ ΚΛΕΙΣΙΜΑΤΟΣ'!P121)</f>
        <v>1.5372793188863979E-3</v>
      </c>
      <c r="Q121" s="43">
        <f>LN('2.ΤΙΜΕΣ ΚΛΕΙΣΙΜΑΤΟΣ'!Q122/'2.ΤΙΜΕΣ ΚΛΕΙΣΙΜΑΤΟΣ'!Q121)</f>
        <v>-2.6196651946570681E-2</v>
      </c>
      <c r="R121" s="43">
        <f>LN('2.ΤΙΜΕΣ ΚΛΕΙΣΙΜΑΤΟΣ'!R122/'2.ΤΙΜΕΣ ΚΛΕΙΣΙΜΑΤΟΣ'!R121)</f>
        <v>4.1379369387990117E-3</v>
      </c>
      <c r="S121" s="43">
        <f>LN('2.ΤΙΜΕΣ ΚΛΕΙΣΙΜΑΤΟΣ'!S122/'2.ΤΙΜΕΣ ΚΛΕΙΣΙΜΑΤΟΣ'!S121)</f>
        <v>-2.4691370569211537E-3</v>
      </c>
      <c r="T121" s="43">
        <f>LN('2.ΤΙΜΕΣ ΚΛΕΙΣΙΜΑΤΟΣ'!T122/'2.ΤΙΜΕΣ ΚΛΕΙΣΙΜΑΤΟΣ'!T121)</f>
        <v>1.2730746467981126E-3</v>
      </c>
      <c r="U121" s="43">
        <f>LN('2.ΤΙΜΕΣ ΚΛΕΙΣΙΜΑΤΟΣ'!U122/'2.ΤΙΜΕΣ ΚΛΕΙΣΙΜΑΤΟΣ'!U121)</f>
        <v>1.4388737452099671E-2</v>
      </c>
      <c r="V121" s="43">
        <f>LN('2.ΤΙΜΕΣ ΚΛΕΙΣΙΜΑΤΟΣ'!V122/'2.ΤΙΜΕΣ ΚΛΕΙΣΙΜΑΤΟΣ'!V121)</f>
        <v>2.1074823395647994E-3</v>
      </c>
      <c r="W121" s="43">
        <f>LN('2.ΤΙΜΕΣ ΚΛΕΙΣΙΜΑΤΟΣ'!W122/'2.ΤΙΜΕΣ ΚΛΕΙΣΙΜΑΤΟΣ'!W121)</f>
        <v>8.5732307104880896E-3</v>
      </c>
      <c r="X121" s="43">
        <f>LN('2.ΤΙΜΕΣ ΚΛΕΙΣΙΜΑΤΟΣ'!X122/'2.ΤΙΜΕΣ ΚΛΕΙΣΙΜΑΤΟΣ'!X121)</f>
        <v>-2.8437385863899793E-3</v>
      </c>
      <c r="Y121" s="43">
        <f>LN('2.ΤΙΜΕΣ ΚΛΕΙΣΙΜΑΤΟΣ'!Y122/'2.ΤΙΜΕΣ ΚΛΕΙΣΙΜΑΤΟΣ'!Y121)</f>
        <v>0</v>
      </c>
      <c r="Z121" s="43">
        <f>LN('2.ΤΙΜΕΣ ΚΛΕΙΣΙΜΑΤΟΣ'!Z122/'2.ΤΙΜΕΣ ΚΛΕΙΣΙΜΑΤΟΣ'!Z121)</f>
        <v>-6.8259650703998706E-3</v>
      </c>
      <c r="AA121" s="43">
        <f>LN('2.ΤΙΜΕΣ ΚΛΕΙΣΙΜΑΤΟΣ'!AA122/'2.ΤΙΜΕΣ ΚΛΕΙΣΙΜΑΤΟΣ'!AA121)</f>
        <v>-5.9347355198145777E-3</v>
      </c>
      <c r="AB121" s="43">
        <f>LN('2.ΤΙΜΕΣ ΚΛΕΙΣΙΜΑΤΟΣ'!AB122/'2.ΤΙΜΕΣ ΚΛΕΙΣΙΜΑΤΟΣ'!AB121)</f>
        <v>-1.4897854680636946E-2</v>
      </c>
      <c r="AC121" s="43">
        <f>LN('2.ΤΙΜΕΣ ΚΛΕΙΣΙΜΑΤΟΣ'!AC122/'2.ΤΙΜΕΣ ΚΛΕΙΣΙΜΑΤΟΣ'!AC121)</f>
        <v>0</v>
      </c>
      <c r="AD121" s="43">
        <f>LN('2.ΤΙΜΕΣ ΚΛΕΙΣΙΜΑΤΟΣ'!AD122/'2.ΤΙΜΕΣ ΚΛΕΙΣΙΜΑΤΟΣ'!AD121)</f>
        <v>-1.434744840814154E-2</v>
      </c>
      <c r="AE121" s="43">
        <f>LN('2.ΤΙΜΕΣ ΚΛΕΙΣΙΜΑΤΟΣ'!AE122/'2.ΤΙΜΕΣ ΚΛΕΙΣΙΜΑΤΟΣ'!AE121)</f>
        <v>0</v>
      </c>
      <c r="AF121" s="43">
        <f>LN('2.ΤΙΜΕΣ ΚΛΕΙΣΙΜΑΤΟΣ'!AF122/'2.ΤΙΜΕΣ ΚΛΕΙΣΙΜΑΤΟΣ'!AF121)</f>
        <v>2.7538711203279748E-2</v>
      </c>
      <c r="AG121" s="43">
        <f>LN('2.ΤΙΜΕΣ ΚΛΕΙΣΙΜΑΤΟΣ'!AG122/'2.ΤΙΜΕΣ ΚΛΕΙΣΙΜΑΤΟΣ'!AG121)</f>
        <v>2.2050725583139755E-3</v>
      </c>
      <c r="AH121" s="43">
        <f>LN('2.ΤΙΜΕΣ ΚΛΕΙΣΙΜΑΤΟΣ'!AH122/'2.ΤΙΜΕΣ ΚΛΕΙΣΙΜΑΤΟΣ'!AH121)</f>
        <v>2.7345453890528837E-2</v>
      </c>
      <c r="AI121" s="43">
        <f>LN('2.ΤΙΜΕΣ ΚΛΕΙΣΙΜΑΤΟΣ'!AI122/'2.ΤΙΜΕΣ ΚΛΕΙΣΙΜΑΤΟΣ'!AI121)</f>
        <v>1.5873349156290163E-2</v>
      </c>
      <c r="AJ121" s="43">
        <f>LN('2.ΤΙΜΕΣ ΚΛΕΙΣΙΜΑΤΟΣ'!AJ122/'2.ΤΙΜΕΣ ΚΛΕΙΣΙΜΑΤΟΣ'!AJ121)</f>
        <v>-1.5748356968139168E-2</v>
      </c>
      <c r="AK121" s="43">
        <f>LN('2.ΤΙΜΕΣ ΚΛΕΙΣΙΜΑΤΟΣ'!AK122/'2.ΤΙΜΕΣ ΚΛΕΙΣΙΜΑΤΟΣ'!AK121)</f>
        <v>-1.4528100562909969E-2</v>
      </c>
      <c r="AL121" s="43">
        <f>LN('2.ΤΙΜΕΣ ΚΛΕΙΣΙΜΑΤΟΣ'!AL122/'2.ΤΙΜΕΣ ΚΛΕΙΣΙΜΑΤΟΣ'!AL121)</f>
        <v>0</v>
      </c>
      <c r="AM121" s="43">
        <f>LN('2.ΤΙΜΕΣ ΚΛΕΙΣΙΜΑΤΟΣ'!AM122/'2.ΤΙΜΕΣ ΚΛΕΙΣΙΜΑΤΟΣ'!AM121)</f>
        <v>-2.4783160144670898E-3</v>
      </c>
      <c r="AN121" s="43">
        <f>LN('2.ΤΙΜΕΣ ΚΛΕΙΣΙΜΑΤΟΣ'!AN122/'2.ΤΙΜΕΣ ΚΛΕΙΣΙΜΑΤΟΣ'!AN121)</f>
        <v>5.4311989353739931E-2</v>
      </c>
      <c r="AO121" s="43">
        <f>LN('2.ΤΙΜΕΣ ΚΛΕΙΣΙΜΑΤΟΣ'!AO122/'2.ΤΙΜΕΣ ΚΛΕΙΣΙΜΑΤΟΣ'!AO121)</f>
        <v>-8.230499136515591E-3</v>
      </c>
      <c r="AP121" s="43">
        <f>LN('2.ΤΙΜΕΣ ΚΛΕΙΣΙΜΑΤΟΣ'!AP122/'2.ΤΙΜΕΣ ΚΛΕΙΣΙΜΑΤΟΣ'!AP121)</f>
        <v>2.6143805740708936E-3</v>
      </c>
      <c r="AQ121" s="43">
        <f>LN('2.ΤΙΜΕΣ ΚΛΕΙΣΙΜΑΤΟΣ'!AQ122/'2.ΤΙΜΕΣ ΚΛΕΙΣΙΜΑΤΟΣ'!AQ121)</f>
        <v>-1.6032407531048884E-2</v>
      </c>
      <c r="AR121" s="43">
        <f>LN('2.ΤΙΜΕΣ ΚΛΕΙΣΙΜΑΤΟΣ'!AR122/'2.ΤΙΜΕΣ ΚΛΕΙΣΙΜΑΤΟΣ'!AR121)</f>
        <v>-6.7796869853788038E-3</v>
      </c>
      <c r="AS121" s="43">
        <f>LN('2.ΤΙΜΕΣ ΚΛΕΙΣΙΜΑΤΟΣ'!AS122/'2.ΤΙΜΕΣ ΚΛΕΙΣΙΜΑΤΟΣ'!AS121)</f>
        <v>-9.8522964430115944E-3</v>
      </c>
      <c r="AT121" s="43">
        <f>LN('2.ΤΙΜΕΣ ΚΛΕΙΣΙΜΑΤΟΣ'!AT122/'2.ΤΙΜΕΣ ΚΛΕΙΣΙΜΑΤΟΣ'!AT121)</f>
        <v>-4.1407926660313879E-3</v>
      </c>
      <c r="AU121" s="43">
        <f>LN('2.ΤΙΜΕΣ ΚΛΕΙΣΙΜΑΤΟΣ'!AU122/'2.ΤΙΜΕΣ ΚΛΕΙΣΙΜΑΤΟΣ'!AU121)</f>
        <v>2.5598551205075855E-3</v>
      </c>
    </row>
    <row r="122" spans="1:47">
      <c r="A122" s="41">
        <v>43731</v>
      </c>
      <c r="B122" s="43">
        <f>LN('2.ΤΙΜΕΣ ΚΛΕΙΣΙΜΑΤΟΣ'!B123/'2.ΤΙΜΕΣ ΚΛΕΙΣΙΜΑΤΟΣ'!B122)</f>
        <v>-1.1421017661467584E-2</v>
      </c>
      <c r="C122" s="43">
        <f>LN('2.ΤΙΜΕΣ ΚΛΕΙΣΙΜΑΤΟΣ'!C123/'2.ΤΙΜΕΣ ΚΛΕΙΣΙΜΑΤΟΣ'!C122)</f>
        <v>-9.38239877191362E-3</v>
      </c>
      <c r="D122" s="43">
        <f>LN('2.ΤΙΜΕΣ ΚΛΕΙΣΙΜΑΤΟΣ'!D123/'2.ΤΙΜΕΣ ΚΛΕΙΣΙΜΑΤΟΣ'!D122)</f>
        <v>-1.5517017659137867E-2</v>
      </c>
      <c r="E122" s="43">
        <f>LN('2.ΤΙΜΕΣ ΚΛΕΙΣΙΜΑΤΟΣ'!E123/'2.ΤΙΜΕΣ ΚΛΕΙΣΙΜΑΤΟΣ'!E122)</f>
        <v>-3.6388991394135671E-2</v>
      </c>
      <c r="F122" s="43">
        <f>LN('2.ΤΙΜΕΣ ΚΛΕΙΣΙΜΑΤΟΣ'!F123/'2.ΤΙΜΕΣ ΚΛΕΙΣΙΜΑΤΟΣ'!F122)</f>
        <v>-1.6260520871780405E-2</v>
      </c>
      <c r="G122" s="43">
        <f>LN('2.ΤΙΜΕΣ ΚΛΕΙΣΙΜΑΤΟΣ'!G123/'2.ΤΙΜΕΣ ΚΛΕΙΣΙΜΑΤΟΣ'!G122)</f>
        <v>-2.5553074424617506E-2</v>
      </c>
      <c r="H122" s="43">
        <f>LN('2.ΤΙΜΕΣ ΚΛΕΙΣΙΜΑΤΟΣ'!H123/'2.ΤΙΜΕΣ ΚΛΕΙΣΙΜΑΤΟΣ'!H122)</f>
        <v>-4.1088879780241366E-2</v>
      </c>
      <c r="I122" s="43">
        <f>LN('2.ΤΙΜΕΣ ΚΛΕΙΣΙΜΑΤΟΣ'!I123/'2.ΤΙΜΕΣ ΚΛΕΙΣΙΜΑΤΟΣ'!I122)</f>
        <v>-2.4154340720991797E-2</v>
      </c>
      <c r="J122" s="43">
        <f>LN('2.ΤΙΜΕΣ ΚΛΕΙΣΙΜΑΤΟΣ'!J123/'2.ΤΙΜΕΣ ΚΛΕΙΣΙΜΑΤΟΣ'!J122)</f>
        <v>-1.9354264896148912E-2</v>
      </c>
      <c r="K122" s="43">
        <f>LN('2.ΤΙΜΕΣ ΚΛΕΙΣΙΜΑΤΟΣ'!K123/'2.ΤΙΜΕΣ ΚΛΕΙΣΙΜΑΤΟΣ'!K122)</f>
        <v>-6.6436034874011963E-3</v>
      </c>
      <c r="L122" s="43">
        <f>LN('2.ΤΙΜΕΣ ΚΛΕΙΣΙΜΑΤΟΣ'!L123/'2.ΤΙΜΕΣ ΚΛΕΙΣΙΜΑΤΟΣ'!L122)</f>
        <v>-1.6857117066422837E-2</v>
      </c>
      <c r="M122" s="43">
        <f>LN('2.ΤΙΜΕΣ ΚΛΕΙΣΙΜΑΤΟΣ'!M123/'2.ΤΙΜΕΣ ΚΛΕΙΣΙΜΑΤΟΣ'!M122)</f>
        <v>-2.1097828964635815E-2</v>
      </c>
      <c r="N122" s="43">
        <f>LN('2.ΤΙΜΕΣ ΚΛΕΙΣΙΜΑΤΟΣ'!N123/'2.ΤΙΜΕΣ ΚΛΕΙΣΙΜΑΤΟΣ'!N122)</f>
        <v>-8.0618049528033454E-3</v>
      </c>
      <c r="O122" s="43">
        <f>LN('2.ΤΙΜΕΣ ΚΛΕΙΣΙΜΑΤΟΣ'!O123/'2.ΤΙΜΕΣ ΚΛΕΙΣΙΜΑΤΟΣ'!O122)</f>
        <v>-1.1063419544255333E-2</v>
      </c>
      <c r="P122" s="43">
        <f>LN('2.ΤΙΜΕΣ ΚΛΕΙΣΙΜΑΤΟΣ'!P123/'2.ΤΙΜΕΣ ΚΛΕΙΣΙΜΑΤΟΣ'!P122)</f>
        <v>-4.6189458562944166E-3</v>
      </c>
      <c r="Q122" s="43">
        <f>LN('2.ΤΙΜΕΣ ΚΛΕΙΣΙΜΑΤΟΣ'!Q123/'2.ΤΙΜΕΣ ΚΛΕΙΣΙΜΑΤΟΣ'!Q122)</f>
        <v>-7.994712801708475E-3</v>
      </c>
      <c r="R122" s="43">
        <f>LN('2.ΤΙΜΕΣ ΚΛΕΙΣΙΜΑΤΟΣ'!R123/'2.ΤΙΜΕΣ ΚΛΕΙΣΙΜΑΤΟΣ'!R122)</f>
        <v>1.3755160353098766E-3</v>
      </c>
      <c r="S122" s="43">
        <f>LN('2.ΤΙΜΕΣ ΚΛΕΙΣΙΜΑΤΟΣ'!S123/'2.ΤΙΜΕΣ ΚΛΕΙΣΙΜΑΤΟΣ'!S122)</f>
        <v>9.8401778015111355E-3</v>
      </c>
      <c r="T122" s="43">
        <f>LN('2.ΤΙΜΕΣ ΚΛΕΙΣΙΜΑΤΟΣ'!T123/'2.ΤΙΜΕΣ ΚΛΕΙΣΙΜΑΤΟΣ'!T122)</f>
        <v>-2.0566277581477083E-2</v>
      </c>
      <c r="U122" s="43">
        <f>LN('2.ΤΙΜΕΣ ΚΛΕΙΣΙΜΑΤΟΣ'!U123/'2.ΤΙΜΕΣ ΚΛΕΙΣΙΜΑΤΟΣ'!U122)</f>
        <v>-1.1976191046715649E-2</v>
      </c>
      <c r="V122" s="43">
        <f>LN('2.ΤΙΜΕΣ ΚΛΕΙΣΙΜΑΤΟΣ'!V123/'2.ΤΙΜΕΣ ΚΛΕΙΣΙΜΑΤΟΣ'!V122)</f>
        <v>0</v>
      </c>
      <c r="W122" s="43">
        <f>LN('2.ΤΙΜΕΣ ΚΛΕΙΣΙΜΑΤΟΣ'!W123/'2.ΤΙΜΕΣ ΚΛΕΙΣΙΜΑΤΟΣ'!W122)</f>
        <v>0</v>
      </c>
      <c r="X122" s="43">
        <f>LN('2.ΤΙΜΕΣ ΚΛΕΙΣΙΜΑΤΟΣ'!X123/'2.ΤΙΜΕΣ ΚΛΕΙΣΙΜΑΤΟΣ'!X122)</f>
        <v>-2.2463147538343987E-2</v>
      </c>
      <c r="Y122" s="43">
        <f>LN('2.ΤΙΜΕΣ ΚΛΕΙΣΙΜΑΤΟΣ'!Y123/'2.ΤΙΜΕΣ ΚΛΕΙΣΙΜΑΤΟΣ'!Y122)</f>
        <v>-1.3634191275803573E-2</v>
      </c>
      <c r="Z122" s="43">
        <f>LN('2.ΤΙΜΕΣ ΚΛΕΙΣΙΜΑΤΟΣ'!Z123/'2.ΤΙΜΕΣ ΚΛΕΙΣΙΜΑΤΟΣ'!Z122)</f>
        <v>-6.8728792877620643E-3</v>
      </c>
      <c r="AA122" s="43">
        <f>LN('2.ΤΙΜΕΣ ΚΛΕΙΣΙΜΑΤΟΣ'!AA123/'2.ΤΙΜΕΣ ΚΛΕΙΣΙΜΑΤΟΣ'!AA122)</f>
        <v>-8.9686699827603751E-3</v>
      </c>
      <c r="AB122" s="43">
        <f>LN('2.ΤΙΜΕΣ ΚΛΕΙΣΙΜΑΤΟΣ'!AB123/'2.ΤΙΜΕΣ ΚΛΕΙΣΙΜΑΤΟΣ'!AB122)</f>
        <v>-1.8939960100921614E-2</v>
      </c>
      <c r="AC122" s="43">
        <f>LN('2.ΤΙΜΕΣ ΚΛΕΙΣΙΜΑΤΟΣ'!AC123/'2.ΤΙΜΕΣ ΚΛΕΙΣΙΜΑΤΟΣ'!AC122)</f>
        <v>0</v>
      </c>
      <c r="AD122" s="43">
        <f>LN('2.ΤΙΜΕΣ ΚΛΕΙΣΙΜΑΤΟΣ'!AD123/'2.ΤΙΜΕΣ ΚΛΕΙΣΙΜΑΤΟΣ'!AD122)</f>
        <v>-1.0167117355444089E-2</v>
      </c>
      <c r="AE122" s="43">
        <f>LN('2.ΤΙΜΕΣ ΚΛΕΙΣΙΜΑΤΟΣ'!AE123/'2.ΤΙΜΕΣ ΚΛΕΙΣΙΜΑΤΟΣ'!AE122)</f>
        <v>-1.9646997383796421E-2</v>
      </c>
      <c r="AF122" s="43">
        <f>LN('2.ΤΙΜΕΣ ΚΛΕΙΣΙΜΑΤΟΣ'!AF123/'2.ΤΙΜΕΣ ΚΛΕΙΣΙΜΑΤΟΣ'!AF122)</f>
        <v>-3.7933815203619853E-2</v>
      </c>
      <c r="AG122" s="43">
        <f>LN('2.ΤΙΜΕΣ ΚΛΕΙΣΙΜΑΤΟΣ'!AG123/'2.ΤΙΜΕΣ ΚΛΕΙΣΙΜΑΤΟΣ'!AG122)</f>
        <v>-8.8496152769824993E-3</v>
      </c>
      <c r="AH122" s="43">
        <f>LN('2.ΤΙΜΕΣ ΚΛΕΙΣΙΜΑΤΟΣ'!AH123/'2.ΤΙΜΕΣ ΚΛΕΙΣΙΜΑΤΟΣ'!AH122)</f>
        <v>2.097312338027885E-2</v>
      </c>
      <c r="AI122" s="43">
        <f>LN('2.ΤΙΜΕΣ ΚΛΕΙΣΙΜΑΤΟΣ'!AI123/'2.ΤΙΜΕΣ ΚΛΕΙΣΙΜΑΤΟΣ'!AI122)</f>
        <v>0</v>
      </c>
      <c r="AJ122" s="43">
        <f>LN('2.ΤΙΜΕΣ ΚΛΕΙΣΙΜΑΤΟΣ'!AJ123/'2.ΤΙΜΕΣ ΚΛΕΙΣΙΜΑΤΟΣ'!AJ122)</f>
        <v>-7.9681696491768449E-3</v>
      </c>
      <c r="AK122" s="43">
        <f>LN('2.ΤΙΜΕΣ ΚΛΕΙΣΙΜΑΤΟΣ'!AK123/'2.ΤΙΜΕΣ ΚΛΕΙΣΙΜΑΤΟΣ'!AK122)</f>
        <v>2.8848154337658343E-2</v>
      </c>
      <c r="AL122" s="43">
        <f>LN('2.ΤΙΜΕΣ ΚΛΕΙΣΙΜΑΤΟΣ'!AL123/'2.ΤΙΜΕΣ ΚΛΕΙΣΙΜΑΤΟΣ'!AL122)</f>
        <v>-2.8778964550043175E-2</v>
      </c>
      <c r="AM122" s="43">
        <f>LN('2.ΤΙΜΕΣ ΚΛΕΙΣΙΜΑΤΟΣ'!AM123/'2.ΤΙΜΕΣ ΚΛΕΙΣΙΜΑΤΟΣ'!AM122)</f>
        <v>7.4165976550493989E-3</v>
      </c>
      <c r="AN122" s="43">
        <f>LN('2.ΤΙΜΕΣ ΚΛΕΙΣΙΜΑΤΟΣ'!AN123/'2.ΤΙΜΕΣ ΚΛΕΙΣΙΜΑΤΟΣ'!AN122)</f>
        <v>1.9629856044886131E-2</v>
      </c>
      <c r="AO122" s="43">
        <f>LN('2.ΤΙΜΕΣ ΚΛΕΙΣΙΜΑΤΟΣ'!AO123/'2.ΤΙΜΕΣ ΚΛΕΙΣΙΜΑΤΟΣ'!AO122)</f>
        <v>1.3680103904080176E-2</v>
      </c>
      <c r="AP122" s="43">
        <f>LN('2.ΤΙΜΕΣ ΚΛΕΙΣΙΜΑΤΟΣ'!AP123/'2.ΤΙΜΕΣ ΚΛΕΙΣΙΜΑΤΟΣ'!AP122)</f>
        <v>-1.8445845790751567E-2</v>
      </c>
      <c r="AQ122" s="43">
        <f>LN('2.ΤΙΜΕΣ ΚΛΕΙΣΙΜΑΤΟΣ'!AQ123/'2.ΤΙΜΕΣ ΚΛΕΙΣΙΜΑΤΟΣ'!AQ122)</f>
        <v>-3.034903695154047E-3</v>
      </c>
      <c r="AR122" s="43">
        <f>LN('2.ΤΙΜΕΣ ΚΛΕΙΣΙΜΑΤΟΣ'!AR123/'2.ΤΙΜΕΣ ΚΛΕΙΣΙΜΑΤΟΣ'!AR122)</f>
        <v>0</v>
      </c>
      <c r="AS122" s="43">
        <f>LN('2.ΤΙΜΕΣ ΚΛΕΙΣΙΜΑΤΟΣ'!AS123/'2.ΤΙΜΕΣ ΚΛΕΙΣΙΜΑΤΟΣ'!AS122)</f>
        <v>-1.7478597273959673E-2</v>
      </c>
      <c r="AT122" s="43">
        <f>LN('2.ΤΙΜΕΣ ΚΛΕΙΣΙΜΑΤΟΣ'!AT123/'2.ΤΙΜΕΣ ΚΛΕΙΣΙΜΑΤΟΣ'!AT122)</f>
        <v>-4.158010148663677E-3</v>
      </c>
      <c r="AU122" s="43">
        <f>LN('2.ΤΙΜΕΣ ΚΛΕΙΣΙΜΑΤΟΣ'!AU123/'2.ΤΙΜΕΣ ΚΛΕΙΣΙΜΑΤΟΣ'!AU122)</f>
        <v>-1.5620644747617934E-2</v>
      </c>
    </row>
    <row r="123" spans="1:47">
      <c r="A123" s="41">
        <v>43732</v>
      </c>
      <c r="B123" s="43">
        <f>LN('2.ΤΙΜΕΣ ΚΛΕΙΣΙΜΑΤΟΣ'!B124/'2.ΤΙΜΕΣ ΚΛΕΙΣΙΜΑΤΟΣ'!B123)</f>
        <v>3.372684478639156E-3</v>
      </c>
      <c r="C123" s="43">
        <f>LN('2.ΤΙΜΕΣ ΚΛΕΙΣΙΜΑΤΟΣ'!C124/'2.ΤΙΜΕΣ ΚΛΕΙΣΙΜΑΤΟΣ'!C123)</f>
        <v>6.2647033393277091E-3</v>
      </c>
      <c r="D123" s="43">
        <f>LN('2.ΤΙΜΕΣ ΚΛΕΙΣΙΜΑΤΟΣ'!D124/'2.ΤΙΜΕΣ ΚΛΕΙΣΙΜΑΤΟΣ'!D123)</f>
        <v>-2.08724767908639E-3</v>
      </c>
      <c r="E123" s="43">
        <f>LN('2.ΤΙΜΕΣ ΚΛΕΙΣΙΜΑΤΟΣ'!E124/'2.ΤΙΜΕΣ ΚΛΕΙΣΙΜΑΤΟΣ'!E123)</f>
        <v>0</v>
      </c>
      <c r="F123" s="43">
        <f>LN('2.ΤΙΜΕΣ ΚΛΕΙΣΙΜΑΤΟΣ'!F124/'2.ΤΙΜΕΣ ΚΛΕΙΣΙΜΑΤΟΣ'!F123)</f>
        <v>-1.2964235786714309E-2</v>
      </c>
      <c r="G123" s="43">
        <f>LN('2.ΤΙΜΕΣ ΚΛΕΙΣΙΜΑΤΟΣ'!G124/'2.ΤΙΜΕΣ ΚΛΕΙΣΙΜΑΤΟΣ'!G123)</f>
        <v>2.8987536873252406E-2</v>
      </c>
      <c r="H123" s="43">
        <f>LN('2.ΤΙΜΕΣ ΚΛΕΙΣΙΜΑΤΟΣ'!H124/'2.ΤΙΜΕΣ ΚΛΕΙΣΙΜΑΤΟΣ'!H123)</f>
        <v>-2.8639637714288615E-3</v>
      </c>
      <c r="I123" s="43">
        <f>LN('2.ΤΙΜΕΣ ΚΛΕΙΣΙΜΑΤΟΣ'!I124/'2.ΤΙΜΕΣ ΚΛΕΙΣΙΜΑΤΟΣ'!I123)</f>
        <v>1.1855503411017468E-2</v>
      </c>
      <c r="J123" s="43">
        <f>LN('2.ΤΙΜΕΣ ΚΛΕΙΣΙΜΑΤΟΣ'!J124/'2.ΤΙΜΕΣ ΚΛΕΙΣΙΜΑΤΟΣ'!J123)</f>
        <v>3.193304710300901E-2</v>
      </c>
      <c r="K123" s="43">
        <f>LN('2.ΤΙΜΕΣ ΚΛΕΙΣΙΜΑΤΟΣ'!K124/'2.ΤΙΜΕΣ ΚΛΕΙΣΙΜΑΤΟΣ'!K123)</f>
        <v>7.9107631078545945E-3</v>
      </c>
      <c r="L123" s="43">
        <f>LN('2.ΤΙΜΕΣ ΚΛΕΙΣΙΜΑΤΟΣ'!L124/'2.ΤΙΜΕΣ ΚΛΕΙΣΙΜΑΤΟΣ'!L123)</f>
        <v>-1.0005003335835344E-3</v>
      </c>
      <c r="M123" s="43">
        <f>LN('2.ΤΙΜΕΣ ΚΛΕΙΣΙΜΑΤΟΣ'!M124/'2.ΤΙΜΕΣ ΚΛΕΙΣΙΜΑΤΟΣ'!M123)</f>
        <v>2.129926257824849E-3</v>
      </c>
      <c r="N123" s="43">
        <f>LN('2.ΤΙΜΕΣ ΚΛΕΙΣΙΜΑΤΟΣ'!N124/'2.ΤΙΜΕΣ ΚΛΕΙΣΙΜΑΤΟΣ'!N123)</f>
        <v>-1.2355001914811723E-3</v>
      </c>
      <c r="O123" s="43">
        <f>LN('2.ΤΙΜΕΣ ΚΛΕΙΣΙΜΑΤΟΣ'!O124/'2.ΤΙΜΕΣ ΚΛΕΙΣΙΜΑΤΟΣ'!O123)</f>
        <v>9.8401778015111355E-3</v>
      </c>
      <c r="P123" s="43">
        <f>LN('2.ΤΙΜΕΣ ΚΛΕΙΣΙΜΑΤΟΣ'!P124/'2.ΤΙΜΕΣ ΚΛΕΙΣΙΜΑΤΟΣ'!P123)</f>
        <v>1.0744539282977163E-2</v>
      </c>
      <c r="Q123" s="43">
        <f>LN('2.ΤΙΜΕΣ ΚΛΕΙΣΙΜΑΤΟΣ'!Q124/'2.ΤΙΜΕΣ ΚΛΕΙΣΙΜΑΤΟΣ'!Q123)</f>
        <v>1.5267472130788381E-2</v>
      </c>
      <c r="R123" s="43">
        <f>LN('2.ΤΙΜΕΣ ΚΛΕΙΣΙΜΑΤΟΣ'!R124/'2.ΤΙΜΕΣ ΚΛΕΙΣΙΜΑΤΟΣ'!R123)</f>
        <v>0</v>
      </c>
      <c r="S123" s="43">
        <f>LN('2.ΤΙΜΕΣ ΚΛΕΙΣΙΜΑΤΟΣ'!S124/'2.ΤΙΜΕΣ ΚΛΕΙΣΙΜΑΤΟΣ'!S123)</f>
        <v>-8.6048471935184136E-3</v>
      </c>
      <c r="T123" s="43">
        <f>LN('2.ΤΙΜΕΣ ΚΛΕΙΣΙΜΑΤΟΣ'!T124/'2.ΤΙΜΕΣ ΚΛΕΙΣΙΜΑΤΟΣ'!T123)</f>
        <v>1.8018505502678212E-2</v>
      </c>
      <c r="U123" s="43">
        <f>LN('2.ΤΙΜΕΣ ΚΛΕΙΣΙΜΑΤΟΣ'!U124/'2.ΤΙΜΕΣ ΚΛΕΙΣΙΜΑΤΟΣ'!U123)</f>
        <v>1.197619104671562E-2</v>
      </c>
      <c r="V123" s="43">
        <f>LN('2.ΤΙΜΕΣ ΚΛΕΙΣΙΜΑΤΟΣ'!V124/'2.ΤΙΜΕΣ ΚΛΕΙΣΙΜΑΤΟΣ'!V123)</f>
        <v>0</v>
      </c>
      <c r="W123" s="43">
        <f>LN('2.ΤΙΜΕΣ ΚΛΕΙΣΙΜΑΤΟΣ'!W124/'2.ΤΙΜΕΣ ΚΛΕΙΣΙΜΑΤΟΣ'!W123)</f>
        <v>-2.4692612590371411E-2</v>
      </c>
      <c r="X123" s="43">
        <f>LN('2.ΤΙΜΕΣ ΚΛΕΙΣΙΜΑΤΟΣ'!X124/'2.ΤΙΜΕΣ ΚΛΕΙΣΙΜΑΤΟΣ'!X123)</f>
        <v>1.4170277593229627E-2</v>
      </c>
      <c r="Y123" s="43">
        <f>LN('2.ΤΙΜΕΣ ΚΛΕΙΣΙΜΑΤΟΣ'!Y124/'2.ΤΙΜΕΣ ΚΛΕΙΣΙΜΑΤΟΣ'!Y123)</f>
        <v>3.162891408508217E-3</v>
      </c>
      <c r="Z123" s="43">
        <f>LN('2.ΤΙΜΕΣ ΚΛΕΙΣΙΜΑΤΟΣ'!Z124/'2.ΤΙΜΕΣ ΚΛΕΙΣΙΜΑΤΟΣ'!Z123)</f>
        <v>0</v>
      </c>
      <c r="AA123" s="43">
        <f>LN('2.ΤΙΜΕΣ ΚΛΕΙΣΙΜΑΤΟΣ'!AA124/'2.ΤΙΜΕΣ ΚΛΕΙΣΙΜΑΤΟΣ'!AA123)</f>
        <v>2.9985029962566329E-3</v>
      </c>
      <c r="AB123" s="43">
        <f>LN('2.ΤΙΜΕΣ ΚΛΕΙΣΙΜΑΤΟΣ'!AB124/'2.ΤΙΜΕΣ ΚΛΕΙΣΙΜΑΤΟΣ'!AB123)</f>
        <v>3.0134106844074204E-2</v>
      </c>
      <c r="AC123" s="43">
        <f>LN('2.ΤΙΜΕΣ ΚΛΕΙΣΙΜΑΤΟΣ'!AC124/'2.ΤΙΜΕΣ ΚΛΕΙΣΙΜΑΤΟΣ'!AC123)</f>
        <v>0</v>
      </c>
      <c r="AD123" s="43">
        <f>LN('2.ΤΙΜΕΣ ΚΛΕΙΣΙΜΑΤΟΣ'!AD124/'2.ΤΙΜΕΣ ΚΛΕΙΣΙΜΑΤΟΣ'!AD123)</f>
        <v>1.161116092767784E-2</v>
      </c>
      <c r="AE123" s="43">
        <f>LN('2.ΤΙΜΕΣ ΚΛΕΙΣΙΜΑΤΟΣ'!AE124/'2.ΤΙΜΕΣ ΚΛΕΙΣΙΜΑΤΟΣ'!AE123)</f>
        <v>-3.9761483796395174E-3</v>
      </c>
      <c r="AF123" s="43">
        <f>LN('2.ΤΙΜΕΣ ΚΛΕΙΣΙΜΑΤΟΣ'!AF124/'2.ΤΙΜΕΣ ΚΛΕΙΣΙΜΑΤΟΣ'!AF123)</f>
        <v>3.1298930089275656E-3</v>
      </c>
      <c r="AG123" s="43">
        <f>LN('2.ΤΙΜΕΣ ΚΛΕΙΣΙΜΑΤΟΣ'!AG124/'2.ΤΙΜΕΣ ΚΛΕΙΣΙΜΑΤΟΣ'!AG123)</f>
        <v>0</v>
      </c>
      <c r="AH123" s="43">
        <f>LN('2.ΤΙΜΕΣ ΚΛΕΙΣΙΜΑΤΟΣ'!AH124/'2.ΤΙΜΕΣ ΚΛΕΙΣΙΜΑΤΟΣ'!AH123)</f>
        <v>1.8692133012152546E-2</v>
      </c>
      <c r="AI123" s="43">
        <f>LN('2.ΤΙΜΕΣ ΚΛΕΙΣΙΜΑΤΟΣ'!AI124/'2.ΤΙΜΕΣ ΚΛΕΙΣΙΜΑΤΟΣ'!AI123)</f>
        <v>0</v>
      </c>
      <c r="AJ123" s="43">
        <f>LN('2.ΤΙΜΕΣ ΚΛΕΙΣΙΜΑΤΟΣ'!AJ124/'2.ΤΙΜΕΣ ΚΛΕΙΣΙΜΑΤΟΣ'!AJ123)</f>
        <v>-4.0080213975387108E-3</v>
      </c>
      <c r="AK123" s="43">
        <f>LN('2.ΤΙΜΕΣ ΚΛΕΙΣΙΜΑΤΟΣ'!AK124/'2.ΤΙΜΕΣ ΚΛΕΙΣΙΜΑΤΟΣ'!AK123)</f>
        <v>-9.5238815112554786E-3</v>
      </c>
      <c r="AL123" s="43">
        <f>LN('2.ΤΙΜΕΣ ΚΛΕΙΣΙΜΑΤΟΣ'!AL124/'2.ΤΙΜΕΣ ΚΛΕΙΣΙΜΑΤΟΣ'!AL123)</f>
        <v>-2.2141125877213518E-2</v>
      </c>
      <c r="AM123" s="43">
        <f>LN('2.ΤΙΜΕΣ ΚΛΕΙΣΙΜΑΤΟΣ'!AM124/'2.ΤΙΜΕΣ ΚΛΕΙΣΙΜΑΤΟΣ'!AM123)</f>
        <v>0</v>
      </c>
      <c r="AN123" s="43">
        <f>LN('2.ΤΙΜΕΣ ΚΛΕΙΣΙΜΑΤΟΣ'!AN124/'2.ΤΙΜΕΣ ΚΛΕΙΣΙΜΑΤΟΣ'!AN123)</f>
        <v>-1.3043663192029339E-2</v>
      </c>
      <c r="AO123" s="43">
        <f>LN('2.ΤΙΜΕΣ ΚΛΕΙΣΙΜΑΤΟΣ'!AO124/'2.ΤΙΜΕΣ ΚΛΕΙΣΙΜΑΤΟΣ'!AO123)</f>
        <v>-1.0929070532190317E-2</v>
      </c>
      <c r="AP123" s="43">
        <f>LN('2.ΤΙΜΕΣ ΚΛΕΙΣΙΜΑΤΟΣ'!AP124/'2.ΤΙΜΕΣ ΚΛΕΙΣΙΜΑΤΟΣ'!AP123)</f>
        <v>0</v>
      </c>
      <c r="AQ123" s="43">
        <f>LN('2.ΤΙΜΕΣ ΚΛΕΙΣΙΜΑΤΟΣ'!AQ124/'2.ΤΙΜΕΣ ΚΛΕΙΣΙΜΑΤΟΣ'!AQ123)</f>
        <v>3.0349036951541112E-3</v>
      </c>
      <c r="AR123" s="43">
        <f>LN('2.ΤΙΜΕΣ ΚΛΕΙΣΙΜΑΤΟΣ'!AR124/'2.ΤΙΜΕΣ ΚΛΕΙΣΙΜΑΤΟΣ'!AR123)</f>
        <v>0</v>
      </c>
      <c r="AS123" s="43">
        <f>LN('2.ΤΙΜΕΣ ΚΛΕΙΣΙΜΑΤΟΣ'!AS124/'2.ΤΙΜΕΣ ΚΛΕΙΣΙΜΑΤΟΣ'!AS123)</f>
        <v>-5.0505157860685915E-3</v>
      </c>
      <c r="AT123" s="43">
        <f>LN('2.ΤΙΜΕΣ ΚΛΕΙΣΙΜΑΤΟΣ'!AT124/'2.ΤΙΜΕΣ ΚΛΕΙΣΙΜΑΤΟΣ'!AT123)</f>
        <v>-4.1753714104806215E-3</v>
      </c>
      <c r="AU123" s="43">
        <f>LN('2.ΤΙΜΕΣ ΚΛΕΙΣΙΜΑΤΟΣ'!AU124/'2.ΤΙΜΕΣ ΚΛΕΙΣΙΜΑΤΟΣ'!AU123)</f>
        <v>6.2637440435679634E-3</v>
      </c>
    </row>
    <row r="124" spans="1:47">
      <c r="A124" s="41">
        <v>43733</v>
      </c>
      <c r="B124" s="43">
        <f>LN('2.ΤΙΜΕΣ ΚΛΕΙΣΙΜΑΤΟΣ'!B125/'2.ΤΙΜΕΣ ΚΛΕΙΣΙΜΑΤΟΣ'!B124)</f>
        <v>-1.0152371464018073E-2</v>
      </c>
      <c r="C124" s="43">
        <f>LN('2.ΤΙΜΕΣ ΚΛΕΙΣΙΜΑΤΟΣ'!C125/'2.ΤΙΜΕΣ ΚΛΕΙΣΙΜΑΤΟΣ'!C124)</f>
        <v>-8.6241224440974096E-3</v>
      </c>
      <c r="D124" s="43">
        <f>LN('2.ΤΙΜΕΣ ΚΛΕΙΣΙΜΑΤΟΣ'!D125/'2.ΤΙΜΕΣ ΚΛΕΙΣΙΜΑΤΟΣ'!D124)</f>
        <v>2.6083795893638785E-3</v>
      </c>
      <c r="E124" s="43">
        <f>LN('2.ΤΙΜΕΣ ΚΛΕΙΣΙΜΑΤΟΣ'!E125/'2.ΤΙΜΕΣ ΚΛΕΙΣΙΜΑΤΟΣ'!E124)</f>
        <v>-2.9931180681319522E-3</v>
      </c>
      <c r="F124" s="43">
        <f>LN('2.ΤΙΜΕΣ ΚΛΕΙΣΙΜΑΤΟΣ'!F125/'2.ΤΙΜΕΣ ΚΛΕΙΣΙΜΑΤΟΣ'!F124)</f>
        <v>-1.5541257211211686E-2</v>
      </c>
      <c r="G124" s="43">
        <f>LN('2.ΤΙΜΕΣ ΚΛΕΙΣΙΜΑΤΟΣ'!G125/'2.ΤΙΜΕΣ ΚΛΕΙΣΙΜΑΤΟΣ'!G124)</f>
        <v>-8.0321716972642666E-3</v>
      </c>
      <c r="H124" s="43">
        <f>LN('2.ΤΙΜΕΣ ΚΛΕΙΣΙΜΑΤΟΣ'!H125/'2.ΤΙΜΕΣ ΚΛΕΙΣΙΜΑΤΟΣ'!H124)</f>
        <v>7.6190844764393584E-3</v>
      </c>
      <c r="I124" s="43">
        <f>LN('2.ΤΙΜΕΣ ΚΛΕΙΣΙΜΑΤΟΣ'!I125/'2.ΤΙΜΕΣ ΚΛΕΙΣΙΜΑΤΟΣ'!I124)</f>
        <v>-1.0068192836921784E-2</v>
      </c>
      <c r="J124" s="43">
        <f>LN('2.ΤΙΜΕΣ ΚΛΕΙΣΙΜΑΤΟΣ'!J125/'2.ΤΙΜΕΣ ΚΛΕΙΣΙΜΑΤΟΣ'!J124)</f>
        <v>-1.8746042821055221E-2</v>
      </c>
      <c r="K124" s="43">
        <f>LN('2.ΤΙΜΕΣ ΚΛΕΙΣΙΜΑΤΟΣ'!K125/'2.ΤΙΜΕΣ ΚΛΕΙΣΙΜΑΤΟΣ'!K124)</f>
        <v>-1.2032136098517551E-2</v>
      </c>
      <c r="L124" s="43">
        <f>LN('2.ΤΙΜΕΣ ΚΛΕΙΣΙΜΑΤΟΣ'!L125/'2.ΤΙΜΕΣ ΚΛΕΙΣΙΜΑΤΟΣ'!L124)</f>
        <v>-2.3292192235461071E-2</v>
      </c>
      <c r="M124" s="43">
        <f>LN('2.ΤΙΜΕΣ ΚΛΕΙΣΙΜΑΤΟΣ'!M125/'2.ΤΙΜΕΣ ΚΛΕΙΣΙΜΑΤΟΣ'!M124)</f>
        <v>1.0582109330537008E-2</v>
      </c>
      <c r="N124" s="43">
        <f>LN('2.ΤΙΜΕΣ ΚΛΕΙΣΙΜΑΤΟΣ'!N125/'2.ΤΙΜΕΣ ΚΛΕΙΣΙΜΑΤΟΣ'!N124)</f>
        <v>-3.0119398906935716E-2</v>
      </c>
      <c r="O124" s="43">
        <f>LN('2.ΤΙΜΕΣ ΚΛΕΙΣΙΜΑΤΟΣ'!O125/'2.ΤΙΜΕΣ ΚΛΕΙΣΙΜΑΤΟΣ'!O124)</f>
        <v>-9.8401778015112344E-3</v>
      </c>
      <c r="P124" s="43">
        <f>LN('2.ΤΙΜΕΣ ΚΛΕΙΣΙΜΑΤΟΣ'!P125/'2.ΤΙΜΕΣ ΚΛΕΙΣΙΜΑΤΟΣ'!P124)</f>
        <v>-7.6628727455691371E-3</v>
      </c>
      <c r="Q124" s="43">
        <f>LN('2.ΤΙΜΕΣ ΚΛΕΙΣΙΜΑΤΟΣ'!Q125/'2.ΤΙΜΕΣ ΚΛΕΙΣΙΜΑΤΟΣ'!Q124)</f>
        <v>-5.2840281466052666E-3</v>
      </c>
      <c r="R124" s="43">
        <f>LN('2.ΤΙΜΕΣ ΚΛΕΙΣΙΜΑΤΟΣ'!R125/'2.ΤΙΜΕΣ ΚΛΕΙΣΙΜΑΤΟΣ'!R124)</f>
        <v>5.1568170694943752E-2</v>
      </c>
      <c r="S124" s="43">
        <f>LN('2.ΤΙΜΕΣ ΚΛΕΙΣΙΜΑΤΟΣ'!S125/'2.ΤΙΜΕΣ ΚΛΕΙΣΙΜΑΤΟΣ'!S124)</f>
        <v>-7.4349784875180902E-3</v>
      </c>
      <c r="T124" s="43">
        <f>LN('2.ΤΙΜΕΣ ΚΛΕΙΣΙΜΑΤΟΣ'!T125/'2.ΤΙΜΕΣ ΚΛΕΙΣΙΜΑΤΟΣ'!T124)</f>
        <v>-1.801850550267825E-2</v>
      </c>
      <c r="U124" s="43">
        <f>LN('2.ΤΙΜΕΣ ΚΛΕΙΣΙΜΑΤΟΣ'!U125/'2.ΤΙΜΕΣ ΚΛΕΙΣΙΜΑΤΟΣ'!U124)</f>
        <v>-2.3837913552762504E-3</v>
      </c>
      <c r="V124" s="43">
        <f>LN('2.ΤΙΜΕΣ ΚΛΕΙΣΙΜΑΤΟΣ'!V125/'2.ΤΙΜΕΣ ΚΛΕΙΣΙΜΑΤΟΣ'!V124)</f>
        <v>8.3857933762739641E-3</v>
      </c>
      <c r="W124" s="43">
        <f>LN('2.ΤΙΜΕΣ ΚΛΕΙΣΙΜΑΤΟΣ'!W125/'2.ΤΙΜΕΣ ΚΛΕΙΣΙΜΑΤΟΣ'!W124)</f>
        <v>1.2492194004318981E-3</v>
      </c>
      <c r="X124" s="43">
        <f>LN('2.ΤΙΜΕΣ ΚΛΕΙΣΙΜΑΤΟΣ'!X125/'2.ΤΙΜΕΣ ΚΛΕΙΣΙΜΑΤΟΣ'!X124)</f>
        <v>0</v>
      </c>
      <c r="Y124" s="43">
        <f>LN('2.ΤΙΜΕΣ ΚΛΕΙΣΙΜΑΤΟΣ'!Y125/'2.ΤΙΜΕΣ ΚΛΕΙΣΙΜΑΤΟΣ'!Y124)</f>
        <v>-2.1277398447284851E-2</v>
      </c>
      <c r="Z124" s="43">
        <f>LN('2.ΤΙΜΕΣ ΚΛΕΙΣΙΜΑΤΟΣ'!Z125/'2.ΤΙΜΕΣ ΚΛΕΙΣΙΜΑΤΟΣ'!Z124)</f>
        <v>-6.9204428445737952E-3</v>
      </c>
      <c r="AA124" s="43">
        <f>LN('2.ΤΙΜΕΣ ΚΛΕΙΣΙΜΑΤΟΣ'!AA125/'2.ΤΙΜΕΣ ΚΛΕΙΣΙΜΑΤΟΣ'!AA124)</f>
        <v>-1.204833851617448E-2</v>
      </c>
      <c r="AB124" s="43">
        <f>LN('2.ΤΙΜΕΣ ΚΛΕΙΣΙΜΑΤΟΣ'!AB125/'2.ΤΙΜΕΣ ΚΛΕΙΣΙΜΑΤΟΣ'!AB124)</f>
        <v>-1.1194146743152587E-2</v>
      </c>
      <c r="AC124" s="43">
        <f>LN('2.ΤΙΜΕΣ ΚΛΕΙΣΙΜΑΤΟΣ'!AC125/'2.ΤΙΜΕΣ ΚΛΕΙΣΙΜΑΤΟΣ'!AC124)</f>
        <v>0</v>
      </c>
      <c r="AD124" s="43">
        <f>LN('2.ΤΙΜΕΣ ΚΛΕΙΣΙΜΑΤΟΣ'!AD125/'2.ΤΙΜΕΣ ΚΛΕΙΣΙΜΑΤΟΣ'!AD124)</f>
        <v>-2.6317308317373302E-2</v>
      </c>
      <c r="AE124" s="43">
        <f>LN('2.ΤΙΜΕΣ ΚΛΕΙΣΙΜΑΤΟΣ'!AE125/'2.ΤΙΜΕΣ ΚΛΕΙΣΙΜΑΤΟΣ'!AE124)</f>
        <v>-5.9940239402104132E-3</v>
      </c>
      <c r="AF124" s="43">
        <f>LN('2.ΤΙΜΕΣ ΚΛΕΙΣΙΜΑΤΟΣ'!AF125/'2.ΤΙΜΕΣ ΚΛΕΙΣΙΜΑΤΟΣ'!AF124)</f>
        <v>-3.7139546949456655E-2</v>
      </c>
      <c r="AG124" s="43">
        <f>LN('2.ΤΙΜΕΣ ΚΛΕΙΣΙΜΑΤΟΣ'!AG125/'2.ΤΙΜΕΣ ΚΛΕΙΣΙΜΑΤΟΣ'!AG124)</f>
        <v>-2.7028672387919374E-2</v>
      </c>
      <c r="AH124" s="43">
        <f>LN('2.ΤΙΜΕΣ ΚΛΕΙΣΙΜΑΤΟΣ'!AH125/'2.ΤΙΜΕΣ ΚΛΕΙΣΙΜΑΤΟΣ'!AH124)</f>
        <v>-1.3047715392475519E-2</v>
      </c>
      <c r="AI124" s="43">
        <f>LN('2.ΤΙΜΕΣ ΚΛΕΙΣΙΜΑΤΟΣ'!AI125/'2.ΤΙΜΕΣ ΚΛΕΙΣΙΜΑΤΟΣ'!AI124)</f>
        <v>-2.3905520853554366E-2</v>
      </c>
      <c r="AJ124" s="43">
        <f>LN('2.ΤΙΜΕΣ ΚΛΕΙΣΙΜΑΤΟΣ'!AJ125/'2.ΤΙΜΕΣ ΚΛΕΙΣΙΜΑΤΟΣ'!AJ124)</f>
        <v>-2.028467117150589E-2</v>
      </c>
      <c r="AK124" s="43">
        <f>LN('2.ΤΙΜΕΣ ΚΛΕΙΣΙΜΑΤΟΣ'!AK125/'2.ΤΙΜΕΣ ΚΛΕΙΣΙΜΑΤΟΣ'!AK124)</f>
        <v>4.7732787526578117E-3</v>
      </c>
      <c r="AL124" s="43">
        <f>LN('2.ΤΙΜΕΣ ΚΛΕΙΣΙΜΑΤΟΣ'!AL125/'2.ΤΙΜΕΣ ΚΛΕΙΣΙΜΑΤΟΣ'!AL124)</f>
        <v>-1.5037877364540559E-2</v>
      </c>
      <c r="AM124" s="43">
        <f>LN('2.ΤΙΜΕΣ ΚΛΕΙΣΙΜΑΤΟΣ'!AM125/'2.ΤΙΜΕΣ ΚΛΕΙΣΙΜΑΤΟΣ'!AM124)</f>
        <v>-7.416597655049483E-3</v>
      </c>
      <c r="AN124" s="43">
        <f>LN('2.ΤΙΜΕΣ ΚΛΕΙΣΙΜΑΤΟΣ'!AN125/'2.ΤΙΜΕΣ ΚΛΕΙΣΙΜΑΤΟΣ'!AN124)</f>
        <v>-3.5638515447358736E-2</v>
      </c>
      <c r="AO124" s="43">
        <f>LN('2.ΤΙΜΕΣ ΚΛΕΙΣΙΜΑΤΟΣ'!AO125/'2.ΤΙΜΕΣ ΚΛΕΙΣΙΜΑΤΟΣ'!AO124)</f>
        <v>-1.6620881236040407E-2</v>
      </c>
      <c r="AP124" s="43">
        <f>LN('2.ΤΙΜΕΣ ΚΛΕΙΣΙΜΑΤΟΣ'!AP125/'2.ΤΙΜΕΣ ΚΛΕΙΣΙΜΑΤΟΣ'!AP124)</f>
        <v>-2.6955809988528218E-2</v>
      </c>
      <c r="AQ124" s="43">
        <f>LN('2.ΤΙΜΕΣ ΚΛΕΙΣΙΜΑΤΟΣ'!AQ125/'2.ΤΙΜΕΣ ΚΛΕΙΣΙΜΑΤΟΣ'!AQ124)</f>
        <v>-1.5267472130788421E-2</v>
      </c>
      <c r="AR124" s="43">
        <f>LN('2.ΤΙΜΕΣ ΚΛΕΙΣΙΜΑΤΟΣ'!AR125/'2.ΤΙΜΕΣ ΚΛΕΙΣΙΜΑΤΟΣ'!AR124)</f>
        <v>-1.3698844358161915E-2</v>
      </c>
      <c r="AS124" s="43">
        <f>LN('2.ΤΙΜΕΣ ΚΛΕΙΣΙΜΑΤΟΣ'!AS125/'2.ΤΙΜΕΣ ΚΛΕΙΣΙΜΑΤΟΣ'!AS124)</f>
        <v>-1.7880425277848524E-2</v>
      </c>
      <c r="AT124" s="43">
        <f>LN('2.ΤΙΜΕΣ ΚΛΕΙΣΙΜΑΤΟΣ'!AT125/'2.ΤΙΜΕΣ ΚΛΕΙΣΙΜΑΤΟΣ'!AT124)</f>
        <v>-1.6878037787351748E-2</v>
      </c>
      <c r="AU124" s="43">
        <f>LN('2.ΤΙΜΕΣ ΚΛΕΙΣΙΜΑΤΟΣ'!AU125/'2.ΤΙΜΕΣ ΚΛΕΙΣΙΜΑΤΟΣ'!AU124)</f>
        <v>-6.843561765125533E-3</v>
      </c>
    </row>
    <row r="125" spans="1:47">
      <c r="A125" s="41">
        <v>43734</v>
      </c>
      <c r="B125" s="43">
        <f>LN('2.ΤΙΜΕΣ ΚΛΕΙΣΙΜΑΤΟΣ'!B126/'2.ΤΙΜΕΣ ΚΛΕΙΣΙΜΑΤΟΣ'!B125)</f>
        <v>9.4787439545437387E-3</v>
      </c>
      <c r="C125" s="43">
        <f>LN('2.ΤΙΜΕΣ ΚΛΕΙΣΙΜΑΤΟΣ'!C126/'2.ΤΙΜΕΣ ΚΛΕΙΣΙΜΑΤΟΣ'!C125)</f>
        <v>7.843177461026099E-3</v>
      </c>
      <c r="D125" s="43">
        <f>LN('2.ΤΙΜΕΣ ΚΛΕΙΣΙΜΑΤΟΣ'!D126/'2.ΤΙΜΕΣ ΚΛΕΙΣΙΜΑΤΟΣ'!D125)</f>
        <v>3.6403389309746727E-3</v>
      </c>
      <c r="E125" s="43">
        <f>LN('2.ΤΙΜΕΣ ΚΛΕΙΣΙΜΑΤΟΣ'!E126/'2.ΤΙΜΕΣ ΚΛΕΙΣΙΜΑΤΟΣ'!E125)</f>
        <v>1.2511333889108148E-2</v>
      </c>
      <c r="F125" s="43">
        <f>LN('2.ΤΙΜΕΣ ΚΛΕΙΣΙΜΑΤΟΣ'!F126/'2.ΤΙΜΕΣ ΚΛΕΙΣΙΜΑΤΟΣ'!F125)</f>
        <v>0</v>
      </c>
      <c r="G125" s="43">
        <f>LN('2.ΤΙΜΕΣ ΚΛΕΙΣΙΜΑΤΟΣ'!G126/'2.ΤΙΜΕΣ ΚΛΕΙΣΙΜΑΤΟΣ'!G125)</f>
        <v>1.3730192811902037E-2</v>
      </c>
      <c r="H125" s="43">
        <f>LN('2.ΤΙΜΕΣ ΚΛΕΙΣΙΜΑΤΟΣ'!H126/'2.ΤΙΜΕΣ ΚΛΕΙΣΙΜΑΤΟΣ'!H125)</f>
        <v>-8.5755647023962617E-3</v>
      </c>
      <c r="I125" s="43">
        <f>LN('2.ΤΙΜΕΣ ΚΛΕΙΣΙΜΑΤΟΣ'!I126/'2.ΤΙΜΕΣ ΚΛΕΙΣΙΜΑΤΟΣ'!I125)</f>
        <v>5.9347355198145265E-3</v>
      </c>
      <c r="J125" s="43">
        <f>LN('2.ΤΙΜΕΣ ΚΛΕΙΣΙΜΑΤΟΣ'!J126/'2.ΤΙΜΕΣ ΚΛΕΙΣΙΜΑΤΟΣ'!J125)</f>
        <v>7.9739458391441149E-3</v>
      </c>
      <c r="K125" s="43">
        <f>LN('2.ΤΙΜΕΣ ΚΛΕΙΣΙΜΑΤΟΣ'!K126/'2.ΤΙΜΕΣ ΚΛΕΙΣΙΜΑΤΟΣ'!K125)</f>
        <v>1.203213609851757E-2</v>
      </c>
      <c r="L125" s="43">
        <f>LN('2.ΤΙΜΕΣ ΚΛΕΙΣΙΜΑΤΟΣ'!L126/'2.ΤΙΜΕΣ ΚΛΕΙΣΙΜΑΤΟΣ'!L125)</f>
        <v>5.109873152270644E-3</v>
      </c>
      <c r="M125" s="43">
        <f>LN('2.ΤΙΜΕΣ ΚΛΕΙΣΙΜΑΤΟΣ'!M126/'2.ΤΙΜΕΣ ΚΛΕΙΣΙΜΑΤΟΣ'!M125)</f>
        <v>4.2016868536999766E-3</v>
      </c>
      <c r="N125" s="43">
        <f>LN('2.ΤΙΜΕΣ ΚΛΕΙΣΙΜΑΤΟΣ'!N126/'2.ΤΙΜΕΣ ΚΛΕΙΣΙΜΑΤΟΣ'!N125)</f>
        <v>2.3365875891155928E-2</v>
      </c>
      <c r="O125" s="43">
        <f>LN('2.ΤΙΜΕΣ ΚΛΕΙΣΙΜΑΤΟΣ'!O126/'2.ΤΙΜΕΣ ΚΛΕΙΣΙΜΑΤΟΣ'!O125)</f>
        <v>-3.6504997374854214E-2</v>
      </c>
      <c r="P125" s="43">
        <f>LN('2.ΤΙΜΕΣ ΚΛΕΙΣΙΜΑΤΟΣ'!P126/'2.ΤΙΜΕΣ ΚΛΕΙΣΙΜΑΤΟΣ'!P125)</f>
        <v>0</v>
      </c>
      <c r="Q125" s="43">
        <f>LN('2.ΤΙΜΕΣ ΚΛΕΙΣΙΜΑΤΟΣ'!Q126/'2.ΤΙΜΕΣ ΚΛΕΙΣΙΜΑΤΟΣ'!Q125)</f>
        <v>-3.3167526259940379E-3</v>
      </c>
      <c r="R125" s="43">
        <f>LN('2.ΤΙΜΕΣ ΚΛΕΙΣΙΜΑΤΟΣ'!R126/'2.ΤΙΜΕΣ ΚΛΕΙΣΙΜΑΤΟΣ'!R125)</f>
        <v>2.0672570804719882E-2</v>
      </c>
      <c r="S125" s="43">
        <f>LN('2.ΤΙΜΕΣ ΚΛΕΙΣΙΜΑΤΟΣ'!S126/'2.ΤΙΜΕΣ ΚΛΕΙΣΙΜΑΤΟΣ'!S125)</f>
        <v>0</v>
      </c>
      <c r="T125" s="43">
        <f>LN('2.ΤΙΜΕΣ ΚΛΕΙΣΙΜΑΤΟΣ'!T126/'2.ΤΙΜΕΣ ΚΛΕΙΣΙΜΑΤΟΣ'!T125)</f>
        <v>9.0498355199178562E-3</v>
      </c>
      <c r="U125" s="43">
        <f>LN('2.ΤΙΜΕΣ ΚΛΕΙΣΙΜΑΤΟΣ'!U126/'2.ΤΙΜΕΣ ΚΛΕΙΣΙΜΑΤΟΣ'!U125)</f>
        <v>-1.2004946096823486E-2</v>
      </c>
      <c r="V125" s="43">
        <f>LN('2.ΤΙΜΕΣ ΚΛΕΙΣΙΜΑΤΟΣ'!V126/'2.ΤΙΜΕΣ ΚΛΕΙΣΙΜΑΤΟΣ'!V125)</f>
        <v>8.3160562416573856E-3</v>
      </c>
      <c r="W125" s="43">
        <f>LN('2.ΤΙΜΕΣ ΚΛΕΙΣΙΜΑΤΟΣ'!W126/'2.ΤΙΜΕΣ ΚΛΕΙΣΙΜΑΤΟΣ'!W125)</f>
        <v>3.7383221106071581E-3</v>
      </c>
      <c r="X125" s="43">
        <f>LN('2.ΤΙΜΕΣ ΚΛΕΙΣΙΜΑΤΟΣ'!X126/'2.ΤΙΜΕΣ ΚΛΕΙΣΙΜΑΤΟΣ'!X125)</f>
        <v>-8.5070082639684633E-3</v>
      </c>
      <c r="Y125" s="43">
        <f>LN('2.ΤΙΜΕΣ ΚΛΕΙΣΙΜΑΤΟΣ'!Y126/'2.ΤΙΜΕΣ ΚΛΕΙΣΙΜΑΤΟΣ'!Y125)</f>
        <v>1.705798290457677E-2</v>
      </c>
      <c r="Z125" s="43">
        <f>LN('2.ΤΙΜΕΣ ΚΛΕΙΣΙΜΑΤΟΣ'!Z126/'2.ΤΙΜΕΣ ΚΛΕΙΣΙΜΑΤΟΣ'!Z125)</f>
        <v>0</v>
      </c>
      <c r="AA125" s="43">
        <f>LN('2.ΤΙΜΕΣ ΚΛΕΙΣΙΜΑΤΟΣ'!AA126/'2.ΤΙΜΕΣ ΚΛΕΙΣΙΜΑΤΟΣ'!AA125)</f>
        <v>6.0423144559626617E-3</v>
      </c>
      <c r="AB125" s="43">
        <f>LN('2.ΤΙΜΕΣ ΚΛΕΙΣΙΜΑΤΟΣ'!AB126/'2.ΤΙΜΕΣ ΚΛΕΙΣΙΜΑΤΟΣ'!AB125)</f>
        <v>-5.6444176196770697E-3</v>
      </c>
      <c r="AC125" s="43">
        <f>LN('2.ΤΙΜΕΣ ΚΛΕΙΣΙΜΑΤΟΣ'!AC126/'2.ΤΙΜΕΣ ΚΛΕΙΣΙΜΑΤΟΣ'!AC125)</f>
        <v>0</v>
      </c>
      <c r="AD125" s="43">
        <f>LN('2.ΤΙΜΕΣ ΚΛΕΙΣΙΜΑΤΟΣ'!AD126/'2.ΤΙΜΕΣ ΚΛΕΙΣΙΜΑΤΟΣ'!AD125)</f>
        <v>7.38010729762246E-3</v>
      </c>
      <c r="AE125" s="43">
        <f>LN('2.ΤΙΜΕΣ ΚΛΕΙΣΙΜΑΤΟΣ'!AE126/'2.ΤΙΜΕΣ ΚΛΕΙΣΙΜΑΤΟΣ'!AE125)</f>
        <v>-8.0483331828283718E-3</v>
      </c>
      <c r="AF125" s="43">
        <f>LN('2.ΤΙΜΕΣ ΚΛΕΙΣΙΜΑΤΟΣ'!AF126/'2.ΤΙΜΕΣ ΚΛΕΙΣΙΜΑΤΟΣ'!AF125)</f>
        <v>1.0752791776261915E-2</v>
      </c>
      <c r="AG125" s="43">
        <f>LN('2.ΤΙΜΕΣ ΚΛΕΙΣΙΜΑΤΟΣ'!AG126/'2.ΤΙΜΕΣ ΚΛΕΙΣΙΜΑΤΟΣ'!AG125)</f>
        <v>4.5558165358606613E-3</v>
      </c>
      <c r="AH125" s="43">
        <f>LN('2.ΤΙΜΕΣ ΚΛΕΙΣΙΜΑΤΟΣ'!AH126/'2.ΤΙΜΕΣ ΚΛΕΙΣΙΜΑΤΟΣ'!AH125)</f>
        <v>1.1194146743152708E-2</v>
      </c>
      <c r="AI125" s="43">
        <f>LN('2.ΤΙΜΕΣ ΚΛΕΙΣΙΜΑΤΟΣ'!AI126/'2.ΤΙΜΕΣ ΚΛΕΙΣΙΜΑΤΟΣ'!AI125)</f>
        <v>1.600034134644112E-2</v>
      </c>
      <c r="AJ125" s="43">
        <f>LN('2.ΤΙΜΕΣ ΚΛΕΙΣΙΜΑΤΟΣ'!AJ126/'2.ΤΙΜΕΣ ΚΛΕΙΣΙΜΑΤΟΣ'!AJ125)</f>
        <v>4.0899852515252876E-3</v>
      </c>
      <c r="AK125" s="43">
        <f>LN('2.ΤΙΜΕΣ ΚΛΕΙΣΙΜΑΤΟΣ'!AK126/'2.ΤΙΜΕΣ ΚΛΕΙΣΙΜΑΤΟΣ'!AK125)</f>
        <v>4.7506027585977988E-3</v>
      </c>
      <c r="AL125" s="43">
        <f>LN('2.ΤΙΜΕΣ ΚΛΕΙΣΙΜΑΤΟΣ'!AL126/'2.ΤΙΜΕΣ ΚΛΕΙΣΙΜΑΤΟΣ'!AL125)</f>
        <v>1.5037877364540502E-2</v>
      </c>
      <c r="AM125" s="43">
        <f>LN('2.ΤΙΜΕΣ ΚΛΕΙΣΙΜΑΤΟΣ'!AM126/'2.ΤΙΜΕΣ ΚΛΕΙΣΙΜΑΤΟΣ'!AM125)</f>
        <v>4.9505051598559835E-3</v>
      </c>
      <c r="AN125" s="43">
        <f>LN('2.ΤΙΜΕΣ ΚΛΕΙΣΙΜΑΤΟΣ'!AN126/'2.ΤΙΜΕΣ ΚΛΕΙΣΙΜΑΤΟΣ'!AN125)</f>
        <v>-1.3698844358161915E-2</v>
      </c>
      <c r="AO125" s="43">
        <f>LN('2.ΤΙΜΕΣ ΚΛΕΙΣΙΜΑΤΟΣ'!AO126/'2.ΤΙΜΕΣ ΚΛΕΙΣΙΜΑΤΟΣ'!AO125)</f>
        <v>-1.1236073266925842E-2</v>
      </c>
      <c r="AP125" s="43">
        <f>LN('2.ΤΙΜΕΣ ΚΛΕΙΣΙΜΑΤΟΣ'!AP126/'2.ΤΙΜΕΣ ΚΛΕΙΣΙΜΑΤΟΣ'!AP125)</f>
        <v>1.0869672236903891E-2</v>
      </c>
      <c r="AQ125" s="43">
        <f>LN('2.ΤΙΜΕΣ ΚΛΕΙΣΙΜΑΤΟΣ'!AQ126/'2.ΤΙΜΕΣ ΚΛΕΙΣΙΜΑΤΟΣ'!AQ125)</f>
        <v>2.0305266160745523E-2</v>
      </c>
      <c r="AR125" s="43">
        <f>LN('2.ΤΙΜΕΣ ΚΛΕΙΣΙΜΑΤΟΣ'!AR126/'2.ΤΙΜΕΣ ΚΛΕΙΣΙΜΑΤΟΣ'!AR125)</f>
        <v>1.0291686036547724E-2</v>
      </c>
      <c r="AS125" s="43">
        <f>LN('2.ΤΙΜΕΣ ΚΛΕΙΣΙΜΑΤΟΣ'!AS126/'2.ΤΙΜΕΣ ΚΛΕΙΣΙΜΑΤΟΣ'!AS125)</f>
        <v>0</v>
      </c>
      <c r="AT125" s="43">
        <f>LN('2.ΤΙΜΕΣ ΚΛΕΙΣΙΜΑΤΟΣ'!AT126/'2.ΤΙΜΕΣ ΚΛΕΙΣΙΜΑΤΟΣ'!AT125)</f>
        <v>-4.2643987864574278E-3</v>
      </c>
      <c r="AU125" s="43">
        <f>LN('2.ΤΙΜΕΣ ΚΛΕΙΣΙΜΑΤΟΣ'!AU126/'2.ΤΙΜΕΣ ΚΛΕΙΣΙΜΑΤΟΣ'!AU125)</f>
        <v>4.7330655919673621E-3</v>
      </c>
    </row>
    <row r="126" spans="1:47">
      <c r="A126" s="41">
        <v>43735</v>
      </c>
      <c r="B126" s="43">
        <f>LN('2.ΤΙΜΕΣ ΚΛΕΙΣΙΜΑΤΟΣ'!B127/'2.ΤΙΜΕΣ ΚΛΕΙΣΙΜΑΤΟΣ'!B126)</f>
        <v>1.4051753455650507E-2</v>
      </c>
      <c r="C126" s="43">
        <f>LN('2.ΤΙΜΕΣ ΚΛΕΙΣΙΜΑΤΟΣ'!C127/'2.ΤΙΜΕΣ ΚΛΕΙΣΙΜΑΤΟΣ'!C126)</f>
        <v>7.8094498307135099E-4</v>
      </c>
      <c r="D126" s="43">
        <f>LN('2.ΤΙΜΕΣ ΚΛΕΙΣΙΜΑΤΟΣ'!D127/'2.ΤΙΜΕΣ ΚΛΕΙΣΙΜΑΤΟΣ'!D126)</f>
        <v>-1.4641549992948005E-2</v>
      </c>
      <c r="E126" s="43">
        <f>LN('2.ΤΙΜΕΣ ΚΛΕΙΣΙΜΑΤΟΣ'!E127/'2.ΤΙΜΕΣ ΚΛΕΙΣΙΜΑΤΟΣ'!E126)</f>
        <v>2.0510534415838291E-2</v>
      </c>
      <c r="F126" s="43">
        <f>LN('2.ΤΙΜΕΣ ΚΛΕΙΣΙΜΑΤΟΣ'!F127/'2.ΤΙΜΕΣ ΚΛΕΙΣΙΜΑΤΟΣ'!F126)</f>
        <v>1.197619104671562E-2</v>
      </c>
      <c r="G126" s="43">
        <f>LN('2.ΤΙΜΕΣ ΚΛΕΙΣΙΜΑΤΟΣ'!G127/'2.ΤΙΜΕΣ ΚΛΕΙΣΙΜΑΤΟΣ'!G126)</f>
        <v>1.0175328041652446E-2</v>
      </c>
      <c r="H126" s="43">
        <f>LN('2.ΤΙΜΕΣ ΚΛΕΙΣΙΜΑΤΟΣ'!H127/'2.ΤΙΜΕΣ ΚΛΕΙΣΙΜΑΤΟΣ'!H126)</f>
        <v>1.8018505502678431E-2</v>
      </c>
      <c r="I126" s="43">
        <f>LN('2.ΤΙΜΕΣ ΚΛΕΙΣΙΜΑΤΟΣ'!I127/'2.ΤΙΜΕΣ ΚΛΕΙΣΙΜΑΤΟΣ'!I126)</f>
        <v>1.1764841579586431E-2</v>
      </c>
      <c r="J126" s="43">
        <f>LN('2.ΤΙΜΕΣ ΚΛΕΙΣΙΜΑΤΟΣ'!J127/'2.ΤΙΜΕΣ ΚΛΕΙΣΙΜΑΤΟΣ'!J126)</f>
        <v>6.4771726990301903E-3</v>
      </c>
      <c r="K126" s="43">
        <f>LN('2.ΤΙΜΕΣ ΚΛΕΙΣΙΜΑΤΟΣ'!K127/'2.ΤΙΜΕΣ ΚΛΕΙΣΙΜΑΤΟΣ'!K126)</f>
        <v>1.7020500173402023E-2</v>
      </c>
      <c r="L126" s="43">
        <f>LN('2.ΤΙΜΕΣ ΚΛΕΙΣΙΜΑΤΟΣ'!L127/'2.ΤΙΜΕΣ ΚΛΕΙΣΙΜΑΤΟΣ'!L126)</f>
        <v>-1.489116091697768E-2</v>
      </c>
      <c r="M126" s="43">
        <f>LN('2.ΤΙΜΕΣ ΚΛΕΙΣΙΜΑΤΟΣ'!M127/'2.ΤΙΜΕΣ ΚΛΕΙΣΙΜΑΤΟΣ'!M126)</f>
        <v>-1.4783796184236867E-2</v>
      </c>
      <c r="N126" s="43">
        <f>LN('2.ΤΙΜΕΣ ΚΛΕΙΣΙΜΑΤΟΣ'!N127/'2.ΤΙΜΕΣ ΚΛΕΙΣΙΜΑΤΟΣ'!N126)</f>
        <v>1.2096367426275243E-2</v>
      </c>
      <c r="O126" s="43">
        <f>LN('2.ΤΙΜΕΣ ΚΛΕΙΣΙΜΑΤΟΣ'!O127/'2.ΤΙΜΕΣ ΚΛΕΙΣΙΜΑΤΟΣ'!O126)</f>
        <v>0</v>
      </c>
      <c r="P126" s="43">
        <f>LN('2.ΤΙΜΕΣ ΚΛΕΙΣΙΜΑΤΟΣ'!P127/'2.ΤΙΜΕΣ ΚΛΕΙΣΙΜΑΤΟΣ'!P126)</f>
        <v>1.980262729617973E-2</v>
      </c>
      <c r="Q126" s="43">
        <f>LN('2.ΤΙΜΕΣ ΚΛΕΙΣΙΜΑΤΟΣ'!Q127/'2.ΤΙΜΕΣ ΚΛΕΙΣΙΜΑΤΟΣ'!Q126)</f>
        <v>1.3201511858535981E-2</v>
      </c>
      <c r="R126" s="43">
        <f>LN('2.ΤΙΜΕΣ ΚΛΕΙΣΙΜΑΤΟΣ'!R127/'2.ΤΙΜΕΣ ΚΛΕΙΣΙΜΑΤΟΣ'!R126)</f>
        <v>2.9608462071717981E-2</v>
      </c>
      <c r="S126" s="43">
        <f>LN('2.ΤΙΜΕΣ ΚΛΕΙΣΙΜΑΤΟΣ'!S127/'2.ΤΙΜΕΣ ΚΛΕΙΣΙΜΑΤΟΣ'!S126)</f>
        <v>7.4349784875182116E-3</v>
      </c>
      <c r="T126" s="43">
        <f>LN('2.ΤΙΜΕΣ ΚΛΕΙΣΙΜΑΤΟΣ'!T127/'2.ΤΙΜΕΣ ΚΛΕΙΣΙΜΑΤΟΣ'!T126)</f>
        <v>-5.4210231638771054E-2</v>
      </c>
      <c r="U126" s="43">
        <f>LN('2.ΤΙΜΕΣ ΚΛΕΙΣΙΜΑΤΟΣ'!U127/'2.ΤΙΜΕΣ ΚΛΕΙΣΙΜΑΤΟΣ'!U126)</f>
        <v>7.2202479734870973E-3</v>
      </c>
      <c r="V126" s="43">
        <f>LN('2.ΤΙΜΕΣ ΚΛΕΙΣΙΜΑΤΟΣ'!V127/'2.ΤΙΜΕΣ ΚΛΕΙΣΙΜΑΤΟΣ'!V126)</f>
        <v>-8.3160562416573925E-3</v>
      </c>
      <c r="W126" s="43">
        <f>LN('2.ΤΙΜΕΣ ΚΛΕΙΣΙΜΑΤΟΣ'!W127/'2.ΤΙΜΕΣ ΚΛΕΙΣΙΜΑΤΟΣ'!W126)</f>
        <v>4.9627893421290972E-3</v>
      </c>
      <c r="X126" s="43">
        <f>LN('2.ΤΙΜΕΣ ΚΛΕΙΣΙΜΑΤΟΣ'!X127/'2.ΤΙΜΕΣ ΚΛΕΙΣΙΜΑΤΟΣ'!X126)</f>
        <v>1.123121956950048E-2</v>
      </c>
      <c r="Y126" s="43">
        <f>LN('2.ΤΙΜΕΣ ΚΛΕΙΣΙΜΑΤΟΣ'!Y127/'2.ΤΙΜΕΣ ΚΛΕΙΣΙΜΑΤΟΣ'!Y126)</f>
        <v>-4.2372944755152669E-3</v>
      </c>
      <c r="Z126" s="43">
        <f>LN('2.ΤΙΜΕΣ ΚΛΕΙΣΙΜΑΤΟΣ'!Z127/'2.ΤΙΜΕΣ ΚΛΕΙΣΙΜΑΤΟΣ'!Z126)</f>
        <v>-6.9686693160933158E-3</v>
      </c>
      <c r="AA126" s="43">
        <f>LN('2.ΤΙΜΕΣ ΚΛΕΙΣΙΜΑΤΟΣ'!AA127/'2.ΤΙΜΕΣ ΚΛΕΙΣΙΜΑΤΟΣ'!AA126)</f>
        <v>3.0075210639553224E-3</v>
      </c>
      <c r="AB126" s="43">
        <f>LN('2.ΤΙΜΕΣ ΚΛΕΙΣΙΜΑΤΟΣ'!AB127/'2.ΤΙΜΕΣ ΚΛΕΙΣΙΜΑΤΟΣ'!AB126)</f>
        <v>2.2388994893478686E-2</v>
      </c>
      <c r="AC126" s="43">
        <f>LN('2.ΤΙΜΕΣ ΚΛΕΙΣΙΜΑΤΟΣ'!AC127/'2.ΤΙΜΕΣ ΚΛΕΙΣΙΜΑΤΟΣ'!AC126)</f>
        <v>0</v>
      </c>
      <c r="AD126" s="43">
        <f>LN('2.ΤΙΜΕΣ ΚΛΕΙΣΙΜΑΤΟΣ'!AD127/'2.ΤΙΜΕΣ ΚΛΕΙΣΙΜΑΤΟΣ'!AD126)</f>
        <v>5.8651194523980576E-3</v>
      </c>
      <c r="AE126" s="43">
        <f>LN('2.ΤΙΜΕΣ ΚΛΕΙΣΙΜΑΤΟΣ'!AE127/'2.ΤΙΜΕΣ ΚΛΕΙΣΙΜΑΤΟΣ'!AE126)</f>
        <v>4.0322635279382299E-3</v>
      </c>
      <c r="AF126" s="43">
        <f>LN('2.ΤΙΜΕΣ ΚΛΕΙΣΙΜΑΤΟΣ'!AF127/'2.ΤΙΜΕΣ ΚΛΕΙΣΙΜΑΤΟΣ'!AF126)</f>
        <v>2.1367529497352418E-3</v>
      </c>
      <c r="AG126" s="43">
        <f>LN('2.ΤΙΜΕΣ ΚΛΕΙΣΙΜΑΤΟΣ'!AG127/'2.ΤΙΜΕΣ ΚΛΕΙΣΙΜΑΤΟΣ'!AG126)</f>
        <v>2.2701485345390775E-3</v>
      </c>
      <c r="AH126" s="43">
        <f>LN('2.ΤΙΜΕΣ ΚΛΕΙΣΙΜΑΤΟΣ'!AH127/'2.ΤΙΜΕΣ ΚΛΕΙΣΙΜΑΤΟΣ'!AH126)</f>
        <v>-1.4953549667058358E-2</v>
      </c>
      <c r="AI126" s="43">
        <f>LN('2.ΤΙΜΕΣ ΚΛΕΙΣΙΜΑΤΟΣ'!AI127/'2.ΤΙΜΕΣ ΚΛΕΙΣΙΜΑΤΟΣ'!AI126)</f>
        <v>-1.6000341346441075E-2</v>
      </c>
      <c r="AJ126" s="43">
        <f>LN('2.ΤΙΜΕΣ ΚΛΕΙΣΙΜΑΤΟΣ'!AJ127/'2.ΤΙΜΕΣ ΚΛΕΙΣΙΜΑΤΟΣ'!AJ126)</f>
        <v>1.6194685919980606E-2</v>
      </c>
      <c r="AK126" s="43">
        <f>LN('2.ΤΙΜΕΣ ΚΛΕΙΣΙΜΑΤΟΣ'!AK127/'2.ΤΙΜΕΣ ΚΛΕΙΣΙΜΑΤΟΣ'!AK126)</f>
        <v>1.4117881545785022E-2</v>
      </c>
      <c r="AL126" s="43">
        <f>LN('2.ΤΙΜΕΣ ΚΛΕΙΣΙΜΑΤΟΣ'!AL127/'2.ΤΙΜΕΣ ΚΛΕΙΣΙΜΑΤΟΣ'!AL126)</f>
        <v>0</v>
      </c>
      <c r="AM126" s="43">
        <f>LN('2.ΤΙΜΕΣ ΚΛΕΙΣΙΜΑΤΟΣ'!AM127/'2.ΤΙΜΕΣ ΚΛΕΙΣΙΜΑΤΟΣ'!AM126)</f>
        <v>-4.950505159856091E-3</v>
      </c>
      <c r="AN126" s="43">
        <f>LN('2.ΤΙΜΕΣ ΚΛΕΙΣΙΜΑΤΟΣ'!AN127/'2.ΤΙΜΕΣ ΚΛΕΙΣΙΜΑΤΟΣ'!AN126)</f>
        <v>-4.2259809289882731E-2</v>
      </c>
      <c r="AO126" s="43">
        <f>LN('2.ΤΙΜΕΣ ΚΛΕΙΣΙΜΑΤΟΣ'!AO127/'2.ΤΙΜΕΣ ΚΛΕΙΣΙΜΑΤΟΣ'!AO126)</f>
        <v>1.123607326692597E-2</v>
      </c>
      <c r="AP126" s="43">
        <f>LN('2.ΤΙΜΕΣ ΚΛΕΙΣΙΜΑΤΟΣ'!AP127/'2.ΤΙΜΕΣ ΚΛΕΙΣΙΜΑΤΟΣ'!AP126)</f>
        <v>8.0754140055453311E-3</v>
      </c>
      <c r="AQ126" s="43">
        <f>LN('2.ΤΙΜΕΣ ΚΛΕΙΣΙΜΑΤΟΣ'!AQ127/'2.ΤΙΜΕΣ ΚΛΕΙΣΙΜΑΤΟΣ'!AQ126)</f>
        <v>-3.5809452696710889E-2</v>
      </c>
      <c r="AR126" s="43">
        <f>LN('2.ΤΙΜΕΣ ΚΛΕΙΣΙΜΑΤΟΣ'!AR127/'2.ΤΙΜΕΣ ΚΛΕΙΣΙΜΑΤΟΣ'!AR126)</f>
        <v>-1.201731200401744E-2</v>
      </c>
      <c r="AS126" s="43">
        <f>LN('2.ΤΙΜΕΣ ΚΛΕΙΣΙΜΑΤΟΣ'!AS127/'2.ΤΙΜΕΣ ΚΛΕΙΣΙΜΑΤΟΣ'!AS126)</f>
        <v>5.1413995004186523E-3</v>
      </c>
      <c r="AT126" s="43">
        <f>LN('2.ΤΙΜΕΣ ΚΛΕΙΣΙΜΑΤΟΣ'!AT127/'2.ΤΙΜΕΣ ΚΛΕΙΣΙΜΑΤΟΣ'!AT126)</f>
        <v>-2.5975486403260677E-2</v>
      </c>
      <c r="AU126" s="43">
        <f>LN('2.ΤΙΜΕΣ ΚΛΕΙΣΙΜΑΤΟΣ'!AU127/'2.ΤΙΜΕΣ ΚΛΕΙΣΙΜΑΤΟΣ'!AU126)</f>
        <v>4.8026904405623532E-3</v>
      </c>
    </row>
    <row r="127" spans="1:47">
      <c r="A127" s="41">
        <v>43738</v>
      </c>
      <c r="B127" s="43">
        <f>LN('2.ΤΙΜΕΣ ΚΛΕΙΣΙΜΑΤΟΣ'!B128/'2.ΤΙΜΕΣ ΚΛΕΙΣΙΜΑΤΟΣ'!B127)</f>
        <v>-7.6705395268116313E-3</v>
      </c>
      <c r="C127" s="43">
        <f>LN('2.ΤΙΜΕΣ ΚΛΕΙΣΙΜΑΤΟΣ'!C128/'2.ΤΙΜΕΣ ΚΛΕΙΣΙΜΑΤΟΣ'!C127)</f>
        <v>-1.3359727189931529E-2</v>
      </c>
      <c r="D127" s="43">
        <f>LN('2.ΤΙΜΕΣ ΚΛΕΙΣΙΜΑΤΟΣ'!D128/'2.ΤΙΜΕΣ ΚΛΕΙΣΙΜΑΤΟΣ'!D127)</f>
        <v>-6.8714261595039438E-3</v>
      </c>
      <c r="E127" s="43">
        <f>LN('2.ΤΙΜΕΣ ΚΛΕΙΣΙΜΑΤΟΣ'!E128/'2.ΤΙΜΕΣ ΚΛΕΙΣΙΜΑΤΟΣ'!E127)</f>
        <v>9.8124885445506245E-3</v>
      </c>
      <c r="F127" s="43">
        <f>LN('2.ΤΙΜΕΣ ΚΛΕΙΣΙΜΑΤΟΣ'!F128/'2.ΤΙΜΕΣ ΚΛΕΙΣΙΜΑΤΟΣ'!F127)</f>
        <v>-4.7732787526577709E-3</v>
      </c>
      <c r="G127" s="43">
        <f>LN('2.ΤΙΜΕΣ ΚΛΕΙΣΙΜΑΤΟΣ'!G128/'2.ΤΙΜΕΣ ΚΛΕΙΣΙΜΑΤΟΣ'!G127)</f>
        <v>-1.1254925217344803E-3</v>
      </c>
      <c r="H127" s="43">
        <f>LN('2.ΤΙΜΕΣ ΚΛΕΙΣΙΜΑΤΟΣ'!H128/'2.ΤΙΜΕΣ ΚΛΕΙΣΙΜΑΤΟΣ'!H127)</f>
        <v>6.5574005461590396E-3</v>
      </c>
      <c r="I127" s="43">
        <f>LN('2.ΤΙΜΕΣ ΚΛΕΙΣΙΜΑΤΟΣ'!I128/'2.ΤΙΜΕΣ ΚΛΕΙΣΙΜΑΤΟΣ'!I127)</f>
        <v>1.7528488274143868E-3</v>
      </c>
      <c r="J127" s="43">
        <f>LN('2.ΤΙΜΕΣ ΚΛΕΙΣΙΜΑΤΟΣ'!J128/'2.ΤΙΜΕΣ ΚΛΕΙΣΙΜΑΤΟΣ'!J127)</f>
        <v>1.7917940647624038E-3</v>
      </c>
      <c r="K127" s="43">
        <f>LN('2.ΤΙΜΕΣ ΚΛΕΙΣΙΜΑΤΟΣ'!K128/'2.ΤΙΜΕΣ ΚΛΕΙΣΙΜΑΤΟΣ'!K127)</f>
        <v>1.5510571056482311E-2</v>
      </c>
      <c r="L127" s="43">
        <f>LN('2.ΤΙΜΕΣ ΚΛΕΙΣΙΜΑΤΟΣ'!L128/'2.ΤΙΜΕΣ ΚΛΕΙΣΙΜΑΤΟΣ'!L127)</f>
        <v>-9.3555775935845222E-3</v>
      </c>
      <c r="M127" s="43">
        <f>LN('2.ΤΙΜΕΣ ΚΛΕΙΣΙΜΑΤΟΣ'!M128/'2.ΤΙΜΕΣ ΚΛΕΙΣΙΜΑΤΟΣ'!M127)</f>
        <v>1.5831465216680662E-2</v>
      </c>
      <c r="N127" s="43">
        <f>LN('2.ΤΙΜΕΣ ΚΛΕΙΣΙΜΑΤΟΣ'!N128/'2.ΤΙΜΕΣ ΚΛΕΙΣΙΜΑΤΟΣ'!N127)</f>
        <v>-6.7174150736620964E-3</v>
      </c>
      <c r="O127" s="43">
        <f>LN('2.ΤΙΜΕΣ ΚΛΕΙΣΙΜΑΤΟΣ'!O128/'2.ΤΙΜΕΣ ΚΛΕΙΣΙΜΑΤΟΣ'!O127)</f>
        <v>2.2814677766171482E-2</v>
      </c>
      <c r="P127" s="43">
        <f>LN('2.ΤΙΜΕΣ ΚΛΕΙΣΙΜΑΤΟΣ'!P128/'2.ΤΙΜΕΣ ΚΛΕΙΣΙΜΑΤΟΣ'!P127)</f>
        <v>4.514680354526613E-3</v>
      </c>
      <c r="Q127" s="43">
        <f>LN('2.ΤΙΜΕΣ ΚΛΕΙΣΙΜΑΤΟΣ'!Q128/'2.ΤΙΜΕΣ ΚΛΕΙΣΙΜΑΤΟΣ'!Q127)</f>
        <v>9.7880063661629439E-3</v>
      </c>
      <c r="R127" s="43">
        <f>LN('2.ΤΙΜΕΣ ΚΛΕΙΣΙΜΑΤΟΣ'!R128/'2.ΤΙΜΕΣ ΚΛΕΙΣΙΜΑΤΟΣ'!R127)</f>
        <v>-2.5779484834620552E-2</v>
      </c>
      <c r="S127" s="43">
        <f>LN('2.ΤΙΜΕΣ ΚΛΕΙΣΙΜΑΤΟΣ'!S128/'2.ΤΙΜΕΣ ΚΛΕΙΣΙΜΑΤΟΣ'!S127)</f>
        <v>0</v>
      </c>
      <c r="T127" s="43">
        <f>LN('2.ΤΙΜΕΣ ΚΛΕΙΣΙΜΑΤΟΣ'!T128/'2.ΤΙΜΕΣ ΚΛΕΙΣΙΜΑΤΟΣ'!T127)</f>
        <v>5.4200674693391133E-3</v>
      </c>
      <c r="U127" s="43">
        <f>LN('2.ΤΙΜΕΣ ΚΛΕΙΣΙΜΑΤΟΣ'!U128/'2.ΤΙΜΕΣ ΚΛΕΙΣΙΜΑΤΟΣ'!U127)</f>
        <v>-2.4009615375381503E-3</v>
      </c>
      <c r="V127" s="43">
        <f>LN('2.ΤΙΜΕΣ ΚΛΕΙΣΙΜΑΤΟΣ'!V128/'2.ΤΙΜΕΣ ΚΛΕΙΣΙΜΑΤΟΣ'!V127)</f>
        <v>-1.6842503394497464E-2</v>
      </c>
      <c r="W127" s="43">
        <f>LN('2.ΤΙΜΕΣ ΚΛΕΙΣΙΜΑΤΟΣ'!W128/'2.ΤΙΜΕΣ ΚΛΕΙΣΙΜΑΤΟΣ'!W127)</f>
        <v>2.4721891453890728E-3</v>
      </c>
      <c r="X127" s="43">
        <f>LN('2.ΤΙΜΕΣ ΚΛΕΙΣΙΜΑΤΟΣ'!X128/'2.ΤΙΜΕΣ ΚΛΕΙΣΙΜΑΤΟΣ'!X127)</f>
        <v>5.5686586395823044E-3</v>
      </c>
      <c r="Y127" s="43">
        <f>LN('2.ΤΙΜΕΣ ΚΛΕΙΣΙΜΑΤΟΣ'!Y128/'2.ΤΙΜΕΣ ΚΛΕΙΣΙΜΑΤΟΣ'!Y127)</f>
        <v>-2.1460051019769111E-2</v>
      </c>
      <c r="Z127" s="43">
        <f>LN('2.ΤΙΜΕΣ ΚΛΕΙΣΙΜΑΤΟΣ'!Z128/'2.ΤΙΜΕΣ ΚΛΕΙΣΙΜΑΤΟΣ'!Z127)</f>
        <v>0</v>
      </c>
      <c r="AA127" s="43">
        <f>LN('2.ΤΙΜΕΣ ΚΛΕΙΣΙΜΑΤΟΣ'!AA128/'2.ΤΙΜΕΣ ΚΛΕΙΣΙΜΑΤΟΣ'!AA127)</f>
        <v>2.3739987303073085E-2</v>
      </c>
      <c r="AB127" s="43">
        <f>LN('2.ΤΙΜΕΣ ΚΛΕΙΣΙΜΑΤΟΣ'!AB128/'2.ΤΙΜΕΣ ΚΛΕΙΣΙΜΑΤΟΣ'!AB127)</f>
        <v>1.6468807713268165E-2</v>
      </c>
      <c r="AC127" s="43">
        <f>LN('2.ΤΙΜΕΣ ΚΛΕΙΣΙΜΑΤΟΣ'!AC128/'2.ΤΙΜΕΣ ΚΛΕΙΣΙΜΑΤΟΣ'!AC127)</f>
        <v>0</v>
      </c>
      <c r="AD127" s="43">
        <f>LN('2.ΤΙΜΕΣ ΚΛΕΙΣΙΜΑΤΟΣ'!AD128/'2.ΤΙΜΕΣ ΚΛΕΙΣΙΜΑΤΟΣ'!AD127)</f>
        <v>-1.176484157958637E-2</v>
      </c>
      <c r="AE127" s="43">
        <f>LN('2.ΤΙΜΕΣ ΚΛΕΙΣΙΜΑΤΟΣ'!AE128/'2.ΤΙΜΕΣ ΚΛΕΙΣΙΜΑΤΟΣ'!AE127)</f>
        <v>6.018072325563166E-3</v>
      </c>
      <c r="AF127" s="43">
        <f>LN('2.ΤΙΜΕΣ ΚΛΕΙΣΙΜΑΤΟΣ'!AF128/'2.ΤΙΜΕΣ ΚΛΕΙΣΙΜΑΤΟΣ'!AF127)</f>
        <v>-2.375921696290088E-2</v>
      </c>
      <c r="AG127" s="43">
        <f>LN('2.ΤΙΜΕΣ ΚΛΕΙΣΙΜΑΤΟΣ'!AG128/'2.ΤΙΜΕΣ ΚΛΕΙΣΙΜΑΤΟΣ'!AG127)</f>
        <v>-2.0619287202735703E-2</v>
      </c>
      <c r="AH127" s="43">
        <f>LN('2.ΤΙΜΕΣ ΚΛΕΙΣΙΜΑΤΟΣ'!AH128/'2.ΤΙΜΕΣ ΚΛΕΙΣΙΜΑΤΟΣ'!AH127)</f>
        <v>-1.1363758650315095E-2</v>
      </c>
      <c r="AI127" s="43">
        <f>LN('2.ΤΙΜΕΣ ΚΛΕΙΣΙΜΑΤΟΣ'!AI128/'2.ΤΙΜΕΣ ΚΛΕΙΣΙΜΑΤΟΣ'!AI127)</f>
        <v>0</v>
      </c>
      <c r="AJ127" s="43">
        <f>LN('2.ΤΙΜΕΣ ΚΛΕΙΣΙΜΑΤΟΣ'!AJ128/'2.ΤΙΜΕΣ ΚΛΕΙΣΙΜΑΤΟΣ'!AJ127)</f>
        <v>-0.11477551459242818</v>
      </c>
      <c r="AK127" s="43">
        <f>LN('2.ΤΙΜΕΣ ΚΛΕΙΣΙΜΑΤΟΣ'!AK128/'2.ΤΙΜΕΣ ΚΛΕΙΣΙΜΑΤΟΣ'!AK127)</f>
        <v>0</v>
      </c>
      <c r="AL127" s="43">
        <f>LN('2.ΤΙΜΕΣ ΚΛΕΙΣΙΜΑΤΟΣ'!AL128/'2.ΤΙΜΕΣ ΚΛΕΙΣΙΜΑΤΟΣ'!AL127)</f>
        <v>-2.2642476749759891E-2</v>
      </c>
      <c r="AM127" s="43">
        <f>LN('2.ΤΙΜΕΣ ΚΛΕΙΣΙΜΑΤΟΣ'!AM128/'2.ΤΙΜΕΣ ΚΛΕΙΣΙΜΑΤΟΣ'!AM127)</f>
        <v>2.4783160144670005E-3</v>
      </c>
      <c r="AN127" s="43">
        <f>LN('2.ΤΙΜΕΣ ΚΛΕΙΣΙΜΑΤΟΣ'!AN128/'2.ΤΙΜΕΣ ΚΛΕΙΣΙΜΑΤΟΣ'!AN127)</f>
        <v>1.4285957247476434E-2</v>
      </c>
      <c r="AO127" s="43">
        <f>LN('2.ΤΙΜΕΣ ΚΛΕΙΣΙΜΑΤΟΣ'!AO128/'2.ΤΙΜΕΣ ΚΛΕΙΣΙΜΑΤΟΣ'!AO127)</f>
        <v>-3.4094211342976126E-2</v>
      </c>
      <c r="AP127" s="43">
        <f>LN('2.ΤΙΜΕΣ ΚΛΕΙΣΙΜΑΤΟΣ'!AP128/'2.ΤΙΜΕΣ ΚΛΕΙΣΙΜΑΤΟΣ'!AP127)</f>
        <v>-8.0754140055453068E-3</v>
      </c>
      <c r="AQ127" s="43">
        <f>LN('2.ΤΙΜΕΣ ΚΛΕΙΣΙΜΑΤΟΣ'!AQ128/'2.ΤΙΜΕΣ ΚΛΕΙΣΙΜΑΤΟΣ'!AQ127)</f>
        <v>-5.7893978418902502E-2</v>
      </c>
      <c r="AR127" s="43">
        <f>LN('2.ΤΙΜΕΣ ΚΛΕΙΣΙΜΑΤΟΣ'!AR128/'2.ΤΙΜΕΣ ΚΛΕΙΣΙΜΑΤΟΣ'!AR127)</f>
        <v>-2.6248226074936442E-2</v>
      </c>
      <c r="AS127" s="43">
        <f>LN('2.ΤΙΜΕΣ ΚΛΕΙΣΙΜΑΤΟΣ'!AS128/'2.ΤΙΜΕΣ ΚΛΕΙΣΙΜΑΤΟΣ'!AS127)</f>
        <v>-6.351340572232575E-2</v>
      </c>
      <c r="AT127" s="43">
        <f>LN('2.ΤΙΜΕΣ ΚΛΕΙΣΙΜΑΤΟΣ'!AT128/'2.ΤΙΜΕΣ ΚΛΕΙΣΙΜΑΤΟΣ'!AT127)</f>
        <v>-0.1823215567939547</v>
      </c>
      <c r="AU127" s="43">
        <f>LN('2.ΤΙΜΕΣ ΚΛΕΙΣΙΜΑΤΟΣ'!AU128/'2.ΤΙΜΕΣ ΚΛΕΙΣΙΜΑΤΟΣ'!AU127)</f>
        <v>-2.2199609984335255E-3</v>
      </c>
    </row>
    <row r="128" spans="1:47">
      <c r="A128" s="41">
        <v>43739</v>
      </c>
      <c r="B128" s="43">
        <f>LN('2.ΤΙΜΕΣ ΚΛΕΙΣΙΜΑΤΟΣ'!B129/'2.ΤΙΜΕΣ ΚΛΕΙΣΙΜΑΤΟΣ'!B128)</f>
        <v>-5.3709427535021271E-3</v>
      </c>
      <c r="C128" s="43">
        <f>LN('2.ΤΙΜΕΣ ΚΛΕΙΣΙΜΑΤΟΣ'!C129/'2.ΤΙΜΕΣ ΚΛΕΙΣΙΜΑΤΟΣ'!C128)</f>
        <v>8.6648828857237258E-3</v>
      </c>
      <c r="D128" s="43">
        <f>LN('2.ΤΙΜΕΣ ΚΛΕΙΣΙΜΑΤΟΣ'!D129/'2.ΤΙΜΕΣ ΚΛΕΙΣΙΜΑΤΟΣ'!D128)</f>
        <v>-1.6039693742878863E-2</v>
      </c>
      <c r="E128" s="43">
        <f>LN('2.ΤΙΜΕΣ ΚΛΕΙΣΙΜΑΤΟΣ'!E129/'2.ΤΙΜΕΣ ΚΛΕΙΣΙΜΑΤΟΣ'!E128)</f>
        <v>-3.3881745577383111E-2</v>
      </c>
      <c r="F128" s="43">
        <f>LN('2.ΤΙΜΕΣ ΚΛΕΙΣΙΜΑΤΟΣ'!F129/'2.ΤΙΜΕΣ ΚΛΕΙΣΙΜΑΤΟΣ'!F128)</f>
        <v>-9.6154586994419804E-3</v>
      </c>
      <c r="G128" s="43">
        <f>LN('2.ΤΙΜΕΣ ΚΛΕΙΣΙΜΑΤΟΣ'!G129/'2.ΤΙΜΕΣ ΚΛΕΙΣΙΜΑΤΟΣ'!G128)</f>
        <v>-9.0498355199179273E-3</v>
      </c>
      <c r="H128" s="43">
        <f>LN('2.ΤΙΜΕΣ ΚΛΕΙΣΙΜΑΤΟΣ'!H129/'2.ΤΙΜΕΣ ΚΛΕΙΣΙΜΑΤΟΣ'!H128)</f>
        <v>-2.0755462051451633E-2</v>
      </c>
      <c r="I128" s="43">
        <f>LN('2.ΤΙΜΕΣ ΚΛΕΙΣΙΜΑΤΟΣ'!I129/'2.ΤΙΜΕΣ ΚΛΕΙΣΙΜΑΤΟΣ'!I128)</f>
        <v>4.0780714833786591E-3</v>
      </c>
      <c r="J128" s="43">
        <f>LN('2.ΤΙΜΕΣ ΚΛΕΙΣΙΜΑΤΟΣ'!J129/'2.ΤΙΜΕΣ ΚΛΕΙΣΙΜΑΤΟΣ'!J128)</f>
        <v>-1.1885607233981197E-2</v>
      </c>
      <c r="K128" s="43">
        <f>LN('2.ΤΙΜΕΣ ΚΛΕΙΣΙΜΑΤΟΣ'!K129/'2.ΤΙΜΕΣ ΚΛΕΙΣΙΜΑΤΟΣ'!K128)</f>
        <v>-2.4546582623782495E-3</v>
      </c>
      <c r="L128" s="43">
        <f>LN('2.ΤΙΜΕΣ ΚΛΕΙΣΙΜΑΤΟΣ'!L129/'2.ΤΙΜΕΣ ΚΛΕΙΣΙΜΑΤΟΣ'!L128)</f>
        <v>-9.9712187997791669E-3</v>
      </c>
      <c r="M128" s="43">
        <f>LN('2.ΤΙΜΕΣ ΚΛΕΙΣΙΜΑΤΟΣ'!M129/'2.ΤΙΜΕΣ ΚΛΕΙΣΙΜΑΤΟΣ'!M128)</f>
        <v>-1.9028058242308261E-2</v>
      </c>
      <c r="N128" s="43">
        <f>LN('2.ΤΙΜΕΣ ΚΛΕΙΣΙΜΑΤΟΣ'!N129/'2.ΤΙΜΕΣ ΚΛΕΙΣΙΜΑΤΟΣ'!N128)</f>
        <v>-1.2178395741536745E-2</v>
      </c>
      <c r="O128" s="43">
        <f>LN('2.ΤΙΜΕΣ ΚΛΕΙΣΙΜΑΤΟΣ'!O129/'2.ΤΙΜΕΣ ΚΛΕΙΣΙΜΑΤΟΣ'!O128)</f>
        <v>-1.8975901459005691E-2</v>
      </c>
      <c r="P128" s="43">
        <f>LN('2.ΤΙΜΕΣ ΚΛΕΙΣΙΜΑΤΟΣ'!P129/'2.ΤΙΜΕΣ ΚΛΕΙΣΙΜΑΤΟΣ'!P128)</f>
        <v>-1.5026298845350185E-3</v>
      </c>
      <c r="Q128" s="43">
        <f>LN('2.ΤΙΜΕΣ ΚΛΕΙΣΙΜΑΤΟΣ'!Q129/'2.ΤΙΜΕΣ ΚΛΕΙΣΙΜΑΤΟΣ'!Q128)</f>
        <v>-3.367766272366584E-2</v>
      </c>
      <c r="R128" s="43">
        <f>LN('2.ΤΙΜΕΣ ΚΛΕΙΣΙΜΑΤΟΣ'!R129/'2.ΤΙΜΕΣ ΚΛΕΙΣΙΜΑΤΟΣ'!R128)</f>
        <v>2.5445306349947947E-3</v>
      </c>
      <c r="S128" s="43">
        <f>LN('2.ΤΙΜΕΣ ΚΛΕΙΣΙΜΑΤΟΣ'!S129/'2.ΤΙΜΕΣ ΚΛΕΙΣΙΜΑΤΟΣ'!S128)</f>
        <v>-1.3673301900209709E-2</v>
      </c>
      <c r="T128" s="43">
        <f>LN('2.ΤΙΜΕΣ ΚΛΕΙΣΙΜΑΤΟΣ'!T129/'2.ΤΙΜΕΣ ΚΛΕΙΣΙΜΑΤΟΣ'!T128)</f>
        <v>-2.4625047305389294E-2</v>
      </c>
      <c r="U128" s="43">
        <f>LN('2.ΤΙΜΕΣ ΚΛΕΙΣΙΜΑΤΟΣ'!U129/'2.ΤΙΜΕΣ ΚΛΕΙΣΙΜΑΤΟΣ'!U128)</f>
        <v>1.9048194970694411E-2</v>
      </c>
      <c r="V128" s="43">
        <f>LN('2.ΤΙΜΕΣ ΚΛΕΙΣΙΜΑΤΟΣ'!V129/'2.ΤΙΜΕΣ ΚΛΕΙΣΙΜΑΤΟΣ'!V128)</f>
        <v>1.0559760215002253E-2</v>
      </c>
      <c r="W128" s="43">
        <f>LN('2.ΤΙΜΕΣ ΚΛΕΙΣΙΜΑΤΟΣ'!W129/'2.ΤΙΜΕΣ ΚΛΕΙΣΙΜΑΤΟΣ'!W128)</f>
        <v>1.1049836186584935E-2</v>
      </c>
      <c r="X128" s="43">
        <f>LN('2.ΤΙΜΕΣ ΚΛΕΙΣΙΜΑΤΟΣ'!X129/'2.ΤΙΜΕΣ ΚΛΕΙΣΙΜΑΤΟΣ'!X128)</f>
        <v>3.0292598134121041E-2</v>
      </c>
      <c r="Y128" s="43">
        <f>LN('2.ΤΙΜΕΣ ΚΛΕΙΣΙΜΑΤΟΣ'!Y129/'2.ΤΙΜΕΣ ΚΛΕΙΣΙΜΑΤΟΣ'!Y128)</f>
        <v>-1.0905233482262581E-2</v>
      </c>
      <c r="Z128" s="43">
        <f>LN('2.ΤΙΜΕΣ ΚΛΕΙΣΙΜΑΤΟΣ'!Z129/'2.ΤΙΜΕΣ ΚΛΕΙΣΙΜΑΤΟΣ'!Z128)</f>
        <v>-2.8370697129215576E-2</v>
      </c>
      <c r="AA128" s="43">
        <f>LN('2.ΤΙΜΕΣ ΚΛΕΙΣΙΜΑΤΟΣ'!AA129/'2.ΤΙΜΕΣ ΚΛΕΙΣΙΜΑΤΟΣ'!AA128)</f>
        <v>1.4556297774207454E-2</v>
      </c>
      <c r="AB128" s="43">
        <f>LN('2.ΤΙΜΕΣ ΚΛΕΙΣΙΜΑΤΟΣ'!AB129/'2.ΤΙΜΕΣ ΚΛΕΙΣΙΜΑΤΟΣ'!AB128)</f>
        <v>7.2333045935200607E-3</v>
      </c>
      <c r="AC128" s="43">
        <f>LN('2.ΤΙΜΕΣ ΚΛΕΙΣΙΜΑΤΟΣ'!AC129/'2.ΤΙΜΕΣ ΚΛΕΙΣΙΜΑΤΟΣ'!AC128)</f>
        <v>2.7548226788446837E-3</v>
      </c>
      <c r="AD128" s="43">
        <f>LN('2.ΤΙΜΕΣ ΚΛΕΙΣΙΜΑΤΟΣ'!AD129/'2.ΤΙΜΕΣ ΚΛΕΙΣΙΜΑΤΟΣ'!AD128)</f>
        <v>0</v>
      </c>
      <c r="AE128" s="43">
        <f>LN('2.ΤΙΜΕΣ ΚΛΕΙΣΙΜΑΤΟΣ'!AE129/'2.ΤΙΜΕΣ ΚΛΕΙΣΙΜΑΤΟΣ'!AE128)</f>
        <v>-2.0020026706730793E-3</v>
      </c>
      <c r="AF128" s="43">
        <f>LN('2.ΤΙΜΕΣ ΚΛΕΙΣΙΜΑΤΟΣ'!AF129/'2.ΤΙΜΕΣ ΚΛΕΙΣΙΜΑΤΟΣ'!AF128)</f>
        <v>1.9481135571822489E-2</v>
      </c>
      <c r="AG128" s="43">
        <f>LN('2.ΤΙΜΕΣ ΚΛΕΙΣΙΜΑΤΟΣ'!AG129/'2.ΤΙΜΕΣ ΚΛΕΙΣΙΜΑΤΟΣ'!AG128)</f>
        <v>-1.1641575015485755E-2</v>
      </c>
      <c r="AH128" s="43">
        <f>LN('2.ΤΙΜΕΣ ΚΛΕΙΣΙΜΑΤΟΣ'!AH129/'2.ΤΙΜΕΣ ΚΛΕΙΣΙΜΑΤΟΣ'!AH128)</f>
        <v>-5.7306747089849834E-3</v>
      </c>
      <c r="AI128" s="43">
        <f>LN('2.ΤΙΜΕΣ ΚΛΕΙΣΙΜΑΤΟΣ'!AI129/'2.ΤΙΜΕΣ ΚΛΕΙΣΙΜΑΤΟΣ'!AI128)</f>
        <v>0</v>
      </c>
      <c r="AJ128" s="43">
        <f>LN('2.ΤΙΜΕΣ ΚΛΕΙΣΙΜΑΤΟΣ'!AJ129/'2.ΤΙΜΕΣ ΚΛΕΙΣΙΜΑΤΟΣ'!AJ128)</f>
        <v>-2.2780028331819999E-2</v>
      </c>
      <c r="AK128" s="43">
        <f>LN('2.ΤΙΜΕΣ ΚΛΕΙΣΙΜΑΤΟΣ'!AK129/'2.ΤΙΜΕΣ ΚΛΕΙΣΙΜΑΤΟΣ'!AK128)</f>
        <v>-2.3641763057040653E-2</v>
      </c>
      <c r="AL128" s="43">
        <f>LN('2.ΤΙΜΕΣ ΚΛΕΙΣΙΜΑΤΟΣ'!AL129/'2.ΤΙΜΕΣ ΚΛΕΙΣΙΜΑΤΟΣ'!AL128)</f>
        <v>-6.3012967828734154E-2</v>
      </c>
      <c r="AM128" s="43">
        <f>LN('2.ΤΙΜΕΣ ΚΛΕΙΣΙΜΑΤΟΣ'!AM129/'2.ΤΙΜΕΣ ΚΛΕΙΣΙΜΑΤΟΣ'!AM128)</f>
        <v>-1.4962872676712377E-2</v>
      </c>
      <c r="AN128" s="43">
        <f>LN('2.ΤΙΜΕΣ ΚΛΕΙΣΙΜΑΤΟΣ'!AN129/'2.ΤΙΜΕΣ ΚΛΕΙΣΙΜΑΤΟΣ'!AN128)</f>
        <v>2.5672355054126818E-2</v>
      </c>
      <c r="AO128" s="43">
        <f>LN('2.ΤΙΜΕΣ ΚΛΕΙΣΙΜΑΤΟΣ'!AO129/'2.ΤΙΜΕΣ ΚΛΕΙΣΙΜΑΤΟΣ'!AO128)</f>
        <v>-1.749315744751723E-2</v>
      </c>
      <c r="AP128" s="43">
        <f>LN('2.ΤΙΜΕΣ ΚΛΕΙΣΙΜΑΤΟΣ'!AP129/'2.ΤΙΜΕΣ ΚΛΕΙΣΙΜΑΤΟΣ'!AP128)</f>
        <v>-1.6349138001529526E-2</v>
      </c>
      <c r="AQ128" s="43">
        <f>LN('2.ΤΙΜΕΣ ΚΛΕΙΣΙΜΑΤΟΣ'!AQ129/'2.ΤΙΜΕΣ ΚΛΕΙΣΙΜΑΤΟΣ'!AQ128)</f>
        <v>2.0754431469445861E-2</v>
      </c>
      <c r="AR128" s="43">
        <f>LN('2.ΤΙΜΕΣ ΚΛΕΙΣΙΜΑΤΟΣ'!AR129/'2.ΤΙΜΕΣ ΚΛΕΙΣΙΜΑΤΟΣ'!AR128)</f>
        <v>1.0582109330537008E-2</v>
      </c>
      <c r="AS128" s="43">
        <f>LN('2.ΤΙΜΕΣ ΚΛΕΙΣΙΜΑΤΟΣ'!AS129/'2.ΤΙΜΕΣ ΚΛΕΙΣΙΜΑΤΟΣ'!AS128)</f>
        <v>-5.4794657646255957E-3</v>
      </c>
      <c r="AT128" s="43">
        <f>LN('2.ΤΙΜΕΣ ΚΛΕΙΣΙΜΑΤΟΣ'!AT129/'2.ΤΙΜΕΣ ΚΛΕΙΣΙΜΑΤΟΣ'!AT128)</f>
        <v>7.5985906977922055E-2</v>
      </c>
      <c r="AU128" s="43">
        <f>LN('2.ΤΙΜΕΣ ΚΛΕΙΣΙΜΑΤΟΣ'!AU129/'2.ΤΙΜΕΣ ΚΛΕΙΣΙΜΑΤΟΣ'!AU128)</f>
        <v>-8.0004126323003945E-3</v>
      </c>
    </row>
    <row r="129" spans="1:47">
      <c r="A129" s="41">
        <v>43740</v>
      </c>
      <c r="B129" s="43">
        <f>LN('2.ΤΙΜΕΣ ΚΛΕΙΣΙΜΑΤΟΣ'!B130/'2.ΤΙΜΕΣ ΚΛΕΙΣΙΜΑΤΟΣ'!B129)</f>
        <v>-1.8685782334058848E-2</v>
      </c>
      <c r="C129" s="43">
        <f>LN('2.ΤΙΜΕΣ ΚΛΕΙΣΙΜΑΤΟΣ'!C130/'2.ΤΙΜΕΣ ΚΛΕΙΣΙΜΑΤΟΣ'!C129)</f>
        <v>0</v>
      </c>
      <c r="D129" s="43">
        <f>LN('2.ΤΙΜΕΣ ΚΛΕΙΣΙΜΑΤΟΣ'!D130/'2.ΤΙΜΕΣ ΚΛΕΙΣΙΜΑΤΟΣ'!D129)</f>
        <v>-3.779906223059664E-3</v>
      </c>
      <c r="E129" s="43">
        <f>LN('2.ΤΙΜΕΣ ΚΛΕΙΣΙΜΑΤΟΣ'!E130/'2.ΤΙΜΕΣ ΚΛΕΙΣΙΜΑΤΟΣ'!E129)</f>
        <v>-6.0624621816434736E-2</v>
      </c>
      <c r="F129" s="43">
        <f>LN('2.ΤΙΜΕΣ ΚΛΕΙΣΙΜΑΤΟΣ'!F130/'2.ΤΙΜΕΣ ΚΛΕΙΣΙΜΑΤΟΣ'!F129)</f>
        <v>-2.0745100269846752E-2</v>
      </c>
      <c r="G129" s="43">
        <f>LN('2.ΤΙΜΕΣ ΚΛΕΙΣΙΜΑΤΟΣ'!G130/'2.ΤΙΜΕΣ ΚΛΕΙΣΙΜΑΤΟΣ'!G129)</f>
        <v>-3.9402547866028932E-2</v>
      </c>
      <c r="H129" s="43">
        <f>LN('2.ΤΙΜΕΣ ΚΛΕΙΣΙΜΑΤΟΣ'!H130/'2.ΤΙΜΕΣ ΚΛΕΙΣΙΜΑΤΟΣ'!H129)</f>
        <v>-3.5908758548886387E-2</v>
      </c>
      <c r="I129" s="43">
        <f>LN('2.ΤΙΜΕΣ ΚΛΕΙΣΙΜΑΤΟΣ'!I130/'2.ΤΙΜΕΣ ΚΛΕΙΣΙΜΑΤΟΣ'!I129)</f>
        <v>-6.9200534243382489E-2</v>
      </c>
      <c r="J129" s="43">
        <f>LN('2.ΤΙΜΕΣ ΚΛΕΙΣΙΜΑΤΟΣ'!J130/'2.ΤΙΜΕΣ ΚΛΕΙΣΙΜΑΤΟΣ'!J129)</f>
        <v>-7.5223421237587393E-2</v>
      </c>
      <c r="K129" s="43">
        <f>LN('2.ΤΙΜΕΣ ΚΛΕΙΣΙΜΑΤΟΣ'!K130/'2.ΤΙΜΕΣ ΚΛΕΙΣΙΜΑΤΟΣ'!K129)</f>
        <v>-3.4023972020212054E-2</v>
      </c>
      <c r="L129" s="43">
        <f>LN('2.ΤΙΜΕΣ ΚΛΕΙΣΙΜΑΤΟΣ'!L130/'2.ΤΙΜΕΣ ΚΛΕΙΣΙΜΑΤΟΣ'!L129)</f>
        <v>-2.9980832211935898E-2</v>
      </c>
      <c r="M129" s="43">
        <f>LN('2.ΤΙΜΕΣ ΚΛΕΙΣΙΜΑΤΟΣ'!M130/'2.ΤΙΜΕΣ ΚΛΕΙΣΙΜΑΤΟΣ'!M129)</f>
        <v>-9.6515494522215854E-3</v>
      </c>
      <c r="N129" s="43">
        <f>LN('2.ΤΙΜΕΣ ΚΛΕΙΣΙΜΑΤΟΣ'!N130/'2.ΤΙΜΕΣ ΚΛΕΙΣΙΜΑΤΟΣ'!N129)</f>
        <v>-1.3739175883304046E-2</v>
      </c>
      <c r="O129" s="43">
        <f>LN('2.ΤΙΜΕΣ ΚΛΕΙΣΙΜΑΤΟΣ'!O130/'2.ΤΙΜΕΣ ΚΛΕΙΣΙΜΑΤΟΣ'!O129)</f>
        <v>-8.9801758075843518E-3</v>
      </c>
      <c r="P129" s="43">
        <f>LN('2.ΤΙΜΕΣ ΚΛΕΙΣΙΜΑΤΟΣ'!P130/'2.ΤΙΜΕΣ ΚΛΕΙΣΙΜΑΤΟΣ'!P129)</f>
        <v>-1.0582109330536972E-2</v>
      </c>
      <c r="Q129" s="43">
        <f>LN('2.ΤΙΜΕΣ ΚΛΕΙΣΙΜΑΤΟΣ'!Q130/'2.ΤΙΜΕΣ ΚΛΕΙΣΙΜΑΤΟΣ'!Q129)</f>
        <v>-6.3062109890253612E-2</v>
      </c>
      <c r="R129" s="43">
        <f>LN('2.ΤΙΜΕΣ ΚΛΕΙΣΙΜΑΤΟΣ'!R130/'2.ΤΙΜΕΣ ΚΛΕΙΣΙΜΑΤΟΣ'!R129)</f>
        <v>-6.022762312131634E-2</v>
      </c>
      <c r="S129" s="43">
        <f>LN('2.ΤΙΜΕΣ ΚΛΕΙΣΙΜΑΤΟΣ'!S130/'2.ΤΙΜΕΣ ΚΛΕΙΣΙΜΑΤΟΣ'!S129)</f>
        <v>1.2507819016526766E-3</v>
      </c>
      <c r="T129" s="43">
        <f>LN('2.ΤΙΜΕΣ ΚΛΕΙΣΙΜΑΤΟΣ'!T130/'2.ΤΙΜΕΣ ΚΛΕΙΣΙΜΑΤΟΣ'!T129)</f>
        <v>-3.6675478558406568E-2</v>
      </c>
      <c r="U129" s="43">
        <f>LN('2.ΤΙΜΕΣ ΚΛΕΙΣΙΜΑΤΟΣ'!U130/'2.ΤΙΜΕΣ ΚΛΕΙΣΙΜΑΤΟΣ'!U129)</f>
        <v>-2.8710105882431367E-2</v>
      </c>
      <c r="V129" s="43">
        <f>LN('2.ΤΙΜΕΣ ΚΛΕΙΣΙΜΑΤΟΣ'!V130/'2.ΤΙΜΕΣ ΚΛΕΙΣΙΜΑΤΟΣ'!V129)</f>
        <v>-3.8548670117235138E-2</v>
      </c>
      <c r="W129" s="43">
        <f>LN('2.ΤΙΜΕΣ ΚΛΕΙΣΙΜΑΤΟΣ'!W130/'2.ΤΙΜΕΣ ΚΛΕΙΣΙΜΑΤΟΣ'!W129)</f>
        <v>-2.3472356185142044E-2</v>
      </c>
      <c r="X129" s="43">
        <f>LN('2.ΤΙΜΕΣ ΚΛΕΙΣΙΜΑΤΟΣ'!X130/'2.ΤΙΜΕΣ ΚΛΕΙΣΙΜΑΤΟΣ'!X129)</f>
        <v>-8.1836922508715399E-3</v>
      </c>
      <c r="Y129" s="43">
        <f>LN('2.ΤΙΜΕΣ ΚΛΕΙΣΙΜΑΤΟΣ'!Y130/'2.ΤΙΜΕΣ ΚΛΕΙΣΙΜΑΤΟΣ'!Y129)</f>
        <v>-4.714677842570196E-2</v>
      </c>
      <c r="Z129" s="43">
        <f>LN('2.ΤΙΜΕΣ ΚΛΕΙΣΙΜΑΤΟΣ'!Z130/'2.ΤΙΜΕΣ ΚΛΕΙΣΙΜΑΤΟΣ'!Z129)</f>
        <v>-3.2909734088797979E-2</v>
      </c>
      <c r="AA129" s="43">
        <f>LN('2.ΤΙΜΕΣ ΚΛΕΙΣΙΜΑΤΟΣ'!AA130/'2.ΤΙΜΕΣ ΚΛΕΙΣΙΜΑΤΟΣ'!AA129)</f>
        <v>-8.7083278917843079E-3</v>
      </c>
      <c r="AB129" s="43">
        <f>LN('2.ΤΙΜΕΣ ΚΛΕΙΣΙΜΑΤΟΣ'!AB130/'2.ΤΙΜΕΣ ΚΛΕΙΣΙΜΑΤΟΣ'!AB129)</f>
        <v>-4.6091107200266976E-2</v>
      </c>
      <c r="AC129" s="43">
        <f>LN('2.ΤΙΜΕΣ ΚΛΕΙΣΙΜΑΤΟΣ'!AC130/'2.ΤΙΜΕΣ ΚΛΕΙΣΙΜΑΤΟΣ'!AC129)</f>
        <v>-2.3661507498158242E-2</v>
      </c>
      <c r="AD129" s="43">
        <f>LN('2.ΤΙΜΕΣ ΚΛΕΙΣΙΜΑΤΟΣ'!AD130/'2.ΤΙΜΕΣ ΚΛΕΙΣΙΜΑΤΟΣ'!AD129)</f>
        <v>-5.0048351805344789E-2</v>
      </c>
      <c r="AE129" s="43">
        <f>LN('2.ΤΙΜΕΣ ΚΛΕΙΣΙΜΑΤΟΣ'!AE130/'2.ΤΙΜΕΣ ΚΛΕΙΣΙΜΑΤΟΣ'!AE129)</f>
        <v>-2.0243606276646772E-2</v>
      </c>
      <c r="AF129" s="43">
        <f>LN('2.ΤΙΜΕΣ ΚΛΕΙΣΙΜΑΤΟΣ'!AF130/'2.ΤΙΜΕΣ ΚΛΕΙΣΙΜΑΤΟΣ'!AF129)</f>
        <v>-4.2699425673829713E-2</v>
      </c>
      <c r="AG129" s="43">
        <f>LN('2.ΤΙΜΕΣ ΚΛΕΙΣΙΜΑΤΟΣ'!AG130/'2.ΤΙΜΕΣ ΚΛΕΙΣΙΜΑΤΟΣ'!AG129)</f>
        <v>-0.10354067894084033</v>
      </c>
      <c r="AH129" s="43">
        <f>LN('2.ΤΙΜΕΣ ΚΛΕΙΣΙΜΑΤΟΣ'!AH130/'2.ΤΙΜΕΣ ΚΛΕΙΣΙΜΑΤΟΣ'!AH129)</f>
        <v>-3.1130918595173213E-2</v>
      </c>
      <c r="AI129" s="43">
        <f>LN('2.ΤΙΜΕΣ ΚΛΕΙΣΙΜΑΤΟΣ'!AI130/'2.ΤΙΜΕΣ ΚΛΕΙΣΙΜΑΤΟΣ'!AI129)</f>
        <v>0</v>
      </c>
      <c r="AJ129" s="43">
        <f>LN('2.ΤΙΜΕΣ ΚΛΕΙΣΙΜΑΤΟΣ'!AJ130/'2.ΤΙΜΕΣ ΚΛΕΙΣΙΜΑΤΟΣ'!AJ129)</f>
        <v>-2.8039220064393047E-2</v>
      </c>
      <c r="AK129" s="43">
        <f>LN('2.ΤΙΜΕΣ ΚΛΕΙΣΙΜΑΤΟΣ'!AK130/'2.ΤΙΜΕΣ ΚΛΕΙΣΙΜΑΤΟΣ'!AK129)</f>
        <v>-3.4066554563606195E-2</v>
      </c>
      <c r="AL129" s="43">
        <f>LN('2.ΤΙΜΕΣ ΚΛΕΙΣΙΜΑΤΟΣ'!AL130/'2.ΤΙΜΕΣ ΚΛΕΙΣΙΜΑΤΟΣ'!AL129)</f>
        <v>-0.10265415406008334</v>
      </c>
      <c r="AM129" s="43">
        <f>LN('2.ΤΙΜΕΣ ΚΛΕΙΣΙΜΑΤΟΣ'!AM130/'2.ΤΙΜΕΣ ΚΛΕΙΣΙΜΑΤΟΣ'!AM129)</f>
        <v>-1.5190165493975233E-2</v>
      </c>
      <c r="AN129" s="43">
        <f>LN('2.ΤΙΜΕΣ ΚΛΕΙΣΙΜΑΤΟΣ'!AN130/'2.ΤΙΜΕΣ ΚΛΕΙΣΙΜΑΤΟΣ'!AN129)</f>
        <v>-1.392133851860812E-2</v>
      </c>
      <c r="AO129" s="43">
        <f>LN('2.ΤΙΜΕΣ ΚΛΕΙΣΙΜΑΤΟΣ'!AO130/'2.ΤΙΜΕΣ ΚΛΕΙΣΙΜΑΤΟΣ'!AO129)</f>
        <v>-1.7804624633506707E-2</v>
      </c>
      <c r="AP129" s="43">
        <f>LN('2.ΤΙΜΕΣ ΚΛΕΙΣΙΜΑΤΟΣ'!AP130/'2.ΤΙΜΕΣ ΚΛΕΙΣΙΜΑΤΟΣ'!AP129)</f>
        <v>-6.2343130574135514E-2</v>
      </c>
      <c r="AQ129" s="43">
        <f>LN('2.ΤΙΜΕΣ ΚΛΕΙΣΙΜΑΤΟΣ'!AQ130/'2.ΤΙΜΕΣ ΚΛΕΙΣΙΜΑΤΟΣ'!AQ129)</f>
        <v>-3.5207156635926128E-2</v>
      </c>
      <c r="AR129" s="43">
        <f>LN('2.ΤΙΜΕΣ ΚΛΕΙΣΙΜΑΤΟΣ'!AR130/'2.ΤΙΜΕΣ ΚΛΕΙΣΙΜΑΤΟΣ'!AR129)</f>
        <v>-6.1502199757793807E-2</v>
      </c>
      <c r="AS129" s="43">
        <f>LN('2.ΤΙΜΕΣ ΚΛΕΙΣΙΜΑΤΟΣ'!AS130/'2.ΤΙΜΕΣ ΚΛΕΙΣΙΜΑΤΟΣ'!AS129)</f>
        <v>-4.4951387862266393E-2</v>
      </c>
      <c r="AT129" s="43">
        <f>LN('2.ΤΙΜΕΣ ΚΛΕΙΣΙΜΑΤΟΣ'!AT130/'2.ΤΙΜΕΣ ΚΛΕΙΣΙΜΑΤΟΣ'!AT129)</f>
        <v>-2.4692612590371411E-2</v>
      </c>
      <c r="AU129" s="43">
        <f>LN('2.ΤΙΜΕΣ ΚΛΕΙΣΙΜΑΤΟΣ'!AU130/'2.ΤΙΜΕΣ ΚΛΕΙΣΙΜΑΤΟΣ'!AU129)</f>
        <v>-3.0584865318592766E-2</v>
      </c>
    </row>
    <row r="130" spans="1:47">
      <c r="A130" s="41">
        <v>43741</v>
      </c>
      <c r="B130" s="43">
        <f>LN('2.ΤΙΜΕΣ ΚΛΕΙΣΙΜΑΤΟΣ'!B131/'2.ΤΙΜΕΣ ΚΛΕΙΣΙΜΑΤΟΣ'!B130)</f>
        <v>-1.3812374287611359E-2</v>
      </c>
      <c r="C130" s="43">
        <f>LN('2.ΤΙΜΕΣ ΚΛΕΙΣΙΜΑΤΟΣ'!C131/'2.ΤΙΜΕΣ ΚΛΕΙΣΙΜΑΤΟΣ'!C130)</f>
        <v>-3.9292781398896611E-3</v>
      </c>
      <c r="D130" s="43">
        <f>LN('2.ΤΙΜΕΣ ΚΛΕΙΣΙΜΑΤΟΣ'!D131/'2.ΤΙΜΕΣ ΚΛΕΙΣΙΜΑΤΟΣ'!D130)</f>
        <v>-5.4247719016202013E-3</v>
      </c>
      <c r="E130" s="43">
        <f>LN('2.ΤΙΜΕΣ ΚΛΕΙΣΙΜΑΤΟΣ'!E131/'2.ΤΙΜΕΣ ΚΛΕΙΣΙΜΑΤΟΣ'!E130)</f>
        <v>-1.6550345943677613E-2</v>
      </c>
      <c r="F130" s="43">
        <f>LN('2.ΤΙΜΕΣ ΚΛΕΙΣΙΜΑΤΟΣ'!F131/'2.ΤΙΜΕΣ ΚΛΕΙΣΙΜΑΤΟΣ'!F130)</f>
        <v>-1.2338064489284325E-3</v>
      </c>
      <c r="G130" s="43">
        <f>LN('2.ΤΙΜΕΣ ΚΛΕΙΣΙΜΑΤΟΣ'!G131/'2.ΤΙΜΕΣ ΚΛΕΙΣΙΜΑΤΟΣ'!G130)</f>
        <v>-1.90936588155797E-2</v>
      </c>
      <c r="H130" s="43">
        <f>LN('2.ΤΙΜΕΣ ΚΛΕΙΣΙΜΑΤΟΣ'!H131/'2.ΤΙΜΕΣ ΚΛΕΙΣΙΜΑΤΟΣ'!H130)</f>
        <v>-4.9529571288484189E-3</v>
      </c>
      <c r="I130" s="43">
        <f>LN('2.ΤΙΜΕΣ ΚΛΕΙΣΙΜΑΤΟΣ'!I131/'2.ΤΙΜΕΣ ΚΛΕΙΣΙΜΑΤΟΣ'!I130)</f>
        <v>-3.8747304979394694E-2</v>
      </c>
      <c r="J130" s="43">
        <f>LN('2.ΤΙΜΕΣ ΚΛΕΙΣΙΜΑΤΟΣ'!J131/'2.ΤΙΜΕΣ ΚΛΕΙΣΙΜΑΤΟΣ'!J130)</f>
        <v>-5.3763447969612625E-2</v>
      </c>
      <c r="K130" s="43">
        <f>LN('2.ΤΙΜΕΣ ΚΛΕΙΣΙΜΑΤΟΣ'!K131/'2.ΤΙΜΕΣ ΚΛΕΙΣΙΜΑΤΟΣ'!K130)</f>
        <v>-1.208001615086806E-2</v>
      </c>
      <c r="L130" s="43">
        <f>LN('2.ΤΙΜΕΣ ΚΛΕΙΣΙΜΑΤΟΣ'!L131/'2.ΤΙΜΕΣ ΚΛΕΙΣΙΜΑΤΟΣ'!L130)</f>
        <v>3.2555644597662002E-3</v>
      </c>
      <c r="M130" s="43">
        <f>LN('2.ΤΙΜΕΣ ΚΛΕΙΣΙΜΑΤΟΣ'!M131/'2.ΤΙΜΕΣ ΚΛΕΙΣΙΜΑΤΟΣ'!M130)</f>
        <v>-1.520116133205044E-2</v>
      </c>
      <c r="N130" s="43">
        <f>LN('2.ΤΙΜΕΣ ΚΛΕΙΣΙΜΑΤΟΣ'!N131/'2.ΤΙΜΕΣ ΚΛΕΙΣΙΜΑΤΟΣ'!N130)</f>
        <v>-3.2422865879858473E-2</v>
      </c>
      <c r="O130" s="43">
        <f>LN('2.ΤΙΜΕΣ ΚΛΕΙΣΙΜΑΤΟΣ'!O131/'2.ΤΙΜΕΣ ΚΛΕΙΣΙΜΑΤΟΣ'!O130)</f>
        <v>-1.2970350442627404E-2</v>
      </c>
      <c r="P130" s="43">
        <f>LN('2.ΤΙΜΕΣ ΚΛΕΙΣΙΜΑΤΟΣ'!P131/'2.ΤΙΜΕΣ ΚΛΕΙΣΙΜΑΤΟΣ'!P130)</f>
        <v>-1.5314234973042481E-2</v>
      </c>
      <c r="Q130" s="43">
        <f>LN('2.ΤΙΜΕΣ ΚΛΕΙΣΙΜΑΤΟΣ'!Q131/'2.ΤΙΜΕΣ ΚΛΕΙΣΙΜΑΤΟΣ'!Q130)</f>
        <v>-3.4938051361280344E-2</v>
      </c>
      <c r="R130" s="43">
        <f>LN('2.ΤΙΜΕΣ ΚΛΕΙΣΙΜΑΤΟΣ'!R131/'2.ΤΙΜΕΣ ΚΛΕΙΣΙΜΑΤΟΣ'!R130)</f>
        <v>-3.5019026299581223E-2</v>
      </c>
      <c r="S130" s="43">
        <f>LN('2.ΤΙΜΕΣ ΚΛΕΙΣΙΜΑΤΟΣ'!S131/'2.ΤΙΜΕΣ ΚΛΕΙΣΙΜΑΤΟΣ'!S130)</f>
        <v>-1.765493523872071E-2</v>
      </c>
      <c r="T130" s="43">
        <f>LN('2.ΤΙΜΕΣ ΚΛΕΙΣΙΜΑΤΟΣ'!T131/'2.ΤΙΜΕΣ ΚΛΕΙΣΙΜΑΤΟΣ'!T130)</f>
        <v>-2.3256862164267235E-2</v>
      </c>
      <c r="U130" s="43">
        <f>LN('2.ΤΙΜΕΣ ΚΛΕΙΣΙΜΑΤΟΣ'!U131/'2.ΤΙΜΕΣ ΚΛΕΙΣΙΜΑΤΟΣ'!U130)</f>
        <v>0</v>
      </c>
      <c r="V130" s="43">
        <f>LN('2.ΤΙΜΕΣ ΚΛΕΙΣΙΜΑΤΟΣ'!V131/'2.ΤΙΜΕΣ ΚΛΕΙΣΙΜΑΤΟΣ'!V130)</f>
        <v>-1.7621601349819445E-2</v>
      </c>
      <c r="W130" s="43">
        <f>LN('2.ΤΙΜΕΣ ΚΛΕΙΣΙΜΑΤΟΣ'!W131/'2.ΤΙΜΕΣ ΚΛΕΙΣΙΜΑΤΟΣ'!W130)</f>
        <v>1.2492194004318981E-3</v>
      </c>
      <c r="X130" s="43">
        <f>LN('2.ΤΙΜΕΣ ΚΛΕΙΣΙΜΑΤΟΣ'!X131/'2.ΤΙΜΕΣ ΚΛΕΙΣΙΜΑΤΟΣ'!X130)</f>
        <v>-1.9265167296859408E-2</v>
      </c>
      <c r="Y130" s="43">
        <f>LN('2.ΤΙΜΕΣ ΚΛΕΙΣΙΜΑΤΟΣ'!Y131/'2.ΤΙΜΕΣ ΚΛΕΙΣΙΜΑΤΟΣ'!Y130)</f>
        <v>2.0478531343540919E-2</v>
      </c>
      <c r="Z130" s="43">
        <f>LN('2.ΤΙΜΕΣ ΚΛΕΙΣΙΜΑΤΟΣ'!Z131/'2.ΤΙΜΕΣ ΚΛΕΙΣΙΜΑΤΟΣ'!Z130)</f>
        <v>-1.4981553615616833E-2</v>
      </c>
      <c r="AA130" s="43">
        <f>LN('2.ΤΙΜΕΣ ΚΛΕΙΣΙΜΑΤΟΣ'!AA131/'2.ΤΙΜΕΣ ΚΛΕΙΣΙΜΑΤΟΣ'!AA130)</f>
        <v>-2.0619287202735818E-2</v>
      </c>
      <c r="AB130" s="43">
        <f>LN('2.ΤΙΜΕΣ ΚΛΕΙΣΙΜΑΤΟΣ'!AB131/'2.ΤΙΜΕΣ ΚΛΕΙΣΙΜΑΤΟΣ'!AB130)</f>
        <v>-1.5209418663528795E-2</v>
      </c>
      <c r="AC130" s="43">
        <f>LN('2.ΤΙΜΕΣ ΚΛΕΙΣΙΜΑΤΟΣ'!AC131/'2.ΤΙΜΕΣ ΚΛΕΙΣΙΜΑΤΟΣ'!AC130)</f>
        <v>5.6179923042232738E-3</v>
      </c>
      <c r="AD130" s="43">
        <f>LN('2.ΤΙΜΕΣ ΚΛΕΙΣΙΜΑΤΟΣ'!AD131/'2.ΤΙΜΕΣ ΚΛΕΙΣΙΜΑΤΟΣ'!AD130)</f>
        <v>-1.7255330090761991E-2</v>
      </c>
      <c r="AE130" s="43">
        <f>LN('2.ΤΙΜΕΣ ΚΛΕΙΣΙΜΑΤΟΣ'!AE131/'2.ΤΙΜΕΣ ΚΛΕΙΣΙΜΑΤΟΣ'!AE130)</f>
        <v>-1.4418375424271599E-2</v>
      </c>
      <c r="AF130" s="43">
        <f>LN('2.ΤΙΜΕΣ ΚΛΕΙΣΙΜΑΤΟΣ'!AF131/'2.ΤΙΜΕΣ ΚΛΕΙΣΙΜΑΤΟΣ'!AF130)</f>
        <v>-2.7212563524884815E-2</v>
      </c>
      <c r="AG130" s="43">
        <f>LN('2.ΤΙΜΕΣ ΚΛΕΙΣΙΜΑΤΟΣ'!AG131/'2.ΤΙΜΕΣ ΚΛΕΙΣΙΜΑΤΟΣ'!AG130)</f>
        <v>1.2903404835908001E-2</v>
      </c>
      <c r="AH130" s="43">
        <f>LN('2.ΤΙΜΕΣ ΚΛΕΙΣΙΜΑΤΟΣ'!AH131/'2.ΤΙΜΕΣ ΚΛΕΙΣΙΜΑΤΟΣ'!AH130)</f>
        <v>-1.4933079885572549E-2</v>
      </c>
      <c r="AI130" s="43">
        <f>LN('2.ΤΙΜΕΣ ΚΛΕΙΣΙΜΑΤΟΣ'!AI131/'2.ΤΙΜΕΣ ΚΛΕΙΣΙΜΑΤΟΣ'!AI130)</f>
        <v>-8.0972102326193618E-3</v>
      </c>
      <c r="AJ130" s="43">
        <f>LN('2.ΤΙΜΕΣ ΚΛΕΙΣΙΜΑΤΟΣ'!AJ131/'2.ΤΙΜΕΣ ΚΛΕΙΣΙΜΑΤΟΣ'!AJ130)</f>
        <v>4.728141195946116E-3</v>
      </c>
      <c r="AK130" s="43">
        <f>LN('2.ΤΙΜΕΣ ΚΛΕΙΣΙΜΑΤΟΣ'!AK131/'2.ΤΙΜΕΣ ΚΛΕΙΣΙΜΑΤΟΣ'!AK130)</f>
        <v>-9.950330853168092E-3</v>
      </c>
      <c r="AL130" s="43">
        <f>LN('2.ΤΙΜΕΣ ΚΛΕΙΣΙΜΑΤΟΣ'!AL131/'2.ΤΙΜΕΣ ΚΛΕΙΣΙΜΑΤΟΣ'!AL130)</f>
        <v>-2.7398974188114503E-2</v>
      </c>
      <c r="AM130" s="43">
        <f>LN('2.ΤΙΜΕΣ ΚΛΕΙΣΙΜΑΤΟΣ'!AM131/'2.ΤΙΜΕΣ ΚΛΕΙΣΙΜΑΤΟΣ'!AM130)</f>
        <v>-7.68249617201617E-3</v>
      </c>
      <c r="AN130" s="43">
        <f>LN('2.ΤΙΜΕΣ ΚΛΕΙΣΙΜΑΤΟΣ'!AN131/'2.ΤΙΜΕΣ ΚΛΕΙΣΙΜΑΤΟΣ'!AN130)</f>
        <v>-2.8437935320533514E-2</v>
      </c>
      <c r="AO130" s="43">
        <f>LN('2.ΤΙΜΕΣ ΚΛΕΙΣΙΜΑΤΟΣ'!AO131/'2.ΤΙΜΕΣ ΚΛΕΙΣΙΜΑΤΟΣ'!AO130)</f>
        <v>1.1904902506318458E-2</v>
      </c>
      <c r="AP130" s="43">
        <f>LN('2.ΤΙΜΕΣ ΚΛΕΙΣΙΜΑΤΟΣ'!AP131/'2.ΤΙΜΕΣ ΚΛΕΙΣΙΜΑΤΟΣ'!AP130)</f>
        <v>-6.6489741268832864E-2</v>
      </c>
      <c r="AQ130" s="43">
        <f>LN('2.ΤΙΜΕΣ ΚΛΕΙΣΙΜΑΤΟΣ'!AQ131/'2.ΤΙΜΕΣ ΚΛΕΙΣΙΜΑΤΟΣ'!AQ130)</f>
        <v>-1.4664673404246853E-2</v>
      </c>
      <c r="AR130" s="43">
        <f>LN('2.ΤΙΜΕΣ ΚΛΕΙΣΙΜΑΤΟΣ'!AR131/'2.ΤΙΜΕΣ ΚΛΕΙΣΙΜΑΤΟΣ'!AR130)</f>
        <v>-2.6466573188163402E-2</v>
      </c>
      <c r="AS130" s="43">
        <f>LN('2.ΤΙΜΕΣ ΚΛΕΙΣΙΜΑΤΟΣ'!AS131/'2.ΤΙΜΕΣ ΚΛΕΙΣΙΜΑΤΟΣ'!AS130)</f>
        <v>-2.3256862164267235E-2</v>
      </c>
      <c r="AT130" s="43">
        <f>LN('2.ΤΙΜΕΣ ΚΛΕΙΣΙΜΑΤΟΣ'!AT131/'2.ΤΙΜΕΣ ΚΛΕΙΣΙΜΑΤΟΣ'!AT130)</f>
        <v>-3.3039854078200155E-2</v>
      </c>
      <c r="AU130" s="43">
        <f>LN('2.ΤΙΜΕΣ ΚΛΕΙΣΙΜΑΤΟΣ'!AU131/'2.ΤΙΜΕΣ ΚΛΕΙΣΙΜΑΤΟΣ'!AU130)</f>
        <v>-1.5377032870589519E-2</v>
      </c>
    </row>
    <row r="131" spans="1:47">
      <c r="A131" s="41">
        <v>43742</v>
      </c>
      <c r="B131" s="43">
        <f>LN('2.ΤΙΜΕΣ ΚΛΕΙΣΙΜΑΤΟΣ'!B132/'2.ΤΙΜΕΣ ΚΛΕΙΣΙΜΑΤΟΣ'!B131)</f>
        <v>1.2783038118497158E-2</v>
      </c>
      <c r="C131" s="43">
        <f>LN('2.ΤΙΜΕΣ ΚΛΕΙΣΙΜΑΤΟΣ'!C132/'2.ΤΙΜΕΣ ΚΛΕΙΣΙΜΑΤΟΣ'!C131)</f>
        <v>3.929278139889557E-3</v>
      </c>
      <c r="D131" s="43">
        <f>LN('2.ΤΙΜΕΣ ΚΛΕΙΣΙΜΑΤΟΣ'!D132/'2.ΤΙΜΕΣ ΚΛΕΙΣΙΜΑΤΟΣ'!D131)</f>
        <v>5.9656340490468742E-3</v>
      </c>
      <c r="E131" s="43">
        <f>LN('2.ΤΙΜΕΣ ΚΛΕΙΣΙΜΑΤΟΣ'!E132/'2.ΤΙΜΕΣ ΚΛΕΙΣΙΜΑΤΟΣ'!E131)</f>
        <v>-6.4205459669522662E-4</v>
      </c>
      <c r="F131" s="43">
        <f>LN('2.ΤΙΜΕΣ ΚΛΕΙΣΙΜΑΤΟΣ'!F132/'2.ΤΙΜΕΣ ΚΛΕΙΣΙΜΑΤΟΣ'!F131)</f>
        <v>-4.950505159856091E-3</v>
      </c>
      <c r="G131" s="43">
        <f>LN('2.ΤΙΜΕΣ ΚΛΕΙΣΙΜΑΤΟΣ'!G132/'2.ΤΙΜΕΣ ΚΛΕΙΣΙΜΑΤΟΣ'!G131)</f>
        <v>-2.4125464053838782E-3</v>
      </c>
      <c r="H131" s="43">
        <f>LN('2.ΤΙΜΕΣ ΚΛΕΙΣΙΜΑΤΟΣ'!H132/'2.ΤΙΜΕΣ ΚΛΕΙΣΙΜΑΤΟΣ'!H131)</f>
        <v>1.1846140504162436E-2</v>
      </c>
      <c r="I131" s="43">
        <f>LN('2.ΤΙΜΕΣ ΚΛΕΙΣΙΜΑΤΟΣ'!I132/'2.ΤΙΜΕΣ ΚΛΕΙΣΙΜΑΤΟΣ'!I131)</f>
        <v>0</v>
      </c>
      <c r="J131" s="43">
        <f>LN('2.ΤΙΜΕΣ ΚΛΕΙΣΙΜΑΤΟΣ'!J132/'2.ΤΙΜΕΣ ΚΛΕΙΣΙΜΑΤΟΣ'!J131)</f>
        <v>-2.4762703532634008E-3</v>
      </c>
      <c r="K131" s="43">
        <f>LN('2.ΤΙΜΕΣ ΚΛΕΙΣΙΜΑΤΟΣ'!K132/'2.ΤΙΜΕΣ ΚΛΕΙΣΙΜΑΤΟΣ'!K131)</f>
        <v>1.3350574661595808E-2</v>
      </c>
      <c r="L131" s="43">
        <f>LN('2.ΤΙΜΕΣ ΚΛΕΙΣΙΜΑΤΟΣ'!L132/'2.ΤΙΜΕΣ ΚΛΕΙΣΙΜΑΤΟΣ'!L131)</f>
        <v>1.2917294785834706E-2</v>
      </c>
      <c r="M131" s="43">
        <f>LN('2.ΤΙΜΕΣ ΚΛΕΙΣΙΜΑΤΟΣ'!M132/'2.ΤΙΜΕΣ ΚΛΕΙΣΙΜΑΤΟΣ'!M131)</f>
        <v>-1.1001211061973682E-2</v>
      </c>
      <c r="N131" s="43">
        <f>LN('2.ΤΙΜΕΣ ΚΛΕΙΣΙΜΑΤΟΣ'!N132/'2.ΤΙΜΕΣ ΚΛΕΙΣΙΜΑΤΟΣ'!N131)</f>
        <v>1.2894057670015337E-2</v>
      </c>
      <c r="O131" s="43">
        <f>LN('2.ΤΙΜΕΣ ΚΛΕΙΣΙΜΑΤΟΣ'!O132/'2.ΤΙΜΕΣ ΚΛΕΙΣΙΜΑΤΟΣ'!O131)</f>
        <v>-1.97765179764566E-2</v>
      </c>
      <c r="P131" s="43">
        <f>LN('2.ΤΙΜΕΣ ΚΛΕΙΣΙΜΑΤΟΣ'!P132/'2.ΤΙΜΕΣ ΚΛΕΙΣΙΜΑΤΟΣ'!P131)</f>
        <v>-4.6403795565022254E-3</v>
      </c>
      <c r="Q131" s="43">
        <f>LN('2.ΤΙΜΕΣ ΚΛΕΙΣΙΜΑΤΟΣ'!Q132/'2.ΤΙΜΕΣ ΚΛΕΙΣΙΜΑΤΟΣ'!Q131)</f>
        <v>-7.4349784875180902E-3</v>
      </c>
      <c r="R131" s="43">
        <f>LN('2.ΤΙΜΕΣ ΚΛΕΙΣΙΜΑΤΟΣ'!R132/'2.ΤΙΜΕΣ ΚΛΕΙΣΙΜΑΤΟΣ'!R131)</f>
        <v>9.7358209900816495E-3</v>
      </c>
      <c r="S131" s="43">
        <f>LN('2.ΤΙΜΕΣ ΚΛΕΙΣΙΜΑΤΟΣ'!S132/'2.ΤΙΜΕΣ ΚΛΕΙΣΙΜΑΤΟΣ'!S131)</f>
        <v>-3.8240964384035057E-3</v>
      </c>
      <c r="T131" s="43">
        <f>LN('2.ΤΙΜΕΣ ΚΛΕΙΣΙΜΑΤΟΣ'!T132/'2.ΤΙΜΕΣ ΚΛΕΙΣΙΜΑΤΟΣ'!T131)</f>
        <v>1.8937201019750782E-2</v>
      </c>
      <c r="U131" s="43">
        <f>LN('2.ΤΙΜΕΣ ΚΛΕΙΣΙΜΑΤΟΣ'!U132/'2.ΤΙΜΕΣ ΚΛΕΙΣΙΜΑΤΟΣ'!U131)</f>
        <v>-4.8661896511730113E-3</v>
      </c>
      <c r="V131" s="43">
        <f>LN('2.ΤΙΜΕΣ ΚΛΕΙΣΙΜΑΤΟΣ'!V132/'2.ΤΙΜΕΣ ΚΛΕΙΣΙΜΑΤΟΣ'!V131)</f>
        <v>-2.2246950221111624E-3</v>
      </c>
      <c r="W131" s="43">
        <f>LN('2.ΤΙΜΕΣ ΚΛΕΙΣΙΜΑΤΟΣ'!W132/'2.ΤΙΜΕΣ ΚΛΕΙΣΙΜΑΤΟΣ'!W131)</f>
        <v>-2.4006206523048086E-2</v>
      </c>
      <c r="X131" s="43">
        <f>LN('2.ΤΙΜΕΣ ΚΛΕΙΣΙΜΑΤΟΣ'!X132/'2.ΤΙΜΕΣ ΚΛΕΙΣΙΜΑΤΟΣ'!X131)</f>
        <v>0</v>
      </c>
      <c r="Y131" s="43">
        <f>LN('2.ΤΙΜΕΣ ΚΛΕΙΣΙΜΑΤΟΣ'!Y132/'2.ΤΙΜΕΣ ΚΛΕΙΣΙΜΑΤΟΣ'!Y131)</f>
        <v>2.2497197340153245E-3</v>
      </c>
      <c r="Z131" s="43">
        <f>LN('2.ΤΙΜΕΣ ΚΛΕΙΣΙΜΑΤΟΣ'!Z132/'2.ΤΙΜΕΣ ΚΛΕΙΣΙΜΑΤΟΣ'!Z131)</f>
        <v>-2.677024106460478E-2</v>
      </c>
      <c r="AA131" s="43">
        <f>LN('2.ΤΙΜΕΣ ΚΛΕΙΣΙΜΑΤΟΣ'!AA132/'2.ΤΙΜΕΣ ΚΛΕΙΣΙΜΑΤΟΣ'!AA131)</f>
        <v>2.0619287202735825E-2</v>
      </c>
      <c r="AB131" s="43">
        <f>LN('2.ΤΙΜΕΣ ΚΛΕΙΣΙΜΑΤΟΣ'!AB132/'2.ΤΙΜΕΣ ΚΛΕΙΣΙΜΑΤΟΣ'!AB131)</f>
        <v>5.7306747089850745E-3</v>
      </c>
      <c r="AC131" s="43">
        <f>LN('2.ΤΙΜΕΣ ΚΛΕΙΣΙΜΑΤΟΣ'!AC132/'2.ΤΙΜΕΣ ΚΛΕΙΣΙΜΑΤΟΣ'!AC131)</f>
        <v>0</v>
      </c>
      <c r="AD131" s="43">
        <f>LN('2.ΤΙΜΕΣ ΚΛΕΙΣΙΜΑΤΟΣ'!AD132/'2.ΤΙΜΕΣ ΚΛΕΙΣΙΜΑΤΟΣ'!AD131)</f>
        <v>1.7255330090762057E-2</v>
      </c>
      <c r="AE131" s="43">
        <f>LN('2.ΤΙΜΕΣ ΚΛΕΙΣΙΜΑΤΟΣ'!AE132/'2.ΤΙΜΕΣ ΚΛΕΙΣΙΜΑΤΟΣ'!AE131)</f>
        <v>-8.3333815591442994E-3</v>
      </c>
      <c r="AF131" s="43">
        <f>LN('2.ΤΙΜΕΣ ΚΛΕΙΣΙΜΑΤΟΣ'!AF132/'2.ΤΙΜΕΣ ΚΛΕΙΣΙΜΑΤΟΣ'!AF131)</f>
        <v>1.709443335930004E-2</v>
      </c>
      <c r="AG131" s="43">
        <f>LN('2.ΤΙΜΕΣ ΚΛΕΙΣΙΜΑΤΟΣ'!AG132/'2.ΤΙΜΕΣ ΚΛΕΙΣΙΜΑΤΟΣ'!AG131)</f>
        <v>3.278982282299097E-2</v>
      </c>
      <c r="AH131" s="43">
        <f>LN('2.ΤΙΜΕΣ ΚΛΕΙΣΙΜΑΤΟΣ'!AH132/'2.ΤΙΜΕΣ ΚΛΕΙΣΙΜΑΤΟΣ'!AH131)</f>
        <v>-6.3135293484246208E-2</v>
      </c>
      <c r="AI131" s="43">
        <f>LN('2.ΤΙΜΕΣ ΚΛΕΙΣΙΜΑΤΟΣ'!AI132/'2.ΤΙΜΕΣ ΚΛΕΙΣΙΜΑΤΟΣ'!AI131)</f>
        <v>8.0972102326193028E-3</v>
      </c>
      <c r="AJ131" s="43">
        <f>LN('2.ΤΙΜΕΣ ΚΛΕΙΣΙΜΑΤΟΣ'!AJ132/'2.ΤΙΜΕΣ ΚΛΕΙΣΙΜΑΤΟΣ'!AJ131)</f>
        <v>2.3311078868446931E-2</v>
      </c>
      <c r="AK131" s="43">
        <f>LN('2.ΤΙΜΕΣ ΚΛΕΙΣΙΜΑΤΟΣ'!AK132/'2.ΤΙΜΕΣ ΚΛΕΙΣΙΜΑΤΟΣ'!AK131)</f>
        <v>0</v>
      </c>
      <c r="AL131" s="43">
        <f>LN('2.ΤΙΜΕΣ ΚΛΕΙΣΙΜΑΤΟΣ'!AL132/'2.ΤΙΜΕΣ ΚΛΕΙΣΙΜΑΤΟΣ'!AL131)</f>
        <v>1.8349138668196617E-2</v>
      </c>
      <c r="AM131" s="43">
        <f>LN('2.ΤΙΜΕΣ ΚΛΕΙΣΙΜΑΤΟΣ'!AM132/'2.ΤΙΜΕΣ ΚΛΕΙΣΙΜΑΤΟΣ'!AM131)</f>
        <v>1.783486763603432E-2</v>
      </c>
      <c r="AN131" s="43">
        <f>LN('2.ΤΙΜΕΣ ΚΛΕΙΣΙΜΑΤΟΣ'!AN132/'2.ΤΙΜΕΣ ΚΛΕΙΣΙΜΑΤΟΣ'!AN131)</f>
        <v>-1.6970104218461589E-2</v>
      </c>
      <c r="AO131" s="43">
        <f>LN('2.ΤΙΜΕΣ ΚΛΕΙΣΙΜΑΤΟΣ'!AO132/'2.ΤΙΜΕΣ ΚΛΕΙΣΙΜΑΤΟΣ'!AO131)</f>
        <v>5.899722127188322E-3</v>
      </c>
      <c r="AP131" s="43">
        <f>LN('2.ΤΙΜΕΣ ΚΛΕΙΣΙΜΑΤΟΣ'!AP132/'2.ΤΙΜΕΣ ΚΛΕΙΣΙΜΑΤΟΣ'!AP131)</f>
        <v>9.246522767209342E-2</v>
      </c>
      <c r="AQ131" s="43">
        <f>LN('2.ΤΙΜΕΣ ΚΛΕΙΣΙΜΑΤΟΣ'!AQ132/'2.ΤΙΜΕΣ ΚΛΕΙΣΙΜΑΤΟΣ'!AQ131)</f>
        <v>5.6657375356772999E-3</v>
      </c>
      <c r="AR131" s="43">
        <f>LN('2.ΤΙΜΕΣ ΚΛΕΙΣΙΜΑΤΟΣ'!AR132/'2.ΤΙΜΕΣ ΚΛΕΙΣΙΜΑΤΟΣ'!AR131)</f>
        <v>1.5209418663528708E-2</v>
      </c>
      <c r="AS131" s="43">
        <f>LN('2.ΤΙΜΕΣ ΚΛΕΙΣΙΜΑΤΟΣ'!AS132/'2.ΤΙΜΕΣ ΚΛΕΙΣΙΜΑΤΟΣ'!AS131)</f>
        <v>0</v>
      </c>
      <c r="AT131" s="43">
        <f>LN('2.ΤΙΜΕΣ ΚΛΕΙΣΙΜΑΤΟΣ'!AT132/'2.ΤΙΜΕΣ ΚΛΕΙΣΙΜΑΤΟΣ'!AT131)</f>
        <v>7.7220460939103185E-3</v>
      </c>
      <c r="AU131" s="43">
        <f>LN('2.ΤΙΜΕΣ ΚΛΕΙΣΙΜΑΤΟΣ'!AU132/'2.ΤΙΜΕΣ ΚΛΕΙΣΙΜΑΤΟΣ'!AU131)</f>
        <v>1.8092519612726763E-3</v>
      </c>
    </row>
    <row r="132" spans="1:47">
      <c r="A132" s="41">
        <v>43745</v>
      </c>
      <c r="B132" s="43">
        <f>LN('2.ΤΙΜΕΣ ΚΛΕΙΣΙΜΑΤΟΣ'!B133/'2.ΤΙΜΕΣ ΚΛΕΙΣΙΜΑΤΟΣ'!B132)</f>
        <v>-8.9655772964994454E-3</v>
      </c>
      <c r="C132" s="43">
        <f>LN('2.ΤΙΜΕΣ ΚΛΕΙΣΙΜΑΤΟΣ'!C133/'2.ΤΙΜΕΣ ΚΛΕΙΣΙΜΑΤΟΣ'!C132)</f>
        <v>0</v>
      </c>
      <c r="D132" s="43">
        <f>LN('2.ΤΙΜΕΣ ΚΛΕΙΣΙΜΑΤΟΣ'!D133/'2.ΤΙΜΕΣ ΚΛΕΙΣΙΜΑΤΟΣ'!D132)</f>
        <v>2.7203128169228038E-2</v>
      </c>
      <c r="E132" s="43">
        <f>LN('2.ΤΙΜΕΣ ΚΛΕΙΣΙΜΑΤΟΣ'!E133/'2.ΤΙΜΕΣ ΚΛΕΙΣΙΜΑΤΟΣ'!E132)</f>
        <v>1.9714469973082734E-2</v>
      </c>
      <c r="F132" s="43">
        <f>LN('2.ΤΙΜΕΣ ΚΛΕΙΣΙΜΑΤΟΣ'!F133/'2.ΤΙΜΕΣ ΚΛΕΙΣΙΜΑΤΟΣ'!F132)</f>
        <v>9.8766234959120989E-3</v>
      </c>
      <c r="G132" s="43">
        <f>LN('2.ΤΙΜΕΣ ΚΛΕΙΣΙΜΑΤΟΣ'!G133/'2.ΤΙΜΕΣ ΚΛΕΙΣΙΜΑΤΟΣ'!G132)</f>
        <v>6.0204877815830246E-3</v>
      </c>
      <c r="H132" s="43">
        <f>LN('2.ΤΙΜΕΣ ΚΛΕΙΣΙΜΑΤΟΣ'!H133/'2.ΤΙΜΕΣ ΚΛΕΙΣΙΜΑΤΟΣ'!H132)</f>
        <v>3.4719012687442138E-2</v>
      </c>
      <c r="I132" s="43">
        <f>LN('2.ΤΙΜΕΣ ΚΛΕΙΣΙΜΑΤΟΣ'!I133/'2.ΤΙΜΕΣ ΚΛΕΙΣΙΜΑΤΟΣ'!I132)</f>
        <v>1.3509372389532159E-2</v>
      </c>
      <c r="J132" s="43">
        <f>LN('2.ΤΙΜΕΣ ΚΛΕΙΣΙΜΑΤΟΣ'!J133/'2.ΤΙΜΕΣ ΚΛΕΙΣΙΜΑΤΟΣ'!J132)</f>
        <v>1.3951806120124685E-2</v>
      </c>
      <c r="K132" s="43">
        <f>LN('2.ΤΙΜΕΣ ΚΛΕΙΣΙΜΑΤΟΣ'!K133/'2.ΤΙΜΕΣ ΚΛΕΙΣΙΜΑΤΟΣ'!K132)</f>
        <v>-3.9581617976292231E-3</v>
      </c>
      <c r="L132" s="43">
        <f>LN('2.ΤΙΜΕΣ ΚΛΕΙΣΙΜΑΤΟΣ'!L133/'2.ΤΙΜΕΣ ΚΛΕΙΣΙΜΑΤΟΣ'!L132)</f>
        <v>1.6441632639796873E-2</v>
      </c>
      <c r="M132" s="43">
        <f>LN('2.ΤΙΜΕΣ ΚΛΕΙΣΙΜΑΤΟΣ'!M133/'2.ΤΙΜΕΣ ΚΛΕΙΣΙΜΑΤΟΣ'!M132)</f>
        <v>-3.3241027838385598E-3</v>
      </c>
      <c r="N132" s="43">
        <f>LN('2.ΤΙΜΕΣ ΚΛΕΙΣΙΜΑΤΟΣ'!N133/'2.ΤΙΜΕΣ ΚΛΕΙΣΙΜΑΤΟΣ'!N132)</f>
        <v>-1.4405073075795299E-3</v>
      </c>
      <c r="O132" s="43">
        <f>LN('2.ΤΙΜΕΣ ΚΛΕΙΣΙΜΑΤΟΣ'!O133/'2.ΤΙΜΕΣ ΚΛΕΙΣΙΜΑΤΟΣ'!O132)</f>
        <v>-1.3324452337786009E-3</v>
      </c>
      <c r="P132" s="43">
        <f>LN('2.ΤΙΜΕΣ ΚΛΕΙΣΙΜΑΤΟΣ'!P133/'2.ΤΙΜΕΣ ΚΛΕΙΣΙΜΑΤΟΣ'!P132)</f>
        <v>0</v>
      </c>
      <c r="Q132" s="43">
        <f>LN('2.ΤΙΜΕΣ ΚΛΕΙΣΙΜΑΤΟΣ'!Q133/'2.ΤΙΜΕΣ ΚΛΕΙΣΙΜΑΤΟΣ'!Q132)</f>
        <v>1.4815085785140682E-2</v>
      </c>
      <c r="R132" s="43">
        <f>LN('2.ΤΙΜΕΣ ΚΛΕΙΣΙΜΑΤΟΣ'!R133/'2.ΤΙΜΕΣ ΚΛΕΙΣΙΜΑΤΟΣ'!R132)</f>
        <v>2.1226404613885159E-2</v>
      </c>
      <c r="S132" s="43">
        <f>LN('2.ΤΙΜΕΣ ΚΛΕΙΣΙΜΑΤΟΣ'!S133/'2.ΤΙΜΕΣ ΚΛΕΙΣΙΜΑΤΟΣ'!S132)</f>
        <v>2.5510217916052047E-3</v>
      </c>
      <c r="T132" s="43">
        <f>LN('2.ΤΙΜΕΣ ΚΛΕΙΣΙΜΑΤΟΣ'!T133/'2.ΤΙΜΕΣ ΚΛΕΙΣΙΜΑΤΟΣ'!T132)</f>
        <v>1.8585238303338841E-2</v>
      </c>
      <c r="U132" s="43">
        <f>LN('2.ΤΙΜΕΣ ΚΛΕΙΣΙΜΑΤΟΣ'!U133/'2.ΤΙΜΕΣ ΚΛΕΙΣΙΜΑΤΟΣ'!U132)</f>
        <v>0</v>
      </c>
      <c r="V132" s="43">
        <f>LN('2.ΤΙΜΕΣ ΚΛΕΙΣΙΜΑΤΟΣ'!V133/'2.ΤΙΜΕΣ ΚΛΕΙΣΙΜΑΤΟΣ'!V132)</f>
        <v>2.2246950221111086E-3</v>
      </c>
      <c r="W132" s="43">
        <f>LN('2.ΤΙΜΕΣ ΚΛΕΙΣΙΜΑΤΟΣ'!W133/'2.ΤΙΜΕΣ ΚΛΕΙΣΙΜΑΤΟΣ'!W132)</f>
        <v>3.8289772370972515E-3</v>
      </c>
      <c r="X132" s="43">
        <f>LN('2.ΤΙΜΕΣ ΚΛΕΙΣΙΜΑΤΟΣ'!X133/'2.ΤΙΜΕΣ ΚΛΕΙΣΙΜΑΤΟΣ'!X132)</f>
        <v>0</v>
      </c>
      <c r="Y132" s="43">
        <f>LN('2.ΤΙΜΕΣ ΚΛΕΙΣΙΜΑΤΟΣ'!Y133/'2.ΤΙΜΕΣ ΚΛΕΙΣΙΜΑΤΟΣ'!Y132)</f>
        <v>-2.0432038817205855E-2</v>
      </c>
      <c r="Z132" s="43">
        <f>LN('2.ΤΙΜΕΣ ΚΛΕΙΣΙΜΑΤΟΣ'!Z133/'2.ΤΙΜΕΣ ΚΛΕΙΣΙΜΑΤΟΣ'!Z132)</f>
        <v>2.2989518224698562E-2</v>
      </c>
      <c r="AA132" s="43">
        <f>LN('2.ΤΙΜΕΣ ΚΛΕΙΣΙΜΑΤΟΣ'!AA133/'2.ΤΙΜΕΣ ΚΛΕΙΣΙΜΑΤΟΣ'!AA132)</f>
        <v>3.4387342309475731E-2</v>
      </c>
      <c r="AB132" s="43">
        <f>LN('2.ΤΙΜΕΣ ΚΛΕΙΣΙΜΑΤΟΣ'!AB133/'2.ΤΙΜΕΣ ΚΛΕΙΣΙΜΑΤΟΣ'!AB132)</f>
        <v>0</v>
      </c>
      <c r="AC132" s="43">
        <f>LN('2.ΤΙΜΕΣ ΚΛΕΙΣΙΜΑΤΟΣ'!AC133/'2.ΤΙΜΕΣ ΚΛΕΙΣΙΜΑΤΟΣ'!AC132)</f>
        <v>-1.4015419252884445E-3</v>
      </c>
      <c r="AD132" s="43">
        <f>LN('2.ΤΙΜΕΣ ΚΛΕΙΣΙΜΑΤΟΣ'!AD133/'2.ΤΙΜΕΣ ΚΛΕΙΣΙΜΑΤΟΣ'!AD132)</f>
        <v>6.201570263281107E-3</v>
      </c>
      <c r="AE132" s="43">
        <f>LN('2.ΤΙΜΕΣ ΚΛΕΙΣΙΜΑΤΟΣ'!AE133/'2.ΤΙΜΕΣ ΚΛΕΙΣΙΜΑΤΟΣ'!AE132)</f>
        <v>2.0898649194592365E-3</v>
      </c>
      <c r="AF132" s="43">
        <f>LN('2.ΤΙΜΕΣ ΚΛΕΙΣΙΜΑΤΟΣ'!AF133/'2.ΤΙΜΕΣ ΚΛΕΙΣΙΜΑΤΟΣ'!AF132)</f>
        <v>-4.388695035587515E-2</v>
      </c>
      <c r="AG132" s="43">
        <f>LN('2.ΤΙΜΕΣ ΚΛΕΙΣΙΜΑΤΟΣ'!AG133/'2.ΤΙΜΕΣ ΚΛΕΙΣΙΜΑΤΟΣ'!AG132)</f>
        <v>-2.0050797045561078E-2</v>
      </c>
      <c r="AH132" s="43">
        <f>LN('2.ΤΙΜΕΣ ΚΛΕΙΣΙΜΑΤΟΣ'!AH133/'2.ΤΙΜΕΣ ΚΛΕΙΣΙΜΑΤΟΣ'!AH132)</f>
        <v>5.3276631077875686E-3</v>
      </c>
      <c r="AI132" s="43">
        <f>LN('2.ΤΙΜΕΣ ΚΛΕΙΣΙΜΑΤΟΣ'!AI133/'2.ΤΙΜΕΣ ΚΛΕΙΣΙΜΑΤΟΣ'!AI132)</f>
        <v>8.0321716972642527E-3</v>
      </c>
      <c r="AJ132" s="43">
        <f>LN('2.ΤΙΜΕΣ ΚΛΕΙΣΙΜΑΤΟΣ'!AJ133/'2.ΤΙΜΕΣ ΚΛΕΙΣΙΜΑΤΟΣ'!AJ132)</f>
        <v>3.6203048663960638E-2</v>
      </c>
      <c r="AK132" s="43">
        <f>LN('2.ΤΙΜΕΣ ΚΛΕΙΣΙΜΑΤΟΣ'!AK133/'2.ΤΙΜΕΣ ΚΛΕΙΣΙΜΑΤΟΣ'!AK132)</f>
        <v>9.950330853168092E-3</v>
      </c>
      <c r="AL132" s="43">
        <f>LN('2.ΤΙΜΕΣ ΚΛΕΙΣΙΜΑΤΟΣ'!AL133/'2.ΤΙΜΕΣ ΚΛΕΙΣΙΜΑΤΟΣ'!AL132)</f>
        <v>-2.7651531330510123E-2</v>
      </c>
      <c r="AM132" s="43">
        <f>LN('2.ΤΙΜΕΣ ΚΛΕΙΣΙΜΑΤΟΣ'!AM133/'2.ΤΙΜΕΣ ΚΛΕΙΣΙΜΑΤΟΣ'!AM132)</f>
        <v>-2.0408871631207123E-2</v>
      </c>
      <c r="AN132" s="43">
        <f>LN('2.ΤΙΜΕΣ ΚΛΕΙΣΙΜΑΤΟΣ'!AN133/'2.ΤΙΜΕΣ ΚΛΕΙΣΙΜΑΤΟΣ'!AN132)</f>
        <v>1.2150817782512749E-2</v>
      </c>
      <c r="AO132" s="43">
        <f>LN('2.ΤΙΜΕΣ ΚΛΕΙΣΙΜΑΤΟΣ'!AO133/'2.ΤΙΜΕΣ ΚΛΕΙΣΙΜΑΤΟΣ'!AO132)</f>
        <v>0</v>
      </c>
      <c r="AP132" s="43">
        <f>LN('2.ΤΙΜΕΣ ΚΛΕΙΣΙΜΑΤΟΣ'!AP133/'2.ΤΙΜΕΣ ΚΛΕΙΣΙΜΑΤΟΣ'!AP132)</f>
        <v>1.6949558313773205E-2</v>
      </c>
      <c r="AQ132" s="43">
        <f>LN('2.ΤΙΜΕΣ ΚΛΕΙΣΙΜΑΤΟΣ'!AQ133/'2.ΤΙΜΕΣ ΚΛΕΙΣΙΜΑΤΟΣ'!AQ132)</f>
        <v>4.5095905059750639E-3</v>
      </c>
      <c r="AR132" s="43">
        <f>LN('2.ΤΙΜΕΣ ΚΛΕΙΣΙΜΑΤΟΣ'!AR133/'2.ΤΙΜΕΣ ΚΛΕΙΣΙΜΑΤΟΣ'!AR132)</f>
        <v>-5.6764580048051906E-3</v>
      </c>
      <c r="AS132" s="43">
        <f>LN('2.ΤΙΜΕΣ ΚΛΕΙΣΙΜΑΤΟΣ'!AS133/'2.ΤΙΜΕΣ ΚΛΕΙΣΙΜΑΤΟΣ'!AS132)</f>
        <v>-2.985296314968116E-2</v>
      </c>
      <c r="AT132" s="43">
        <f>LN('2.ΤΙΜΕΣ ΚΛΕΙΣΙΜΑΤΟΣ'!AT133/'2.ΤΙΜΕΣ ΚΛΕΙΣΙΜΑΤΟΣ'!AT132)</f>
        <v>-4.7252884850545615E-2</v>
      </c>
      <c r="AU132" s="43">
        <f>LN('2.ΤΙΜΕΣ ΚΛΕΙΣΙΜΑΤΟΣ'!AU133/'2.ΤΙΜΕΣ ΚΛΕΙΣΙΜΑΤΟΣ'!AU132)</f>
        <v>6.3248105099481195E-3</v>
      </c>
    </row>
    <row r="133" spans="1:47">
      <c r="A133" s="41">
        <v>43746</v>
      </c>
      <c r="B133" s="43">
        <f>LN('2.ΤΙΜΕΣ ΚΛΕΙΣΙΜΑΤΟΣ'!B134/'2.ΤΙΜΕΣ ΚΛΕΙΣΙΜΑΤΟΣ'!B133)</f>
        <v>-3.1222922156219465E-3</v>
      </c>
      <c r="C133" s="43">
        <f>LN('2.ΤΙΜΕΣ ΚΛΕΙΣΙΜΑΤΟΣ'!C134/'2.ΤΙΜΕΣ ΚΛΕΙΣΙΜΑΤΟΣ'!C133)</f>
        <v>1.3245226750020723E-2</v>
      </c>
      <c r="D133" s="43">
        <f>LN('2.ΤΙΜΕΣ ΚΛΕΙΣΙΜΑΤΟΣ'!D134/'2.ΤΙΜΕΣ ΚΛΕΙΣΙΜΑΤΟΣ'!D133)</f>
        <v>-1.0579870162790952E-2</v>
      </c>
      <c r="E133" s="43">
        <f>LN('2.ΤΙΜΕΣ ΚΛΕΙΣΙΜΑΤΟΣ'!E134/'2.ΤΙΜΕΣ ΚΛΕΙΣΙΜΑΤΟΣ'!E133)</f>
        <v>2.1184592868277095E-2</v>
      </c>
      <c r="F133" s="43">
        <f>LN('2.ΤΙΜΕΣ ΚΛΕΙΣΙΜΑΤΟΣ'!F134/'2.ΤΙΜΕΣ ΚΛΕΙΣΙΜΑΤΟΣ'!F133)</f>
        <v>-1.1118088583976936E-2</v>
      </c>
      <c r="G133" s="43">
        <f>LN('2.ΤΙΜΕΣ ΚΛΕΙΣΙΜΑΤΟΣ'!G134/'2.ΤΙΜΕΣ ΚΛΕΙΣΙΜΑΤΟΣ'!G133)</f>
        <v>-3.607941376199054E-3</v>
      </c>
      <c r="H133" s="43">
        <f>LN('2.ΤΙΜΕΣ ΚΛΕΙΣΙΜΑΤΟΣ'!H134/'2.ΤΙΜΕΣ ΚΛΕΙΣΙΜΑΤΟΣ'!H133)</f>
        <v>9.4340322333584942E-3</v>
      </c>
      <c r="I133" s="43">
        <f>LN('2.ΤΙΜΕΣ ΚΛΕΙΣΙΜΑΤΟΣ'!I134/'2.ΤΙΜΕΣ ΚΛΕΙΣΙΜΑΤΟΣ'!I133)</f>
        <v>-2.9833600378480717E-2</v>
      </c>
      <c r="J133" s="43">
        <f>LN('2.ΤΙΜΕΣ ΚΛΕΙΣΙΜΑΤΟΣ'!J134/'2.ΤΙΜΕΣ ΚΛΕΙΣΙΜΑΤΟΣ'!J133)</f>
        <v>-2.2250608934819921E-2</v>
      </c>
      <c r="K133" s="43">
        <f>LN('2.ΤΙΜΕΣ ΚΛΕΙΣΙΜΑΤΟΣ'!K134/'2.ΤΙΜΕΣ ΚΛΕΙΣΙΜΑΤΟΣ'!K133)</f>
        <v>-1.0680058796225507E-2</v>
      </c>
      <c r="L133" s="43">
        <f>LN('2.ΤΙΜΕΣ ΚΛΕΙΣΙΜΑΤΟΣ'!L134/'2.ΤΙΜΕΣ ΚΛΕΙΣΙΜΑΤΟΣ'!L133)</f>
        <v>-6.8619957829833067E-3</v>
      </c>
      <c r="M133" s="43">
        <f>LN('2.ΤΙΜΕΣ ΚΛΕΙΣΙΜΑΤΟΣ'!M134/'2.ΤΙΜΕΣ ΚΛΕΙΣΙΜΑΤΟΣ'!M133)</f>
        <v>0</v>
      </c>
      <c r="N133" s="43">
        <f>LN('2.ΤΙΜΕΣ ΚΛΕΙΣΙΜΑΤΟΣ'!N134/'2.ΤΙΜΕΣ ΚΛΕΙΣΙΜΑΤΟΣ'!N133)</f>
        <v>-1.1453550362435685E-2</v>
      </c>
      <c r="O133" s="43">
        <f>LN('2.ΤΙΜΕΣ ΚΛΕΙΣΙΜΑΤΟΣ'!O134/'2.ΤΙΜΕΣ ΚΛΕΙΣΙΜΑΤΟΣ'!O133)</f>
        <v>7.9681696491768813E-3</v>
      </c>
      <c r="P133" s="43">
        <f>LN('2.ΤΙΜΕΣ ΚΛΕΙΣΙΜΑΤΟΣ'!P134/'2.ΤΙΜΕΣ ΚΛΕΙΣΙΜΑΤΟΣ'!P133)</f>
        <v>-3.10559255815313E-3</v>
      </c>
      <c r="Q133" s="43">
        <f>LN('2.ΤΙΜΕΣ ΚΛΕΙΣΙΜΑΤΟΣ'!Q134/'2.ΤΙΜΕΣ ΚΛΕΙΣΙΜΑΤΟΣ'!Q133)</f>
        <v>-3.440877968554186E-2</v>
      </c>
      <c r="R133" s="43">
        <f>LN('2.ΤΙΜΕΣ ΚΛΕΙΣΙΜΑΤΟΣ'!R134/'2.ΤΙΜΕΣ ΚΛΕΙΣΙΜΑΤΟΣ'!R133)</f>
        <v>-3.7271394797231655E-2</v>
      </c>
      <c r="S133" s="43">
        <f>LN('2.ΤΙΜΕΣ ΚΛΕΙΣΙΜΑΤΟΣ'!S134/'2.ΤΙΜΕΣ ΚΛΕΙΣΙΜΑΤΟΣ'!S133)</f>
        <v>-1.6699167757632256E-2</v>
      </c>
      <c r="T133" s="43">
        <f>LN('2.ΤΙΜΕΣ ΚΛΕΙΣΙΜΑΤΟΣ'!T134/'2.ΤΙΜΕΣ ΚΛΕΙΣΙΜΑΤΟΣ'!T133)</f>
        <v>-3.1657319870691612E-2</v>
      </c>
      <c r="U133" s="43">
        <f>LN('2.ΤΙΜΕΣ ΚΛΕΙΣΙΜΑΤΟΣ'!U134/'2.ΤΙΜΕΣ ΚΛΕΙΣΙΜΑΤΟΣ'!U133)</f>
        <v>-4.8899852941916809E-3</v>
      </c>
      <c r="V133" s="43">
        <f>LN('2.ΤΙΜΕΣ ΚΛΕΙΣΙΜΑΤΟΣ'!V134/'2.ΤΙΜΕΣ ΚΛΕΙΣΙΜΑΤΟΣ'!V133)</f>
        <v>-8.9286307443013184E-3</v>
      </c>
      <c r="W133" s="43">
        <f>LN('2.ΤΙΜΕΣ ΚΛΕΙΣΙΜΑΤΟΣ'!W134/'2.ΤΙΜΕΣ ΚΛΕΙΣΙΜΑΤΟΣ'!W133)</f>
        <v>7.6142499852454399E-3</v>
      </c>
      <c r="X133" s="43">
        <f>LN('2.ΤΙΜΕΣ ΚΛΕΙΣΙΜΑΤΟΣ'!X134/'2.ΤΙΜΕΣ ΚΛΕΙΣΙΜΑΤΟΣ'!X133)</f>
        <v>-2.8437385863899793E-3</v>
      </c>
      <c r="Y133" s="43">
        <f>LN('2.ΤΙΜΕΣ ΚΛΕΙΣΙΜΑΤΟΣ'!Y134/'2.ΤΙΜΕΣ ΚΛΕΙΣΙΜΑΤΟΣ'!Y133)</f>
        <v>-2.296212260350379E-3</v>
      </c>
      <c r="Z133" s="43">
        <f>LN('2.ΤΙΜΕΣ ΚΛΕΙΣΙΜΑΤΟΣ'!Z134/'2.ΤΙΜΕΣ ΚΛΕΙΣΙΜΑΤΟΣ'!Z133)</f>
        <v>1.5037877364540502E-2</v>
      </c>
      <c r="AA133" s="43">
        <f>LN('2.ΤΙΜΕΣ ΚΛΕΙΣΙΜΑΤΟΣ'!AA134/'2.ΤΙΜΕΣ ΚΛΕΙΣΙΜΑΤΟΣ'!AA133)</f>
        <v>-2.8208763416412296E-3</v>
      </c>
      <c r="AB133" s="43">
        <f>LN('2.ΤΙΜΕΣ ΚΛΕΙΣΙΜΑΤΟΣ'!AB134/'2.ΤΙΜΕΣ ΚΛΕΙΣΙΜΑΤΟΣ'!AB133)</f>
        <v>0</v>
      </c>
      <c r="AC133" s="43">
        <f>LN('2.ΤΙΜΕΣ ΚΛΕΙΣΙΜΑΤΟΣ'!AC134/'2.ΤΙΜΕΣ ΚΛΕΙΣΙΜΑΤΟΣ'!AC133)</f>
        <v>-2.98954647966264E-2</v>
      </c>
      <c r="AD133" s="43">
        <f>LN('2.ΤΙΜΕΣ ΚΛΕΙΣΙΜΑΤΟΣ'!AD134/'2.ΤΙΜΕΣ ΚΛΕΙΣΙΜΑΤΟΣ'!AD133)</f>
        <v>-1.8721295608208968E-2</v>
      </c>
      <c r="AE133" s="43">
        <f>LN('2.ΤΙΜΕΣ ΚΛΕΙΣΙΜΑΤΟΣ'!AE134/'2.ΤΙΜΕΣ ΚΛΕΙΣΙΜΑΤΟΣ'!AE133)</f>
        <v>0</v>
      </c>
      <c r="AF133" s="43">
        <f>LN('2.ΤΙΜΕΣ ΚΛΕΙΣΙΜΑΤΟΣ'!AF134/'2.ΤΙΜΕΣ ΚΛΕΙΣΙΜΑΤΟΣ'!AF133)</f>
        <v>-2.0274993861410781E-2</v>
      </c>
      <c r="AG133" s="43">
        <f>LN('2.ΤΙΜΕΣ ΚΛΕΙΣΙΜΑΤΟΣ'!AG134/'2.ΤΙΜΕΣ ΚΛΕΙΣΙΜΑΤΟΣ'!AG133)</f>
        <v>-3.8714512180690393E-2</v>
      </c>
      <c r="AH133" s="43">
        <f>LN('2.ΤΙΜΕΣ ΚΛΕΙΣΙΜΑΤΟΣ'!AH134/'2.ΤΙΜΕΣ ΚΛΕΙΣΙΜΑΤΟΣ'!AH133)</f>
        <v>-3.9008195885453442E-2</v>
      </c>
      <c r="AI133" s="43">
        <f>LN('2.ΤΙΜΕΣ ΚΛΕΙΣΙΜΑΤΟΣ'!AI134/'2.ΤΙΜΕΣ ΚΛΕΙΣΙΜΑΤΟΣ'!AI133)</f>
        <v>-8.0321716972642666E-3</v>
      </c>
      <c r="AJ133" s="43">
        <f>LN('2.ΤΙΜΕΣ ΚΛΕΙΣΙΜΑΤΟΣ'!AJ134/'2.ΤΙΜΕΣ ΚΛΕΙΣΙΜΑΤΟΣ'!AJ133)</f>
        <v>-1.7937700686667318E-2</v>
      </c>
      <c r="AK133" s="43">
        <f>LN('2.ΤΙΜΕΣ ΚΛΕΙΣΙΜΑΤΟΣ'!AK134/'2.ΤΙΜΕΣ ΚΛΕΙΣΙΜΑΤΟΣ'!AK133)</f>
        <v>-2.5063968663216276E-2</v>
      </c>
      <c r="AL133" s="43">
        <f>LN('2.ΤΙΜΕΣ ΚΛΕΙΣΙΜΑΤΟΣ'!AL134/'2.ΤΙΜΕΣ ΚΛΕΙΣΙΜΑΤΟΣ'!AL133)</f>
        <v>-7.7708984327316141E-2</v>
      </c>
      <c r="AM133" s="43">
        <f>LN('2.ΤΙΜΕΣ ΚΛΕΙΣΙΜΑΤΟΣ'!AM134/'2.ΤΙΜΕΣ ΚΛΕΙΣΙΜΑΤΟΣ'!AM133)</f>
        <v>-7.7620053354891892E-3</v>
      </c>
      <c r="AN133" s="43">
        <f>LN('2.ΤΙΜΕΣ ΚΛΕΙΣΙΜΑΤΟΣ'!AN134/'2.ΤΙΜΕΣ ΚΛΕΙΣΙΜΑΤΟΣ'!AN133)</f>
        <v>2.6223195099102561E-2</v>
      </c>
      <c r="AO133" s="43">
        <f>LN('2.ΤΙΜΕΣ ΚΛΕΙΣΙΜΑΤΟΣ'!AO134/'2.ΤΙΜΕΣ ΚΛΕΙΣΙΜΑΤΟΣ'!AO133)</f>
        <v>-1.7804624633506707E-2</v>
      </c>
      <c r="AP133" s="43">
        <f>LN('2.ΤΙΜΕΣ ΚΛΕΙΣΙΜΑΤΟΣ'!AP134/'2.ΤΙΜΕΣ ΚΛΕΙΣΙΜΑΤΟΣ'!AP133)</f>
        <v>-2.8050509276086096E-3</v>
      </c>
      <c r="AQ133" s="43">
        <f>LN('2.ΤΙΜΕΣ ΚΛΕΙΣΙΜΑΤΟΣ'!AQ134/'2.ΤΙΜΕΣ ΚΛΕΙΣΙΜΑΤΟΣ'!AQ133)</f>
        <v>-2.390552085355448E-2</v>
      </c>
      <c r="AR133" s="43">
        <f>LN('2.ΤΙΜΕΣ ΚΛΕΙΣΙΜΑΤΟΣ'!AR134/'2.ΤΙΜΕΣ ΚΛΕΙΣΙΜΑΤΟΣ'!AR133)</f>
        <v>-5.2592450119170499E-2</v>
      </c>
      <c r="AS133" s="43">
        <f>LN('2.ΤΙΜΕΣ ΚΛΕΙΣΙΜΑΤΟΣ'!AS134/'2.ΤΙΜΕΣ ΚΛΕΙΣΙΜΑΤΟΣ'!AS133)</f>
        <v>6.0423144559626617E-3</v>
      </c>
      <c r="AT133" s="43">
        <f>LN('2.ΤΙΜΕΣ ΚΛΕΙΣΙΜΑΤΟΣ'!AT134/'2.ΤΙΜΕΣ ΚΛΕΙΣΙΜΑΤΟΣ'!AT133)</f>
        <v>-3.0015895940265609E-2</v>
      </c>
      <c r="AU133" s="43">
        <f>LN('2.ΤΙΜΕΣ ΚΛΕΙΣΙΜΑΤΟΣ'!AU134/'2.ΤΙΜΕΣ ΚΛΕΙΣΙΜΑΤΟΣ'!AU133)</f>
        <v>-6.6038774574927496E-3</v>
      </c>
    </row>
    <row r="134" spans="1:47">
      <c r="A134" s="41">
        <v>43747</v>
      </c>
      <c r="B134" s="43">
        <f>LN('2.ΤΙΜΕΣ ΚΛΕΙΣΙΜΑΤΟΣ'!B135/'2.ΤΙΜΕΣ ΚΛΕΙΣΙΜΑΤΟΣ'!B134)</f>
        <v>-2.4352073262491349E-3</v>
      </c>
      <c r="C134" s="43">
        <f>LN('2.ΤΙΜΕΣ ΚΛΕΙΣΙΜΑΤΟΣ'!C135/'2.ΤΙΜΕΣ ΚΛΕΙΣΙΜΑΤΟΣ'!C134)</f>
        <v>6.1728591070810161E-3</v>
      </c>
      <c r="D134" s="43">
        <f>LN('2.ΤΙΜΕΣ ΚΛΕΙΣΙΜΑΤΟΣ'!D135/'2.ΤΙΜΕΣ ΚΛΕΙΣΙΜΑΤΟΣ'!D134)</f>
        <v>-6.4020705220224116E-3</v>
      </c>
      <c r="E134" s="43">
        <f>LN('2.ΤΙΜΕΣ ΚΛΕΙΣΙΜΑΤΟΣ'!E135/'2.ΤΙΜΕΣ ΚΛΕΙΣΙΜΑΤΟΣ'!E134)</f>
        <v>2.4963244517569476E-2</v>
      </c>
      <c r="F134" s="43">
        <f>LN('2.ΤΙΜΕΣ ΚΛΕΙΣΙΜΑΤΟΣ'!F135/'2.ΤΙΜΕΣ ΚΛΕΙΣΙΜΑΤΟΣ'!F134)</f>
        <v>1.2414650880649455E-3</v>
      </c>
      <c r="G134" s="43">
        <f>LN('2.ΤΙΜΕΣ ΚΛΕΙΣΙΜΑΤΟΣ'!G135/'2.ΤΙΜΕΣ ΚΛΕΙΣΙΜΑΤΟΣ'!G134)</f>
        <v>1.197619104671562E-2</v>
      </c>
      <c r="H134" s="43">
        <f>LN('2.ΤΙΜΕΣ ΚΛΕΙΣΙΜΑΤΟΣ'!H135/'2.ΤΙΜΕΣ ΚΛΕΙΣΙΜΑΤΟΣ'!H134)</f>
        <v>-1.4184634991956413E-2</v>
      </c>
      <c r="I134" s="43">
        <f>LN('2.ΤΙΜΕΣ ΚΛΕΙΣΙΜΑΤΟΣ'!I135/'2.ΤΙΜΕΣ ΚΛΕΙΣΙΜΑΤΟΣ'!I134)</f>
        <v>1.5028051527501987E-2</v>
      </c>
      <c r="J134" s="43">
        <f>LN('2.ΤΙΜΕΣ ΚΛΕΙΣΙΜΑΤΟΣ'!J135/'2.ΤΙΜΕΣ ΚΛΕΙΣΙΜΑΤΟΣ'!J134)</f>
        <v>2.0619287202735825E-2</v>
      </c>
      <c r="K134" s="43">
        <f>LN('2.ΤΙΜΕΣ ΚΛΕΙΣΙΜΑΤΟΣ'!K135/'2.ΤΙΜΕΣ ΚΛΕΙΣΙΜΑΤΟΣ'!K134)</f>
        <v>-5.4550809981813442E-3</v>
      </c>
      <c r="L134" s="43">
        <f>LN('2.ΤΙΜΕΣ ΚΛΕΙΣΙΜΑΤΟΣ'!L135/'2.ΤΙΜΕΣ ΚΛΕΙΣΙΜΑΤΟΣ'!L134)</f>
        <v>5.2826324644272178E-3</v>
      </c>
      <c r="M134" s="43">
        <f>LN('2.ΤΙΜΕΣ ΚΛΕΙΣΙΜΑΤΟΣ'!M135/'2.ΤΙΜΕΣ ΚΛΕΙΣΙΜΑΤΟΣ'!M134)</f>
        <v>-1.1104942840271764E-3</v>
      </c>
      <c r="N134" s="43">
        <f>LN('2.ΤΙΜΕΣ ΚΛΕΙΣΙΜΑΤΟΣ'!N135/'2.ΤΙΜΕΣ ΚΛΕΙΣΙΜΑΤΟΣ'!N134)</f>
        <v>2.2634859513695635E-2</v>
      </c>
      <c r="O134" s="43">
        <f>LN('2.ΤΙΜΕΣ ΚΛΕΙΣΙΜΑΤΟΣ'!O135/'2.ΤΙΜΕΣ ΚΛΕΙΣΙΜΑΤΟΣ'!O134)</f>
        <v>1.1834457647003017E-2</v>
      </c>
      <c r="P134" s="43">
        <f>LN('2.ΤΙΜΕΣ ΚΛΕΙΣΙΜΑΤΟΣ'!P135/'2.ΤΙΜΕΣ ΚΛΕΙΣΙΜΑΤΟΣ'!P134)</f>
        <v>1.0827638652063393E-2</v>
      </c>
      <c r="Q134" s="43">
        <f>LN('2.ΤΙΜΕΣ ΚΛΕΙΣΙΜΑΤΟΣ'!Q135/'2.ΤΙΜΕΣ ΚΛΕΙΣΙΜΑΤΟΣ'!Q134)</f>
        <v>2.9987254427664478E-2</v>
      </c>
      <c r="R134" s="43">
        <f>LN('2.ΤΙΜΕΣ ΚΛΕΙΣΙΜΑΤΟΣ'!R135/'2.ΤΙΜΕΣ ΚΛΕΙΣΙΜΑΤΟΣ'!R134)</f>
        <v>2.6372104339195908E-2</v>
      </c>
      <c r="S134" s="43">
        <f>LN('2.ΤΙΜΕΣ ΚΛΕΙΣΙΜΑΤΟΣ'!S135/'2.ΤΙΜΕΣ ΚΛΕΙΣΙΜΑΤΟΣ'!S134)</f>
        <v>1.2870190520534956E-2</v>
      </c>
      <c r="T134" s="43">
        <f>LN('2.ΤΙΜΕΣ ΚΛΕΙΣΙΜΑΤΟΣ'!T135/'2.ΤΙΜΕΣ ΚΛΕΙΣΙΜΑΤΟΣ'!T134)</f>
        <v>4.2925044717033844E-2</v>
      </c>
      <c r="U134" s="43">
        <f>LN('2.ΤΙΜΕΣ ΚΛΕΙΣΙΜΑΤΟΣ'!U135/'2.ΤΙΜΕΣ ΚΛΕΙΣΙΜΑΤΟΣ'!U134)</f>
        <v>9.7561749453646558E-3</v>
      </c>
      <c r="V134" s="43">
        <f>LN('2.ΤΙΜΕΣ ΚΛΕΙΣΙΜΑΤΟΣ'!V135/'2.ΤΙΜΕΣ ΚΛΕΙΣΙΜΑΤΟΣ'!V134)</f>
        <v>3.9565600206191098E-2</v>
      </c>
      <c r="W134" s="43">
        <f>LN('2.ΤΙΜΕΣ ΚΛΕΙΣΙΜΑΤΟΣ'!W135/'2.ΤΙΜΕΣ ΚΛΕΙΣΙΜΑΤΟΣ'!W134)</f>
        <v>5.0441468866780029E-3</v>
      </c>
      <c r="X134" s="43">
        <f>LN('2.ΤΙΜΕΣ ΚΛΕΙΣΙΜΑΤΟΣ'!X135/'2.ΤΙΜΕΣ ΚΛΕΙΣΙΜΑΤΟΣ'!X134)</f>
        <v>-5.5686586395823313E-3</v>
      </c>
      <c r="Y134" s="43">
        <f>LN('2.ΤΙΜΕΣ ΚΛΕΙΣΙΜΑΤΟΣ'!Y135/'2.ΤΙΜΕΣ ΚΛΕΙΣΙΜΑΤΟΣ'!Y134)</f>
        <v>1.596385098901399E-2</v>
      </c>
      <c r="Z134" s="43">
        <f>LN('2.ΤΙΜΕΣ ΚΛΕΙΣΙΜΑΤΟΣ'!Z135/'2.ΤΙΜΕΣ ΚΛΕΙΣΙΜΑΤΟΣ'!Z134)</f>
        <v>1.4815085785140682E-2</v>
      </c>
      <c r="AA134" s="43">
        <f>LN('2.ΤΙΜΕΣ ΚΛΕΙΣΙΜΑΤΟΣ'!AA135/'2.ΤΙΜΕΣ ΚΛΕΙΣΙΜΑΤΟΣ'!AA134)</f>
        <v>2.8208763416412634E-3</v>
      </c>
      <c r="AB134" s="43">
        <f>LN('2.ΤΙΜΕΣ ΚΛΕΙΣΙΜΑΤΟΣ'!AB135/'2.ΤΙΜΕΣ ΚΛΕΙΣΙΜΑΤΟΣ'!AB134)</f>
        <v>0</v>
      </c>
      <c r="AC134" s="43">
        <f>LN('2.ΤΙΜΕΣ ΚΛΕΙΣΙΜΑΤΟΣ'!AC135/'2.ΤΙΜΕΣ ΚΛΕΙΣΙΜΑΤΟΣ'!AC134)</f>
        <v>4.7964059207126632E-2</v>
      </c>
      <c r="AD134" s="43">
        <f>LN('2.ΤΙΜΕΣ ΚΛΕΙΣΙΜΑΤΟΣ'!AD135/'2.ΤΙΜΕΣ ΚΛΕΙΣΙΜΑΤΟΣ'!AD134)</f>
        <v>0</v>
      </c>
      <c r="AE134" s="43">
        <f>LN('2.ΤΙΜΕΣ ΚΛΕΙΣΙΜΑΤΟΣ'!AE135/'2.ΤΙΜΕΣ ΚΛΕΙΣΙΜΑΤΟΣ'!AE134)</f>
        <v>2.2704793693757098E-2</v>
      </c>
      <c r="AF134" s="43">
        <f>LN('2.ΤΙΜΕΣ ΚΛΕΙΣΙΜΑΤΟΣ'!AF135/'2.ΤΙΜΕΣ ΚΛΕΙΣΙΜΑΤΟΣ'!AF134)</f>
        <v>1.197619104671562E-2</v>
      </c>
      <c r="AG134" s="43">
        <f>LN('2.ΤΙΜΕΣ ΚΛΕΙΣΙΜΑΤΟΣ'!AG135/'2.ΤΙΜΕΣ ΚΛΕΙΣΙΜΑΤΟΣ'!AG134)</f>
        <v>5.1293294387550481E-2</v>
      </c>
      <c r="AH134" s="43">
        <f>LN('2.ΤΙΜΕΣ ΚΛΕΙΣΙΜΑΤΟΣ'!AH135/'2.ΤΙΜΕΣ ΚΛΕΙΣΙΜΑΤΟΣ'!AH134)</f>
        <v>-3.3204236373025223E-3</v>
      </c>
      <c r="AI134" s="43">
        <f>LN('2.ΤΙΜΕΣ ΚΛΕΙΣΙΜΑΤΟΣ'!AI135/'2.ΤΙΜΕΣ ΚΛΕΙΣΙΜΑΤΟΣ'!AI134)</f>
        <v>8.0321716972642527E-3</v>
      </c>
      <c r="AJ134" s="43">
        <f>LN('2.ΤΙΜΕΣ ΚΛΕΙΣΙΜΑΤΟΣ'!AJ135/'2.ΤΙΜΕΣ ΚΛΕΙΣΙΜΑΤΟΣ'!AJ134)</f>
        <v>2.6787315963649982E-2</v>
      </c>
      <c r="AK134" s="43">
        <f>LN('2.ΤΙΜΕΣ ΚΛΕΙΣΙΜΑΤΟΣ'!AK135/'2.ΤΙΜΕΣ ΚΛΕΙΣΙΜΑΤΟΣ'!AK134)</f>
        <v>0</v>
      </c>
      <c r="AL134" s="43">
        <f>LN('2.ΤΙΜΕΣ ΚΛΕΙΣΙΜΑΤΟΣ'!AL135/'2.ΤΙΜΕΣ ΚΛΕΙΣΙΜΑΤΟΣ'!AL134)</f>
        <v>1.0050335853501506E-2</v>
      </c>
      <c r="AM134" s="43">
        <f>LN('2.ΤΙΜΕΣ ΚΛΕΙΣΙΜΑΤΟΣ'!AM135/'2.ΤΙΜΕΣ ΚΛΕΙΣΙΜΑΤΟΣ'!AM134)</f>
        <v>1.0336009330662073E-2</v>
      </c>
      <c r="AN134" s="43">
        <f>LN('2.ΤΙΜΕΣ ΚΛΕΙΣΙΜΑΤΟΣ'!AN135/'2.ΤΙΜΕΣ ΚΛΕΙΣΙΜΑΤΟΣ'!AN134)</f>
        <v>-1.6607736399660525E-2</v>
      </c>
      <c r="AO134" s="43">
        <f>LN('2.ΤΙΜΕΣ ΚΛΕΙΣΙΜΑΤΟΣ'!AO135/'2.ΤΙΜΕΣ ΚΛΕΙΣΙΜΑΤΟΣ'!AO134)</f>
        <v>1.1904902506318458E-2</v>
      </c>
      <c r="AP134" s="43">
        <f>LN('2.ΤΙΜΕΣ ΚΛΕΙΣΙΜΑΤΟΣ'!AP135/'2.ΤΙΜΕΣ ΚΛΕΙΣΙΜΑΤΟΣ'!AP134)</f>
        <v>1.3947227480850333E-2</v>
      </c>
      <c r="AQ134" s="43">
        <f>LN('2.ΤΙΜΕΣ ΚΛΕΙΣΙΜΑΤΟΣ'!AQ135/'2.ΤΙΜΕΣ ΚΛΕΙΣΙΜΑΤΟΣ'!AQ134)</f>
        <v>3.4502621921525278E-3</v>
      </c>
      <c r="AR134" s="43">
        <f>LN('2.ΤΙΜΕΣ ΚΛΕΙΣΙΜΑΤΟΣ'!AR135/'2.ΤΙΜΕΣ ΚΛΕΙΣΙΜΑΤΟΣ'!AR134)</f>
        <v>1.5873349156290163E-2</v>
      </c>
      <c r="AS134" s="43">
        <f>LN('2.ΤΙΜΕΣ ΚΛΕΙΣΙΜΑΤΟΣ'!AS135/'2.ΤΙΜΕΣ ΚΛΕΙΣΙΜΑΤΟΣ'!AS134)</f>
        <v>2.3810648693718607E-2</v>
      </c>
      <c r="AT134" s="43">
        <f>LN('2.ΤΙΜΕΣ ΚΛΕΙΣΙΜΑΤΟΣ'!AT135/'2.ΤΙΜΕΣ ΚΛΕΙΣΙΜΑΤΟΣ'!AT134)</f>
        <v>1.9204979836050046E-2</v>
      </c>
      <c r="AU134" s="43">
        <f>LN('2.ΤΙΜΕΣ ΚΛΕΙΣΙΜΑΤΟΣ'!AU135/'2.ΤΙΜΕΣ ΚΛΕΙΣΙΜΑΤΟΣ'!AU134)</f>
        <v>9.2525029253636704E-3</v>
      </c>
    </row>
    <row r="135" spans="1:47">
      <c r="A135" s="41">
        <v>43748</v>
      </c>
      <c r="B135" s="43">
        <f>LN('2.ΤΙΜΕΣ ΚΛΕΙΣΙΜΑΤΟΣ'!B136/'2.ΤΙΜΕΣ ΚΛΕΙΣΙΜΑΤΟΣ'!B135)</f>
        <v>-6.6398985868774954E-3</v>
      </c>
      <c r="C135" s="43">
        <f>LN('2.ΤΙΜΕΣ ΚΛΕΙΣΙΜΑΤΟΣ'!C136/'2.ΤΙΜΕΣ ΚΛΕΙΣΙΜΑΤΟΣ'!C135)</f>
        <v>0</v>
      </c>
      <c r="D135" s="43">
        <f>LN('2.ΤΙΜΕΣ ΚΛΕΙΣΙΜΑΤΟΣ'!D136/'2.ΤΙΜΕΣ ΚΛΕΙΣΙΜΑΤΟΣ'!D135)</f>
        <v>1.6043642138595985E-3</v>
      </c>
      <c r="E135" s="43">
        <f>LN('2.ΤΙΜΕΣ ΚΛΕΙΣΙΜΑΤΟΣ'!E136/'2.ΤΙΜΕΣ ΚΛΕΙΣΙΜΑΤΟΣ'!E135)</f>
        <v>2.0238786041298737E-2</v>
      </c>
      <c r="F135" s="43">
        <f>LN('2.ΤΙΜΕΣ ΚΛΕΙΣΙΜΑΤΟΣ'!F136/'2.ΤΙΜΕΣ ΚΛΕΙΣΙΜΑΤΟΣ'!F135)</f>
        <v>-2.4844733276620564E-3</v>
      </c>
      <c r="G135" s="43">
        <f>LN('2.ΤΙΜΕΣ ΚΛΕΙΣΙΜΑΤΟΣ'!G136/'2.ΤΙΜΕΣ ΚΛΕΙΣΙΜΑΤΟΣ'!G135)</f>
        <v>2.3530497410194036E-2</v>
      </c>
      <c r="H135" s="43">
        <f>LN('2.ΤΙΜΕΣ ΚΛΕΙΣΙΜΑΤΟΣ'!H136/'2.ΤΙΜΕΣ ΚΛΕΙΣΙΜΑΤΟΣ'!H135)</f>
        <v>-6.688988150796652E-3</v>
      </c>
      <c r="I135" s="43">
        <f>LN('2.ΤΙΜΕΣ ΚΛΕΙΣΙΜΑΤΟΣ'!I136/'2.ΤΙΜΕΣ ΚΛΕΙΣΙΜΑΤΟΣ'!I135)</f>
        <v>5.3042735984480921E-2</v>
      </c>
      <c r="J135" s="43">
        <f>LN('2.ΤΙΜΕΣ ΚΛΕΙΣΙΜΑΤΟΣ'!J136/'2.ΤΙΜΕΣ ΚΛΕΙΣΙΜΑΤΟΣ'!J135)</f>
        <v>4.0005334613698991E-2</v>
      </c>
      <c r="K135" s="43">
        <f>LN('2.ΤΙΜΕΣ ΚΛΕΙΣΙΜΑΤΟΣ'!K136/'2.ΤΙΜΕΣ ΚΛΕΙΣΙΜΑΤΟΣ'!K135)</f>
        <v>8.1715027128614042E-3</v>
      </c>
      <c r="L135" s="43">
        <f>LN('2.ΤΙΜΕΣ ΚΛΕΙΣΙΜΑΤΟΣ'!L136/'2.ΤΙΜΕΣ ΚΛΕΙΣΙΜΑΤΟΣ'!L135)</f>
        <v>0</v>
      </c>
      <c r="M135" s="43">
        <f>LN('2.ΤΙΜΕΣ ΚΛΕΙΣΙΜΑΤΟΣ'!M136/'2.ΤΙΜΕΣ ΚΛΕΙΣΙΜΑΤΟΣ'!M135)</f>
        <v>1.1049836186584935E-2</v>
      </c>
      <c r="N135" s="43">
        <f>LN('2.ΤΙΜΕΣ ΚΛΕΙΣΙΜΑΤΟΣ'!N136/'2.ΤΙΜΕΣ ΚΛΕΙΣΙΜΑΤΟΣ'!N135)</f>
        <v>5.5441182594360263E-3</v>
      </c>
      <c r="O135" s="43">
        <f>LN('2.ΤΙΜΕΣ ΚΛΕΙΣΙΜΑΤΟΣ'!O136/'2.ΤΙΜΕΣ ΚΛΕΙΣΙΜΑΤΟΣ'!O135)</f>
        <v>-1.3080446600154524E-3</v>
      </c>
      <c r="P135" s="43">
        <f>LN('2.ΤΙΜΕΣ ΚΛΕΙΣΙΜΑΤΟΣ'!P136/'2.ΤΙΜΕΣ ΚΛΕΙΣΙΜΑΤΟΣ'!P135)</f>
        <v>-1.5396461855927501E-3</v>
      </c>
      <c r="Q135" s="43">
        <f>LN('2.ΤΙΜΕΣ ΚΛΕΙΣΙΜΑΤΟΣ'!Q136/'2.ΤΙΜΕΣ ΚΛΕΙΣΙΜΑΤΟΣ'!Q135)</f>
        <v>4.4066356605117631E-2</v>
      </c>
      <c r="R135" s="43">
        <f>LN('2.ΤΙΜΕΣ ΚΛΕΙΣΙΜΑΤΟΣ'!R136/'2.ΤΙΜΕΣ ΚΛΕΙΣΙΜΑΤΟΣ'!R135)</f>
        <v>6.8259650703998906E-3</v>
      </c>
      <c r="S135" s="43">
        <f>LN('2.ΤΙΜΕΣ ΚΛΕΙΣΙΜΑΤΟΣ'!S136/'2.ΤΙΜΕΣ ΚΛΕΙΣΙΜΑΤΟΣ'!S135)</f>
        <v>-1.546422569758159E-2</v>
      </c>
      <c r="T135" s="43">
        <f>LN('2.ΤΙΜΕΣ ΚΛΕΙΣΙΜΑΤΟΣ'!T136/'2.ΤΙΜΕΣ ΚΛΕΙΣΙΜΑΤΟΣ'!T135)</f>
        <v>6.978395381462498E-3</v>
      </c>
      <c r="U135" s="43">
        <f>LN('2.ΤΙΜΕΣ ΚΛΕΙΣΙΜΑΤΟΣ'!U136/'2.ΤΙΜΕΣ ΚΛΕΙΣΙΜΑΤΟΣ'!U135)</f>
        <v>-4.8661896511730113E-3</v>
      </c>
      <c r="V135" s="43">
        <f>LN('2.ΤΙΜΕΣ ΚΛΕΙΣΙΜΑΤΟΣ'!V136/'2.ΤΙΜΕΣ ΚΛΕΙΣΙΜΑΤΟΣ'!V135)</f>
        <v>1.2848142477849059E-2</v>
      </c>
      <c r="W135" s="43">
        <f>LN('2.ΤΙΜΕΣ ΚΛΕΙΣΙΜΑΤΟΣ'!W136/'2.ΤΙΜΕΣ ΚΛΕΙΣΙΜΑΤΟΣ'!W135)</f>
        <v>-5.0441468866780255E-3</v>
      </c>
      <c r="X135" s="43">
        <f>LN('2.ΤΙΜΕΣ ΚΛΕΙΣΙΜΑΤΟΣ'!X136/'2.ΤΙΜΕΣ ΚΛΕΙΣΙΜΑΤΟΣ'!X135)</f>
        <v>1.1248071889484089E-2</v>
      </c>
      <c r="Y135" s="43">
        <f>LN('2.ΤΙΜΕΣ ΚΛΕΙΣΙΜΑΤΟΣ'!Y136/'2.ΤΙΜΕΣ ΚΛΕΙΣΙΜΑΤΟΣ'!Y135)</f>
        <v>6.7644000885420628E-3</v>
      </c>
      <c r="Z135" s="43">
        <f>LN('2.ΤΙΜΕΣ ΚΛΕΙΣΙΜΑΤΟΣ'!Z136/'2.ΤΙΜΕΣ ΚΛΕΙΣΙΜΑΤΟΣ'!Z135)</f>
        <v>0</v>
      </c>
      <c r="AA135" s="43">
        <f>LN('2.ΤΙΜΕΣ ΚΛΕΙΣΙΜΑΤΟΣ'!AA136/'2.ΤΙΜΕΣ ΚΛΕΙΣΙΜΑΤΟΣ'!AA135)</f>
        <v>0</v>
      </c>
      <c r="AB135" s="43">
        <f>LN('2.ΤΙΜΕΣ ΚΛΕΙΣΙΜΑΤΟΣ'!AB136/'2.ΤΙΜΕΣ ΚΛΕΙΣΙΜΑΤΟΣ'!AB135)</f>
        <v>-2.5073637552115963E-2</v>
      </c>
      <c r="AC135" s="43">
        <f>LN('2.ΤΙΜΕΣ ΚΛΕΙΣΙΜΑΤΟΣ'!AC136/'2.ΤΙΜΕΣ ΚΛΕΙΣΙΜΑΤΟΣ'!AC135)</f>
        <v>-1.2474174225175688E-2</v>
      </c>
      <c r="AD135" s="43">
        <f>LN('2.ΤΙΜΕΣ ΚΛΕΙΣΙΜΑΤΟΣ'!AD136/'2.ΤΙΜΕΣ ΚΛΕΙΣΙΜΑΤΟΣ'!AD135)</f>
        <v>3.4059019591918892E-2</v>
      </c>
      <c r="AE135" s="43">
        <f>LN('2.ΤΙΜΕΣ ΚΛΕΙΣΙΜΑΤΟΣ'!AE136/'2.ΤΙΜΕΣ ΚΛΕΙΣΙΜΑΤΟΣ'!AE135)</f>
        <v>-2.688890021633129E-2</v>
      </c>
      <c r="AF135" s="43">
        <f>LN('2.ΤΙΜΕΣ ΚΛΕΙΣΙΜΑΤΟΣ'!AF136/'2.ΤΙΜΕΣ ΚΛΕΙΣΙΜΑΤΟΣ'!AF135)</f>
        <v>1.7699577099400857E-2</v>
      </c>
      <c r="AG135" s="43">
        <f>LN('2.ΤΙΜΕΣ ΚΛΕΙΣΙΜΑΤΟΣ'!AG136/'2.ΤΙΜΕΣ ΚΛΕΙΣΙΜΑΤΟΣ'!AG135)</f>
        <v>1.242251999855711E-2</v>
      </c>
      <c r="AH135" s="43">
        <f>LN('2.ΤΙΜΕΣ ΚΛΕΙΣΙΜΑΤΟΣ'!AH136/'2.ΤΙΜΕΣ ΚΛΕΙΣΙΜΑΤΟΣ'!AH135)</f>
        <v>1.3216051391526462E-2</v>
      </c>
      <c r="AI135" s="43">
        <f>LN('2.ΤΙΜΕΣ ΚΛΕΙΣΙΜΑΤΟΣ'!AI136/'2.ΤΙΜΕΣ ΚΛΕΙΣΙΜΑΤΟΣ'!AI135)</f>
        <v>-8.0321716972642666E-3</v>
      </c>
      <c r="AJ135" s="43">
        <f>LN('2.ΤΙΜΕΣ ΚΛΕΙΣΙΜΑΤΟΣ'!AJ136/'2.ΤΙΜΕΣ ΚΛΕΙΣΙΜΑΤΟΣ'!AJ135)</f>
        <v>8.7719860728370409E-3</v>
      </c>
      <c r="AK135" s="43">
        <f>LN('2.ΤΙΜΕΣ ΚΛΕΙΣΙΜΑΤΟΣ'!AK136/'2.ΤΙΜΕΣ ΚΛΕΙΣΙΜΑΤΟΣ'!AK135)</f>
        <v>1.5113637810048106E-2</v>
      </c>
      <c r="AL135" s="43">
        <f>LN('2.ΤΙΜΕΣ ΚΛΕΙΣΙΜΑΤΟΣ'!AL136/'2.ΤΙΜΕΣ ΚΛΕΙΣΙΜΑΤΟΣ'!AL135)</f>
        <v>-3.0459207484708574E-2</v>
      </c>
      <c r="AM135" s="43">
        <f>LN('2.ΤΙΜΕΣ ΚΛΕΙΣΙΜΑΤΟΣ'!AM136/'2.ΤΙΜΕΣ ΚΛΕΙΣΙΜΑΤΟΣ'!AM135)</f>
        <v>2.5673955052457334E-3</v>
      </c>
      <c r="AN135" s="43">
        <f>LN('2.ΤΙΜΕΣ ΚΛΕΙΣΙΜΑΤΟΣ'!AN136/'2.ΤΙΜΕΣ ΚΛΕΙΣΙΜΑΤΟΣ'!AN135)</f>
        <v>2.1302580703868187E-2</v>
      </c>
      <c r="AO135" s="43">
        <f>LN('2.ΤΙΜΕΣ ΚΛΕΙΣΙΜΑΤΟΣ'!AO136/'2.ΤΙΜΕΣ ΚΛΕΙΣΙΜΑΤΟΣ'!AO135)</f>
        <v>1.1764841579586431E-2</v>
      </c>
      <c r="AP135" s="43">
        <f>LN('2.ΤΙΜΕΣ ΚΛΕΙΣΙΜΑΤΟΣ'!AP136/'2.ΤΙΜΕΣ ΚΛΕΙΣΙΜΑΤΟΣ'!AP135)</f>
        <v>-1.1142176553241848E-2</v>
      </c>
      <c r="AQ135" s="43">
        <f>LN('2.ΤΙΜΕΣ ΚΛΕΙΣΙΜΑΤΟΣ'!AQ136/'2.ΤΙΜΕΣ ΚΛΕΙΣΙΜΑΤΟΣ'!AQ135)</f>
        <v>2.1579485873682639E-2</v>
      </c>
      <c r="AR135" s="43">
        <f>LN('2.ΤΙΜΕΣ ΚΛΕΙΣΙΜΑΤΟΣ'!AR136/'2.ΤΙΜΕΣ ΚΛΕΙΣΙΜΑΤΟΣ'!AR135)</f>
        <v>2.142243558740671E-2</v>
      </c>
      <c r="AS135" s="43">
        <f>LN('2.ΤΙΜΕΣ ΚΛΕΙΣΙΜΑΤΟΣ'!AS136/'2.ΤΙΜΕΣ ΚΛΕΙΣΙΜΑΤΟΣ'!AS135)</f>
        <v>-5.8997221271882708E-3</v>
      </c>
      <c r="AT135" s="43">
        <f>LN('2.ΤΙΜΕΣ ΚΛΕΙΣΙΜΑΤΟΣ'!AT136/'2.ΤΙΜΕΣ ΚΛΕΙΣΙΜΑΤΟΣ'!AT135)</f>
        <v>-3.5965148693515123E-2</v>
      </c>
      <c r="AU135" s="43">
        <f>LN('2.ΤΙΜΕΣ ΚΛΕΙΣΙΜΑΤΟΣ'!AU136/'2.ΤΙΜΕΣ ΚΛΕΙΣΙΜΑΤΟΣ'!AU135)</f>
        <v>8.9770433013739662E-3</v>
      </c>
    </row>
    <row r="136" spans="1:47">
      <c r="A136" s="41">
        <v>43749</v>
      </c>
      <c r="B136" s="43">
        <f>LN('2.ΤΙΜΕΣ ΚΛΕΙΣΙΜΑΤΟΣ'!B137/'2.ΤΙΜΕΣ ΚΛΕΙΣΙΜΑΤΟΣ'!B136)</f>
        <v>1.254371847853032E-2</v>
      </c>
      <c r="C136" s="43">
        <f>LN('2.ΤΙΜΕΣ ΚΛΕΙΣΙΜΑΤΟΣ'!C137/'2.ΤΙΜΕΣ ΚΛΕΙΣΙΜΑΤΟΣ'!C136)</f>
        <v>0</v>
      </c>
      <c r="D136" s="43">
        <f>LN('2.ΤΙΜΕΣ ΚΛΕΙΣΙΜΑΤΟΣ'!D137/'2.ΤΙΜΕΣ ΚΛΕΙΣΙΜΑΤΟΣ'!D136)</f>
        <v>1.9578380800139451E-2</v>
      </c>
      <c r="E136" s="43">
        <f>LN('2.ΤΙΜΕΣ ΚΛΕΙΣΙΜΑΤΟΣ'!E137/'2.ΤΙΜΕΣ ΚΛΕΙΣΙΜΑΤΟΣ'!E136)</f>
        <v>2.4448249120056914E-2</v>
      </c>
      <c r="F136" s="43">
        <f>LN('2.ΤΙΜΕΣ ΚΛΕΙΣΙΜΑΤΟΣ'!F137/'2.ΤΙΜΕΣ ΚΛΕΙΣΙΜΑΤΟΣ'!F136)</f>
        <v>4.0224801310509012E-2</v>
      </c>
      <c r="G136" s="43">
        <f>LN('2.ΤΙΜΕΣ ΚΛΕΙΣΙΜΑΤΟΣ'!G137/'2.ΤΙΜΕΣ ΚΛΕΙΣΙΜΑΤΟΣ'!G136)</f>
        <v>2.9784561357527495E-2</v>
      </c>
      <c r="H136" s="43">
        <f>LN('2.ΤΙΜΕΣ ΚΛΕΙΣΙΜΑΤΟΣ'!H137/'2.ΤΙΜΕΣ ΚΛΕΙΣΙΜΑΤΟΣ'!H136)</f>
        <v>1.1439590909394596E-2</v>
      </c>
      <c r="I136" s="43">
        <f>LN('2.ΤΙΜΕΣ ΚΛΕΙΣΙΜΑΤΟΣ'!I137/'2.ΤΙΜΕΣ ΚΛΕΙΣΙΜΑΤΟΣ'!I136)</f>
        <v>4.4505239936551595E-2</v>
      </c>
      <c r="J136" s="43">
        <f>LN('2.ΤΙΜΕΣ ΚΛΕΙΣΙΜΑΤΟΣ'!J137/'2.ΤΙΜΕΣ ΚΛΕΙΣΙΜΑΤΟΣ'!J136)</f>
        <v>5.7158413839948831E-2</v>
      </c>
      <c r="K136" s="43">
        <f>LN('2.ΤΙΜΕΣ ΚΛΕΙΣΙΜΑΤΟΣ'!K137/'2.ΤΙΜΕΣ ΚΛΕΙΣΙΜΑΤΟΣ'!K136)</f>
        <v>-4.1490867161760965E-3</v>
      </c>
      <c r="L136" s="43">
        <f>LN('2.ΤΙΜΕΣ ΚΛΕΙΣΙΜΑΤΟΣ'!L137/'2.ΤΙΜΕΣ ΚΛΕΙΣΙΜΑΤΟΣ'!L136)</f>
        <v>1.5682496000617777E-2</v>
      </c>
      <c r="M136" s="43">
        <f>LN('2.ΤΙΜΕΣ ΚΛΕΙΣΙΜΑΤΟΣ'!M137/'2.ΤΙΜΕΣ ΚΛΕΙΣΙΜΑΤΟΣ'!M136)</f>
        <v>-1.0995053334168876E-3</v>
      </c>
      <c r="N136" s="43">
        <f>LN('2.ΤΙΜΕΣ ΚΛΕΙΣΙΜΑΤΟΣ'!N137/'2.ΤΙΜΕΣ ΚΛΕΙΣΙΜΑΤΟΣ'!N136)</f>
        <v>1.2538024358975174E-2</v>
      </c>
      <c r="O136" s="43">
        <f>LN('2.ΤΙΜΕΣ ΚΛΕΙΣΙΜΑΤΟΣ'!O137/'2.ΤΙΜΕΣ ΚΛΕΙΣΙΜΑΤΟΣ'!O136)</f>
        <v>1.1711259420901633E-2</v>
      </c>
      <c r="P136" s="43">
        <f>LN('2.ΤΙΜΕΣ ΚΛΕΙΣΙΜΑΤΟΣ'!P137/'2.ΤΙΜΕΣ ΚΛΕΙΣΙΜΑΤΟΣ'!P136)</f>
        <v>2.2849432772343737E-2</v>
      </c>
      <c r="Q136" s="43">
        <f>LN('2.ΤΙΜΕΣ ΚΛΕΙΣΙΜΑΤΟΣ'!Q137/'2.ΤΙΜΕΣ ΚΛΕΙΣΙΜΑΤΟΣ'!Q136)</f>
        <v>5.1646588862166762E-2</v>
      </c>
      <c r="R136" s="43">
        <f>LN('2.ΤΙΜΕΣ ΚΛΕΙΣΙΜΑΤΟΣ'!R137/'2.ΤΙΜΕΣ ΚΛΕΙΣΙΜΑΤΟΣ'!R136)</f>
        <v>5.2347160644086552E-2</v>
      </c>
      <c r="S136" s="43">
        <f>LN('2.ΤΙΜΕΣ ΚΛΕΙΣΙΜΑΤΟΣ'!S137/'2.ΤΙΜΕΣ ΚΛΕΙΣΙΜΑΤΟΣ'!S136)</f>
        <v>1.2903404835907782E-2</v>
      </c>
      <c r="T136" s="43">
        <f>LN('2.ΤΙΜΕΣ ΚΛΕΙΣΙΜΑΤΟΣ'!T137/'2.ΤΙΜΕΣ ΚΛΕΙΣΙΜΑΤΟΣ'!T136)</f>
        <v>2.0647670893468761E-2</v>
      </c>
      <c r="U136" s="43">
        <f>LN('2.ΤΙΜΕΣ ΚΛΕΙΣΙΜΑΤΟΣ'!U137/'2.ΤΙΜΕΣ ΚΛΕΙΣΙΜΑΤΟΣ'!U136)</f>
        <v>9.7088141269609032E-3</v>
      </c>
      <c r="V136" s="43">
        <f>LN('2.ΤΙΜΕΣ ΚΛΕΙΣΙΜΑΤΟΣ'!V137/'2.ΤΙΜΕΣ ΚΛΕΙΣΙΜΑΤΟΣ'!V136)</f>
        <v>2.1253993123135366E-3</v>
      </c>
      <c r="W136" s="43">
        <f>LN('2.ΤΙΜΕΣ ΚΛΕΙΣΙΜΑΤΟΣ'!W137/'2.ΤΙΜΕΣ ΚΛΕΙΣΙΜΑΤΟΣ'!W136)</f>
        <v>1.0062977998620746E-2</v>
      </c>
      <c r="X136" s="43">
        <f>LN('2.ΤΙΜΕΣ ΚΛΕΙΣΙΜΑΤΟΣ'!X137/'2.ΤΙΜΕΣ ΚΛΕΙΣΙΜΑΤΟΣ'!X136)</f>
        <v>8.3186944288008713E-3</v>
      </c>
      <c r="Y136" s="43">
        <f>LN('2.ΤΙΜΕΣ ΚΛΕΙΣΙΜΑΤΟΣ'!Y137/'2.ΤΙΜΕΣ ΚΛΕΙΣΙΜΑΤΟΣ'!Y136)</f>
        <v>4.4843124473285863E-3</v>
      </c>
      <c r="Z136" s="43">
        <f>LN('2.ΤΙΜΕΣ ΚΛΕΙΣΙΜΑΤΟΣ'!Z137/'2.ΤΙΜΕΣ ΚΛΕΙΣΙΜΑΤΟΣ'!Z136)</f>
        <v>0</v>
      </c>
      <c r="AA136" s="43">
        <f>LN('2.ΤΙΜΕΣ ΚΛΕΙΣΙΜΑΤΟΣ'!AA137/'2.ΤΙΜΕΣ ΚΛΕΙΣΙΜΑΤΟΣ'!AA136)</f>
        <v>-2.8573372444055885E-2</v>
      </c>
      <c r="AB136" s="43">
        <f>LN('2.ΤΙΜΕΣ ΚΛΕΙΣΙΜΑΤΟΣ'!AB137/'2.ΤΙΜΕΣ ΚΛΕΙΣΙΜΑΤΟΣ'!AB136)</f>
        <v>2.6976587698202076E-2</v>
      </c>
      <c r="AC136" s="43">
        <f>LN('2.ΤΙΜΕΣ ΚΛΕΙΣΙΜΑΤΟΣ'!AC137/'2.ΤΙΜΕΣ ΚΛΕΙΣΙΜΑΤΟΣ'!AC136)</f>
        <v>-9.810870564259222E-3</v>
      </c>
      <c r="AD136" s="43">
        <f>LN('2.ΤΙΜΕΣ ΚΛΕΙΣΙΜΑΤΟΣ'!AD137/'2.ΤΙΜΕΣ ΚΛΕΙΣΙΜΑΤΟΣ'!AD136)</f>
        <v>3.8810841086179659E-2</v>
      </c>
      <c r="AE136" s="43">
        <f>LN('2.ΤΙΜΕΣ ΚΛΕΙΣΙΜΑΤΟΣ'!AE137/'2.ΤΙΜΕΣ ΚΛΕΙΣΙΜΑΤΟΣ'!AE136)</f>
        <v>8.3507792174198885E-3</v>
      </c>
      <c r="AF136" s="43">
        <f>LN('2.ΤΙΜΕΣ ΚΛΕΙΣΙΜΑΤΟΣ'!AF137/'2.ΤΙΜΕΣ ΚΛΕΙΣΙΜΑΤΟΣ'!AF136)</f>
        <v>4.2364663643249145E-2</v>
      </c>
      <c r="AG136" s="43">
        <f>LN('2.ΤΙΜΕΣ ΚΛΕΙΣΙΜΑΤΟΣ'!AG137/'2.ΤΙΜΕΣ ΚΛΕΙΣΙΜΑΤΟΣ'!AG136)</f>
        <v>3.1594365418216967E-2</v>
      </c>
      <c r="AH136" s="43">
        <f>LN('2.ΤΙΜΕΣ ΚΛΕΙΣΙΜΑΤΟΣ'!AH137/'2.ΤΙΜΕΣ ΚΛΕΙΣΙΜΑΤΟΣ'!AH136)</f>
        <v>1.7354014693151572E-2</v>
      </c>
      <c r="AI136" s="43">
        <f>LN('2.ΤΙΜΕΣ ΚΛΕΙΣΙΜΑΤΟΣ'!AI137/'2.ΤΙΜΕΣ ΚΛΕΙΣΙΜΑΤΟΣ'!AI136)</f>
        <v>2.3905520853554386E-2</v>
      </c>
      <c r="AJ136" s="43">
        <f>LN('2.ΤΙΜΕΣ ΚΛΕΙΣΙΜΑΤΟΣ'!AJ137/'2.ΤΙΜΕΣ ΚΛΕΙΣΙΜΑΤΟΣ'!AJ136)</f>
        <v>0</v>
      </c>
      <c r="AK136" s="43">
        <f>LN('2.ΤΙΜΕΣ ΚΛΕΙΣΙΜΑΤΟΣ'!AK137/'2.ΤΙΜΕΣ ΚΛΕΙΣΙΜΑΤΟΣ'!AK136)</f>
        <v>2.4692612590371414E-2</v>
      </c>
      <c r="AL136" s="43">
        <f>LN('2.ΤΙΜΕΣ ΚΛΕΙΣΙΜΑΤΟΣ'!AL137/'2.ΤΙΜΕΣ ΚΛΕΙΣΙΜΑΤΟΣ'!AL136)</f>
        <v>6.9679920637989806E-2</v>
      </c>
      <c r="AM136" s="43">
        <f>LN('2.ΤΙΜΕΣ ΚΛΕΙΣΙΜΑΤΟΣ'!AM137/'2.ΤΙΜΕΣ ΚΛΕΙΣΙΜΑΤΟΣ'!AM136)</f>
        <v>-2.5673955052458097E-3</v>
      </c>
      <c r="AN136" s="43">
        <f>LN('2.ΤΙΜΕΣ ΚΛΕΙΣΙΜΑΤΟΣ'!AN137/'2.ΤΙΜΕΣ ΚΛΕΙΣΙΜΑΤΟΣ'!AN136)</f>
        <v>9.5948681475479622E-2</v>
      </c>
      <c r="AO136" s="43">
        <f>LN('2.ΤΙΜΕΣ ΚΛΕΙΣΙΜΑΤΟΣ'!AO137/'2.ΤΙΜΕΣ ΚΛΕΙΣΙΜΑΤΟΣ'!AO136)</f>
        <v>2.5975486403260521E-2</v>
      </c>
      <c r="AP136" s="43">
        <f>LN('2.ΤΙΜΕΣ ΚΛΕΙΣΙΜΑΤΟΣ'!AP137/'2.ΤΙΜΕΣ ΚΛΕΙΣΙΜΑΤΟΣ'!AP136)</f>
        <v>-8.4388686458645949E-3</v>
      </c>
      <c r="AQ136" s="43">
        <f>LN('2.ΤΙΜΕΣ ΚΛΕΙΣΙΜΑΤΟΣ'!AQ137/'2.ΤΙΜΕΣ ΚΛΕΙΣΙΜΑΤΟΣ'!AQ136)</f>
        <v>2.0022915875107732E-2</v>
      </c>
      <c r="AR136" s="43">
        <f>LN('2.ΤΙΜΕΣ ΚΛΕΙΣΙΜΑΤΟΣ'!AR137/'2.ΤΙΜΕΣ ΚΛΕΙΣΙΜΑΤΟΣ'!AR136)</f>
        <v>2.4739606175755751E-2</v>
      </c>
      <c r="AS136" s="43">
        <f>LN('2.ΤΙΜΕΣ ΚΛΕΙΣΙΜΑΤΟΣ'!AS137/'2.ΤΙΜΕΣ ΚΛΕΙΣΙΜΑΤΟΣ'!AS136)</f>
        <v>2.6278884463840434E-2</v>
      </c>
      <c r="AT136" s="43">
        <f>LN('2.ΤΙΜΕΣ ΚΛΕΙΣΙΜΑΤΟΣ'!AT137/'2.ΤΙΜΕΣ ΚΛΕΙΣΙΜΑΤΟΣ'!AT136)</f>
        <v>2.7779564107075671E-2</v>
      </c>
      <c r="AU136" s="43">
        <f>LN('2.ΤΙΜΕΣ ΚΛΕΙΣΙΜΑΤΟΣ'!AU137/'2.ΤΙΜΕΣ ΚΛΕΙΣΙΜΑΤΟΣ'!AU136)</f>
        <v>1.9739074201519914E-2</v>
      </c>
    </row>
    <row r="137" spans="1:47">
      <c r="A137" s="41">
        <v>43752</v>
      </c>
      <c r="B137" s="43">
        <f>LN('2.ΤΙΜΕΣ ΚΛΕΙΣΙΜΑΤΟΣ'!B138/'2.ΤΙΜΕΣ ΚΛΕΙΣΙΜΑΤΟΣ'!B137)</f>
        <v>5.1804640119131329E-3</v>
      </c>
      <c r="C137" s="43">
        <f>LN('2.ΤΙΜΕΣ ΚΛΕΙΣΙΜΑΤΟΣ'!C138/'2.ΤΙΜΕΣ ΚΛΕΙΣΙΜΑΤΟΣ'!C137)</f>
        <v>3.0721990369700588E-3</v>
      </c>
      <c r="D137" s="43">
        <f>LN('2.ΤΙΜΕΣ ΚΛΕΙΣΙΜΑΤΟΣ'!D138/'2.ΤΙΜΕΣ ΚΛΕΙΣΙΜΑΤΟΣ'!D137)</f>
        <v>-5.2537685203980136E-3</v>
      </c>
      <c r="E137" s="43">
        <f>LN('2.ΤΙΜΕΣ ΚΛΕΙΣΙΜΑΤΟΣ'!E138/'2.ΤΙΜΕΣ ΚΛΕΙΣΙΜΑΤΟΣ'!E137)</f>
        <v>-1.6816864857577447E-2</v>
      </c>
      <c r="F137" s="43">
        <f>LN('2.ΤΙΜΕΣ ΚΛΕΙΣΙΜΑΤΟΣ'!F138/'2.ΤΙΜΕΣ ΚΛΕΙΣΙΜΑΤΟΣ'!F137)</f>
        <v>-8.3983696988314937E-3</v>
      </c>
      <c r="G137" s="43">
        <f>LN('2.ΤΙΜΕΣ ΚΛΕΙΣΙΜΑΤΟΣ'!G138/'2.ΤΙΜΕΣ ΚΛΕΙΣΙΜΑΤΟΣ'!G137)</f>
        <v>-5.6593246689014666E-3</v>
      </c>
      <c r="H137" s="43">
        <f>LN('2.ΤΙΜΕΣ ΚΛΕΙΣΙΜΑΤΟΣ'!H138/'2.ΤΙΜΕΣ ΚΛΕΙΣΙΜΑΤΟΣ'!H137)</f>
        <v>1.8939399600707832E-3</v>
      </c>
      <c r="I137" s="43">
        <f>LN('2.ΤΙΜΕΣ ΚΛΕΙΣΙΜΑΤΟΣ'!I138/'2.ΤΙΜΕΣ ΚΛΕΙΣΙΜΑΤΟΣ'!I137)</f>
        <v>1.1114475338541856E-2</v>
      </c>
      <c r="J137" s="43">
        <f>LN('2.ΤΙΜΕΣ ΚΛΕΙΣΙΜΑΤΟΣ'!J138/'2.ΤΙΜΕΣ ΚΛΕΙΣΙΜΑΤΟΣ'!J137)</f>
        <v>1.2513965291474326E-2</v>
      </c>
      <c r="K137" s="43">
        <f>LN('2.ΤΙΜΕΣ ΚΛΕΙΣΙΜΑΤΟΣ'!K138/'2.ΤΙΜΕΣ ΚΛΕΙΣΙΜΑΤΟΣ'!K137)</f>
        <v>-1.4877143025475045E-2</v>
      </c>
      <c r="L137" s="43">
        <f>LN('2.ΤΙΜΕΣ ΚΛΕΙΣΙΜΑΤΟΣ'!L138/'2.ΤΙΜΕΣ ΚΛΕΙΣΙΜΑΤΟΣ'!L137)</f>
        <v>2.0725396019723751E-3</v>
      </c>
      <c r="M137" s="43">
        <f>LN('2.ΤΙΜΕΣ ΚΛΕΙΣΙΜΑΤΟΣ'!M138/'2.ΤΙΜΕΣ ΚΛΕΙΣΙΜΑΤΟΣ'!M137)</f>
        <v>6.5789710980425605E-3</v>
      </c>
      <c r="N137" s="43">
        <f>LN('2.ΤΙΜΕΣ ΚΛΕΙΣΙΜΑΤΟΣ'!N138/'2.ΤΙΜΕΣ ΚΛΕΙΣΙΜΑΤΟΣ'!N137)</f>
        <v>-2.8038711766186193E-3</v>
      </c>
      <c r="O137" s="43">
        <f>LN('2.ΤΙΜΕΣ ΚΛΕΙΣΙΜΑΤΟΣ'!O138/'2.ΤΙΜΕΣ ΚΛΕΙΣΙΜΑΤΟΣ'!O137)</f>
        <v>9.0148710962153593E-3</v>
      </c>
      <c r="P137" s="43">
        <f>LN('2.ΤΙΜΕΣ ΚΛΕΙΣΙΜΑΤΟΣ'!P138/'2.ΤΙΜΕΣ ΚΛΕΙΣΙΜΑΤΟΣ'!P137)</f>
        <v>1.5048911794203067E-3</v>
      </c>
      <c r="Q137" s="43">
        <f>LN('2.ΤΙΜΕΣ ΚΛΕΙΣΙΜΑΤΟΣ'!Q138/'2.ΤΙΜΕΣ ΚΛΕΙΣΙΜΑΤΟΣ'!Q137)</f>
        <v>6.6889881507967101E-3</v>
      </c>
      <c r="R137" s="43">
        <f>LN('2.ΤΙΜΕΣ ΚΛΕΙΣΙΜΑΤΟΣ'!R138/'2.ΤΙΜΕΣ ΚΛΕΙΣΙΜΑΤΟΣ'!R137)</f>
        <v>-2.549991060789859E-2</v>
      </c>
      <c r="S137" s="43">
        <f>LN('2.ΤΙΜΕΣ ΚΛΕΙΣΙΜΑΤΟΣ'!S138/'2.ΤΙΜΕΣ ΚΛΕΙΣΙΜΑΤΟΣ'!S137)</f>
        <v>-5.1413995004186523E-3</v>
      </c>
      <c r="T137" s="43">
        <f>LN('2.ΤΙΜΕΣ ΚΛΕΙΣΙΜΑΤΟΣ'!T138/'2.ΤΙΜΕΣ ΚΛΕΙΣΙΜΑΤΟΣ'!T137)</f>
        <v>-2.728514653203951E-3</v>
      </c>
      <c r="U137" s="43">
        <f>LN('2.ΤΙΜΕΣ ΚΛΕΙΣΙΜΑΤΟΣ'!U138/'2.ΤΙΜΕΣ ΚΛΕΙΣΙΜΑΤΟΣ'!U137)</f>
        <v>-7.2727593290795849E-3</v>
      </c>
      <c r="V137" s="43">
        <f>LN('2.ΤΙΜΕΣ ΚΛΕΙΣΙΜΑΤΟΣ'!V138/'2.ΤΙΜΕΣ ΚΛΕΙΣΙΜΑΤΟΣ'!V137)</f>
        <v>-2.7988909902232899E-2</v>
      </c>
      <c r="W137" s="43">
        <f>LN('2.ΤΙΜΕΣ ΚΛΕΙΣΙΜΑΤΟΣ'!W138/'2.ΤΙΜΕΣ ΚΛΕΙΣΙΜΑΤΟΣ'!W137)</f>
        <v>-1.2523483164658376E-3</v>
      </c>
      <c r="X137" s="43">
        <f>LN('2.ΤΙΜΕΣ ΚΛΕΙΣΙΜΑΤΟΣ'!X138/'2.ΤΙΜΕΣ ΚΛΕΙΣΙΜΑΤΟΣ'!X137)</f>
        <v>-1.3998107678702642E-2</v>
      </c>
      <c r="Y137" s="43">
        <f>LN('2.ΤΙΜΕΣ ΚΛΕΙΣΙΜΑΤΟΣ'!Y138/'2.ΤΙΜΕΣ ΚΛΕΙΣΙΜΑΤΟΣ'!Y137)</f>
        <v>0</v>
      </c>
      <c r="Z137" s="43">
        <f>LN('2.ΤΙΜΕΣ ΚΛΕΙΣΙΜΑΤΟΣ'!Z138/'2.ΤΙΜΕΣ ΚΛΕΙΣΙΜΑΤΟΣ'!Z137)</f>
        <v>-1.1090686694158284E-2</v>
      </c>
      <c r="AA137" s="43">
        <f>LN('2.ΤΙΜΕΣ ΚΛΕΙΣΙΜΑΤΟΣ'!AA138/'2.ΤΙΜΕΣ ΚΛΕΙΣΙΜΑΤΟΣ'!AA137)</f>
        <v>3.1386313820670662E-2</v>
      </c>
      <c r="AB137" s="43">
        <f>LN('2.ΤΙΜΕΣ ΚΛΕΙΣΙΜΑΤΟΣ'!AB138/'2.ΤΙΜΕΣ ΚΛΕΙΣΙΜΑΤΟΣ'!AB137)</f>
        <v>-5.7197486727868412E-3</v>
      </c>
      <c r="AC137" s="43">
        <f>LN('2.ΤΙΜΕΣ ΚΛΕΙΣΙΜΑΤΟΣ'!AC138/'2.ΤΙΜΕΣ ΚΛΕΙΣΙΜΑΤΟΣ'!AC137)</f>
        <v>1.2596387685685566E-2</v>
      </c>
      <c r="AD137" s="43">
        <f>LN('2.ΤΙΜΕΣ ΚΛΕΙΣΙΜΑΤΟΣ'!AD138/'2.ΤΙΜΕΣ ΚΛΕΙΣΙΜΑΤΟΣ'!AD137)</f>
        <v>-1.7725722599108273E-2</v>
      </c>
      <c r="AE137" s="43">
        <f>LN('2.ΤΙΜΕΣ ΚΛΕΙΣΙΜΑΤΟΣ'!AE138/'2.ΤΙΜΕΣ ΚΛΕΙΣΙΜΑΤΟΣ'!AE137)</f>
        <v>-2.0811662038245117E-3</v>
      </c>
      <c r="AF137" s="43">
        <f>LN('2.ΤΙΜΕΣ ΚΛΕΙΣΙΜΑΤΟΣ'!AF138/'2.ΤΙΜΕΣ ΚΛΕΙΣΙΜΑΤΟΣ'!AF137)</f>
        <v>5.5897294787868122E-3</v>
      </c>
      <c r="AG137" s="43">
        <f>LN('2.ΤΙΜΕΣ ΚΛΕΙΣΙΜΑΤΟΣ'!AG138/'2.ΤΙΜΕΣ ΚΛΕΙΣΙΜΑΤΟΣ'!AG137)</f>
        <v>1.4252022707201413E-2</v>
      </c>
      <c r="AH137" s="43">
        <f>LN('2.ΤΙΜΕΣ ΚΛΕΙΣΙΜΑΤΟΣ'!AH138/'2.ΤΙΜΕΣ ΚΛΕΙΣΙΜΑΤΟΣ'!AH137)</f>
        <v>3.174869831458027E-2</v>
      </c>
      <c r="AI137" s="43">
        <f>LN('2.ΤΙΜΕΣ ΚΛΕΙΣΙΜΑΤΟΣ'!AI138/'2.ΤΙΜΕΣ ΚΛΕΙΣΙΜΑΤΟΣ'!AI137)</f>
        <v>7.843177461026099E-3</v>
      </c>
      <c r="AJ137" s="43">
        <f>LN('2.ΤΙΜΕΣ ΚΛΕΙΣΙΜΑΤΟΣ'!AJ138/'2.ΤΙΜΕΣ ΚΛΕΙΣΙΜΑΤΟΣ'!AJ137)</f>
        <v>-2.2075951699199736E-2</v>
      </c>
      <c r="AK137" s="43">
        <f>LN('2.ΤΙΜΕΣ ΚΛΕΙΣΙΜΑΤΟΣ'!AK138/'2.ΤΙΜΕΣ ΚΛΕΙΣΙΜΑΤΟΣ'!AK137)</f>
        <v>-2.9705154413915694E-2</v>
      </c>
      <c r="AL137" s="43">
        <f>LN('2.ΤΙΜΕΣ ΚΛΕΙΣΙΜΑΤΟΣ'!AL138/'2.ΤΙΜΕΣ ΚΛΕΙΣΙΜΑΤΟΣ'!AL137)</f>
        <v>9.5694510161506725E-3</v>
      </c>
      <c r="AM137" s="43">
        <f>LN('2.ΤΙΜΕΣ ΚΛΕΙΣΙΜΑΤΟΣ'!AM138/'2.ΤΙΜΕΣ ΚΛΕΙΣΙΜΑΤΟΣ'!AM137)</f>
        <v>2.5673955052457334E-3</v>
      </c>
      <c r="AN137" s="43">
        <f>LN('2.ΤΙΜΕΣ ΚΛΕΙΣΙΜΑΤΟΣ'!AN138/'2.ΤΙΜΕΣ ΚΛΕΙΣΙΜΑΤΟΣ'!AN137)</f>
        <v>-1.2848142477848911E-2</v>
      </c>
      <c r="AO137" s="43">
        <f>LN('2.ΤΙΜΕΣ ΚΛΕΙΣΙΜΑΤΟΣ'!AO138/'2.ΤΙΜΕΣ ΚΛΕΙΣΙΜΑΤΟΣ'!AO137)</f>
        <v>-2.0144566092467463E-2</v>
      </c>
      <c r="AP137" s="43">
        <f>LN('2.ΤΙΜΕΣ ΚΛΕΙΣΙΜΑΤΟΣ'!AP138/'2.ΤΙΜΕΣ ΚΛΕΙΣΙΜΑΤΟΣ'!AP137)</f>
        <v>-1.1363758650315095E-2</v>
      </c>
      <c r="AQ137" s="43">
        <f>LN('2.ΤΙΜΕΣ ΚΛΕΙΣΙΜΑΤΟΣ'!AQ138/'2.ΤΙΜΕΣ ΚΛΕΙΣΙΜΑΤΟΣ'!AQ137)</f>
        <v>1.2041743754393684E-2</v>
      </c>
      <c r="AR137" s="43">
        <f>LN('2.ΤΙΜΕΣ ΚΛΕΙΣΙΜΑΤΟΣ'!AR138/'2.ΤΙΜΕΣ ΚΛΕΙΣΙΜΑΤΟΣ'!AR137)</f>
        <v>1.8779348242001143E-3</v>
      </c>
      <c r="AS137" s="43">
        <f>LN('2.ΤΙΜΕΣ ΚΛΕΙΣΙΜΑΤΟΣ'!AS138/'2.ΤΙΜΕΣ ΚΛΕΙΣΙΜΑΤΟΣ'!AS137)</f>
        <v>8.6083745366001014E-3</v>
      </c>
      <c r="AT137" s="43">
        <f>LN('2.ΤΙΜΕΣ ΚΛΕΙΣΙΜΑΤΟΣ'!AT138/'2.ΤΙΜΕΣ ΚΛΕΙΣΙΜΑΤΟΣ'!AT137)</f>
        <v>2.1681066061323948E-2</v>
      </c>
      <c r="AU137" s="43">
        <f>LN('2.ΤΙΜΕΣ ΚΛΕΙΣΙΜΑΤΟΣ'!AU138/'2.ΤΙΜΕΣ ΚΛΕΙΣΙΜΑΤΟΣ'!AU137)</f>
        <v>-7.0100009375396953E-5</v>
      </c>
    </row>
    <row r="138" spans="1:47">
      <c r="A138" s="41">
        <v>43753</v>
      </c>
      <c r="B138" s="43">
        <f>LN('2.ΤΙΜΕΣ ΚΛΕΙΣΙΜΑΤΟΣ'!B139/'2.ΤΙΜΕΣ ΚΛΕΙΣΙΜΑΤΟΣ'!B138)</f>
        <v>-8.9966004730820167E-3</v>
      </c>
      <c r="C138" s="43">
        <f>LN('2.ΤΙΜΕΣ ΚΛΕΙΣΙΜΑΤΟΣ'!C139/'2.ΤΙΜΕΣ ΚΛΕΙΣΙΜΑΤΟΣ'!C138)</f>
        <v>1.8237587549781012E-2</v>
      </c>
      <c r="D138" s="43">
        <f>LN('2.ΤΙΜΕΣ ΚΛΕΙΣΙΜΑΤΟΣ'!D139/'2.ΤΙΜΕΣ ΚΛΕΙΣΙΜΑΤΟΣ'!D138)</f>
        <v>4.2052206629784273E-3</v>
      </c>
      <c r="E138" s="43">
        <f>LN('2.ΤΙΜΕΣ ΚΛΕΙΣΙΜΑΤΟΣ'!E139/'2.ΤΙΜΕΣ ΚΛΕΙΣΙΜΑΤΟΣ'!E138)</f>
        <v>1.4514042884254012E-2</v>
      </c>
      <c r="F138" s="43">
        <f>LN('2.ΤΙΜΕΣ ΚΛΕΙΣΙΜΑΤΟΣ'!F139/'2.ΤΙΜΕΣ ΚΛΕΙΣΙΜΑΤΟΣ'!F138)</f>
        <v>9.5923996914395078E-3</v>
      </c>
      <c r="G138" s="43">
        <f>LN('2.ΤΙΜΕΣ ΚΛΕΙΣΙΜΑΤΟΣ'!G139/'2.ΤΙΜΕΣ ΚΛΕΙΣΙΜΑΤΟΣ'!G138)</f>
        <v>3.3994367014640097E-3</v>
      </c>
      <c r="H138" s="43">
        <f>LN('2.ΤΙΜΕΣ ΚΛΕΙΣΙΜΑΤΟΣ'!H139/'2.ΤΙΜΕΣ ΚΛΕΙΣΙΜΑΤΟΣ'!H138)</f>
        <v>-4.7415925725825519E-3</v>
      </c>
      <c r="I138" s="43">
        <f>LN('2.ΤΙΜΕΣ ΚΛΕΙΣΙΜΑΤΟΣ'!I139/'2.ΤΙΜΕΣ ΚΛΕΙΣΙΜΑΤΟΣ'!I138)</f>
        <v>-5.8190283864868048E-4</v>
      </c>
      <c r="J138" s="43">
        <f>LN('2.ΤΙΜΕΣ ΚΛΕΙΣΙΜΑΤΟΣ'!J139/'2.ΤΙΜΕΣ ΚΛΕΙΣΙΜΑΤΟΣ'!J138)</f>
        <v>8.0146148496542165E-3</v>
      </c>
      <c r="K138" s="43">
        <f>LN('2.ΤΙΜΕΣ ΚΛΕΙΣΙΜΑΤΟΣ'!K139/'2.ΤΙΜΕΣ ΚΛΕΙΣΙΜΑΤΟΣ'!K138)</f>
        <v>1.3088055383886452E-3</v>
      </c>
      <c r="L138" s="43">
        <f>LN('2.ΤΙΜΕΣ ΚΛΕΙΣΙΜΑΤΟΣ'!L139/'2.ΤΙΜΕΣ ΚΛΕΙΣΙΜΑΤΟΣ'!L138)</f>
        <v>4.13223728491037E-3</v>
      </c>
      <c r="M138" s="43">
        <f>LN('2.ΤΙΜΕΣ ΚΛΕΙΣΙΜΑΤΟΣ'!M139/'2.ΤΙΜΕΣ ΚΛΕΙΣΙΜΑΤΟΣ'!M138)</f>
        <v>-1.6529301951210582E-2</v>
      </c>
      <c r="N138" s="43">
        <f>LN('2.ΤΙΜΕΣ ΚΛΕΙΣΙΜΑΤΟΣ'!N139/'2.ΤΙΜΕΣ ΚΛΕΙΣΙΜΑΤΟΣ'!N138)</f>
        <v>-2.8117549805438988E-3</v>
      </c>
      <c r="O138" s="43">
        <f>LN('2.ΤΙΜΕΣ ΚΛΕΙΣΙΜΑΤΟΣ'!O139/'2.ΤΙΜΕΣ ΚΛΕΙΣΙΜΑΤΟΣ'!O138)</f>
        <v>-2.5673955052458097E-3</v>
      </c>
      <c r="P138" s="43">
        <f>LN('2.ΤΙΜΕΣ ΚΛΕΙΣΙΜΑΤΟΣ'!P139/'2.ΤΙΜΕΣ ΚΛΕΙΣΙΜΑΤΟΣ'!P138)</f>
        <v>-7.5472056353829663E-3</v>
      </c>
      <c r="Q138" s="43">
        <f>LN('2.ΤΙΜΕΣ ΚΛΕΙΣΙΜΑΤΟΣ'!Q139/'2.ΤΙΜΕΣ ΚΛΕΙΣΙΜΑΤΟΣ'!Q138)</f>
        <v>0</v>
      </c>
      <c r="R138" s="43">
        <f>LN('2.ΤΙΜΕΣ ΚΛΕΙΣΙΜΑΤΟΣ'!R139/'2.ΤΙΜΕΣ ΚΛΕΙΣΙΜΑΤΟΣ'!R138)</f>
        <v>1.642073021232749E-2</v>
      </c>
      <c r="S138" s="43">
        <f>LN('2.ΤΙΜΕΣ ΚΛΕΙΣΙΜΑΤΟΣ'!S139/'2.ΤΙΜΕΣ ΚΛΕΙΣΙΜΑΤΟΣ'!S138)</f>
        <v>2.0408871631207033E-2</v>
      </c>
      <c r="T138" s="43">
        <f>LN('2.ΤΙΜΕΣ ΚΛΕΙΣΙΜΑΤΟΣ'!T139/'2.ΤΙΜΕΣ ΚΛΕΙΣΙΜΑΤΟΣ'!T138)</f>
        <v>4.0899852515250664E-3</v>
      </c>
      <c r="U138" s="43">
        <f>LN('2.ΤΙΜΕΣ ΚΛΕΙΣΙΜΑΤΟΣ'!U139/'2.ΤΙΜΕΣ ΚΛΕΙΣΙΜΑΤΟΣ'!U138)</f>
        <v>-2.4360547978813383E-3</v>
      </c>
      <c r="V138" s="43">
        <f>LN('2.ΤΙΜΕΣ ΚΛΕΙΣΙΜΑΤΟΣ'!V139/'2.ΤΙΜΕΣ ΚΛΕΙΣΙΜΑΤΟΣ'!V138)</f>
        <v>-1.9846296371930656E-2</v>
      </c>
      <c r="W138" s="43">
        <f>LN('2.ΤΙΜΕΣ ΚΛΕΙΣΙΜΑΤΟΣ'!W139/'2.ΤΙΜΕΣ ΚΛΕΙΣΙΜΑΤΟΣ'!W138)</f>
        <v>-5.0251362026730428E-3</v>
      </c>
      <c r="X138" s="43">
        <f>LN('2.ΤΙΜΕΣ ΚΛΕΙΣΙΜΑΤΟΣ'!X139/'2.ΤΙΜΕΣ ΚΛΕΙΣΙΜΑΤΟΣ'!X138)</f>
        <v>5.6794132499018348E-3</v>
      </c>
      <c r="Y138" s="43">
        <f>LN('2.ΤΙΜΕΣ ΚΛΕΙΣΙΜΑΤΟΣ'!Y139/'2.ΤΙΜΕΣ ΚΛΕΙΣΙΜΑΤΟΣ'!Y138)</f>
        <v>-4.4843124473285759E-3</v>
      </c>
      <c r="Z138" s="43">
        <f>LN('2.ΤΙΜΕΣ ΚΛΕΙΣΙΜΑΤΟΣ'!Z139/'2.ΤΙΜΕΣ ΚΛΕΙΣΙΜΑΤΟΣ'!Z138)</f>
        <v>3.7105793965357746E-3</v>
      </c>
      <c r="AA138" s="43">
        <f>LN('2.ΤΙΜΕΣ ΚΛΕΙΣΙΜΑΤΟΣ'!AA139/'2.ΤΙΜΕΣ ΚΛΕΙΣΙΜΑΤΟΣ'!AA138)</f>
        <v>5.6022555486697516E-3</v>
      </c>
      <c r="AB138" s="43">
        <f>LN('2.ΤΙΜΕΣ ΚΛΕΙΣΙΜΑΤΟΣ'!AB139/'2.ΤΙΜΕΣ ΚΛΕΙΣΙΜΑΤΟΣ'!AB138)</f>
        <v>1.706202527672155E-2</v>
      </c>
      <c r="AC138" s="43">
        <f>LN('2.ΤΙΜΕΣ ΚΛΕΙΣΙΜΑΤΟΣ'!AC139/'2.ΤΙΜΕΣ ΚΛΕΙΣΙΜΑΤΟΣ'!AC138)</f>
        <v>-1.2596387685685615E-2</v>
      </c>
      <c r="AD138" s="43">
        <f>LN('2.ΤΙΜΕΣ ΚΛΕΙΣΙΜΑΤΟΣ'!AD139/'2.ΤΙΜΕΣ ΚΛΕΙΣΙΜΑΤΟΣ'!AD138)</f>
        <v>-5.9790910560580711E-3</v>
      </c>
      <c r="AE138" s="43">
        <f>LN('2.ΤΙΜΕΣ ΚΛΕΙΣΙΜΑΤΟΣ'!AE139/'2.ΤΙΜΕΣ ΚΛΕΙΣΙΜΑΤΟΣ'!AE138)</f>
        <v>3.8819991849582236E-2</v>
      </c>
      <c r="AF138" s="43">
        <f>LN('2.ΤΙΜΕΣ ΚΛΕΙΣΙΜΑΤΟΣ'!AF139/'2.ΤΙΜΕΣ ΚΛΕΙΣΙΜΑΤΟΣ'!AF138)</f>
        <v>-3.3500868852819744E-3</v>
      </c>
      <c r="AG138" s="43">
        <f>LN('2.ΤΙΜΕΣ ΚΛΕΙΣΙΜΑΤΟΣ'!AG139/'2.ΤΙΜΕΣ ΚΛΕΙΣΙΜΑΤΟΣ'!AG138)</f>
        <v>2.3557136924589835E-3</v>
      </c>
      <c r="AH138" s="43">
        <f>LN('2.ΤΙΜΕΣ ΚΛΕΙΣΙΜΑΤΟΣ'!AH139/'2.ΤΙΜΕΣ ΚΛΕΙΣΙΜΑΤΟΣ'!AH138)</f>
        <v>1.8576385572935457E-2</v>
      </c>
      <c r="AI138" s="43">
        <f>LN('2.ΤΙΜΕΣ ΚΛΕΙΣΙΜΑΤΟΣ'!AI139/'2.ΤΙΜΕΣ ΚΛΕΙΣΙΜΑΤΟΣ'!AI138)</f>
        <v>-7.8431774610260054E-3</v>
      </c>
      <c r="AJ138" s="43">
        <f>LN('2.ΤΙΜΕΣ ΚΛΕΙΣΙΜΑΤΟΣ'!AJ139/'2.ΤΙΜΕΣ ΚΛΕΙΣΙΜΑΤΟΣ'!AJ138)</f>
        <v>1.3303965626362666E-2</v>
      </c>
      <c r="AK138" s="43">
        <f>LN('2.ΤΙΜΕΣ ΚΛΕΙΣΙΜΑΤΟΣ'!AK139/'2.ΤΙΜΕΣ ΚΛΕΙΣΙΜΑΤΟΣ'!AK138)</f>
        <v>5.0125418235441935E-3</v>
      </c>
      <c r="AL138" s="43">
        <f>LN('2.ΤΙΜΕΣ ΚΛΕΙΣΙΜΑΤΟΣ'!AL139/'2.ΤΙΜΕΣ ΚΛΕΙΣΙΜΑΤΟΣ'!AL138)</f>
        <v>1.8868484304382736E-2</v>
      </c>
      <c r="AM138" s="43">
        <f>LN('2.ΤΙΜΕΣ ΚΛΕΙΣΙΜΑΤΟΣ'!AM139/'2.ΤΙΜΕΣ ΚΛΕΙΣΙΜΑΤΟΣ'!AM138)</f>
        <v>0</v>
      </c>
      <c r="AN138" s="43">
        <f>LN('2.ΤΙΜΕΣ ΚΛΕΙΣΙΜΑΤΟΣ'!AN139/'2.ΤΙΜΕΣ ΚΛΕΙΣΙΜΑΤΟΣ'!AN138)</f>
        <v>3.1816045184659775E-2</v>
      </c>
      <c r="AO138" s="43">
        <f>LN('2.ΤΙΜΕΣ ΚΛΕΙΣΙΜΑΤΟΣ'!AO139/'2.ΤΙΜΕΣ ΚΛΕΙΣΙΜΑΤΟΣ'!AO138)</f>
        <v>5.7971176843259146E-3</v>
      </c>
      <c r="AP138" s="43">
        <f>LN('2.ΤΙΜΕΣ ΚΛΕΙΣΙΜΑΤΟΣ'!AP139/'2.ΤΙΜΕΣ ΚΛΕΙΣΙΜΑΤΟΣ'!AP138)</f>
        <v>-5.7306747089849834E-3</v>
      </c>
      <c r="AQ138" s="43">
        <f>LN('2.ΤΙΜΕΣ ΚΛΕΙΣΙΜΑΤΟΣ'!AQ139/'2.ΤΙΜΕΣ ΚΛΕΙΣΙΜΑΤΟΣ'!AQ138)</f>
        <v>-4.3620570801657455E-3</v>
      </c>
      <c r="AR138" s="43">
        <f>LN('2.ΤΙΜΕΣ ΚΛΕΙΣΙΜΑΤΟΣ'!AR139/'2.ΤΙΜΕΣ ΚΛΕΙΣΙΜΑΤΟΣ'!AR138)</f>
        <v>4.4043815761439425E-2</v>
      </c>
      <c r="AS138" s="43">
        <f>LN('2.ΤΙΜΕΣ ΚΛΕΙΣΙΜΑΤΟΣ'!AS139/'2.ΤΙΜΕΣ ΚΛΕΙΣΙΜΑΤΟΣ'!AS138)</f>
        <v>-2.8612322810321234E-3</v>
      </c>
      <c r="AT138" s="43">
        <f>LN('2.ΤΙΜΕΣ ΚΛΕΙΣΙΜΑΤΟΣ'!AT139/'2.ΤΙΜΕΣ ΚΛΕΙΣΙΜΑΤΟΣ'!AT138)</f>
        <v>-8.0754140055454178E-3</v>
      </c>
      <c r="AU138" s="43">
        <f>LN('2.ΤΙΜΕΣ ΚΛΕΙΣΙΜΑΤΟΣ'!AU139/'2.ΤΙΜΕΣ ΚΛΕΙΣΙΜΑΤΟΣ'!AU138)</f>
        <v>2.6486990777617129E-3</v>
      </c>
    </row>
    <row r="139" spans="1:47">
      <c r="A139" s="41">
        <v>43754</v>
      </c>
      <c r="B139" s="43">
        <f>LN('2.ΤΙΜΕΣ ΚΛΕΙΣΙΜΑΤΟΣ'!B140/'2.ΤΙΜΕΣ ΚΛΕΙΣΙΜΑΤΟΣ'!B139)</f>
        <v>-5.2274034351516875E-3</v>
      </c>
      <c r="C139" s="43">
        <f>LN('2.ΤΙΜΕΣ ΚΛΕΙΣΙΜΑΤΟΣ'!C140/'2.ΤΙΜΕΣ ΚΛΕΙΣΙΜΑΤΟΣ'!C139)</f>
        <v>1.0486987495248071E-2</v>
      </c>
      <c r="D139" s="43">
        <f>LN('2.ΤΙΜΕΣ ΚΛΕΙΣΙΜΑΤΟΣ'!D140/'2.ΤΙΜΕΣ ΚΛΕΙΣΙΜΑΤΟΣ'!D139)</f>
        <v>2.0250964650807696E-2</v>
      </c>
      <c r="E139" s="43">
        <f>LN('2.ΤΙΜΕΣ ΚΛΕΙΣΙΜΑΤΟΣ'!E140/'2.ΤΙΜΕΣ ΚΛΕΙΣΙΜΑΤΟΣ'!E139)</f>
        <v>7.4648638345211123E-3</v>
      </c>
      <c r="F139" s="43">
        <f>LN('2.ΤΙΜΕΣ ΚΛΕΙΣΙΜΑΤΟΣ'!F140/'2.ΤΙΜΕΣ ΚΛΕΙΣΙΜΑΤΟΣ'!F139)</f>
        <v>8.3185268750905934E-3</v>
      </c>
      <c r="G139" s="43">
        <f>LN('2.ΤΙΜΕΣ ΚΛΕΙΣΙΜΑΤΟΣ'!G140/'2.ΤΙΜΕΣ ΚΛΕΙΣΙΜΑΤΟΣ'!G139)</f>
        <v>-1.366763872866387E-2</v>
      </c>
      <c r="H139" s="43">
        <f>LN('2.ΤΙΜΕΣ ΚΛΕΙΣΙΜΑΤΟΣ'!H140/'2.ΤΙΜΕΣ ΚΛΕΙΣΙΜΑΤΟΣ'!H139)</f>
        <v>-1.1472401162236696E-2</v>
      </c>
      <c r="I139" s="43">
        <f>LN('2.ΤΙΜΕΣ ΚΛΕΙΣΙΜΑΤΟΣ'!I140/'2.ΤΙΜΕΣ ΚΛΕΙΣΙΜΑΤΟΣ'!I139)</f>
        <v>0</v>
      </c>
      <c r="J139" s="43">
        <f>LN('2.ΤΙΜΕΣ ΚΛΕΙΣΙΜΑΤΟΣ'!J140/'2.ΤΙΜΕΣ ΚΛΕΙΣΙΜΑΤΟΣ'!J139)</f>
        <v>-2.1794414729321599E-3</v>
      </c>
      <c r="K139" s="43">
        <f>LN('2.ΤΙΜΕΣ ΚΛΕΙΣΙΜΑΤΟΣ'!K140/'2.ΤΙΜΕΣ ΚΛΕΙΣΙΜΑΤΟΣ'!K139)</f>
        <v>-1.308805538388607E-3</v>
      </c>
      <c r="L139" s="43">
        <f>LN('2.ΤΙΜΕΣ ΚΛΕΙΣΙΜΑΤΟΣ'!L140/'2.ΤΙΜΕΣ ΚΛΕΙΣΙΜΑΤΟΣ'!L139)</f>
        <v>-4.132237284910383E-3</v>
      </c>
      <c r="M139" s="43">
        <f>LN('2.ΤΙΜΕΣ ΚΛΕΙΣΙΜΑΤΟΣ'!M140/'2.ΤΙΜΕΣ ΚΛΕΙΣΙΜΑΤΟΣ'!M139)</f>
        <v>1.3245226750020505E-2</v>
      </c>
      <c r="N139" s="43">
        <f>LN('2.ΤΙΜΕΣ ΚΛΕΙΣΙΜΑΤΟΣ'!N140/'2.ΤΙΜΕΣ ΚΛΕΙΣΙΜΑΤΟΣ'!N139)</f>
        <v>6.8748078555401406E-3</v>
      </c>
      <c r="O139" s="43">
        <f>LN('2.ΤΙΜΕΣ ΚΛΕΙΣΙΜΑΤΟΣ'!O140/'2.ΤΙΜΕΣ ΚΛΕΙΣΙΜΑΤΟΣ'!O139)</f>
        <v>-7.7419741536155088E-3</v>
      </c>
      <c r="P139" s="43">
        <f>LN('2.ΤΙΜΕΣ ΚΛΕΙΣΙΜΑΤΟΣ'!P140/'2.ΤΙΜΕΣ ΚΛΕΙΣΙΜΑΤΟΣ'!P139)</f>
        <v>1.5140048312152329E-3</v>
      </c>
      <c r="Q139" s="43">
        <f>LN('2.ΤΙΜΕΣ ΚΛΕΙΣΙΜΑΤΟΣ'!Q140/'2.ΤΙΜΕΣ ΚΛΕΙΣΙΜΑΤΟΣ'!Q139)</f>
        <v>-1.2072581234269249E-2</v>
      </c>
      <c r="R139" s="43">
        <f>LN('2.ΤΙΜΕΣ ΚΛΕΙΣΙΜΑΤΟΣ'!R140/'2.ΤΙΜΕΣ ΚΛΕΙΣΙΜΑΤΟΣ'!R139)</f>
        <v>-2.5735501486874941E-2</v>
      </c>
      <c r="S139" s="43">
        <f>LN('2.ΤΙΜΕΣ ΚΛΕΙΣΙΜΑΤΟΣ'!S140/'2.ΤΙΜΕΣ ΚΛΕΙΣΙΜΑΤΟΣ'!S139)</f>
        <v>-1.2706651269114688E-2</v>
      </c>
      <c r="T139" s="43">
        <f>LN('2.ΤΙΜΕΣ ΚΛΕΙΣΙΜΑΤΟΣ'!T140/'2.ΤΙΜΕΣ ΚΛΕΙΣΙΜΑΤΟΣ'!T139)</f>
        <v>-1.7845360320010398E-2</v>
      </c>
      <c r="U139" s="43">
        <f>LN('2.ΤΙΜΕΣ ΚΛΕΙΣΙΜΑΤΟΣ'!U140/'2.ΤΙΜΕΣ ΚΛΕΙΣΙΜΑΤΟΣ'!U139)</f>
        <v>7.290433262679274E-3</v>
      </c>
      <c r="V139" s="43">
        <f>LN('2.ΤΙΜΕΣ ΚΛΕΙΣΙΜΑΤΟΣ'!V140/'2.ΤΙΜΕΣ ΚΛΕΙΣΙΜΑΤΟΣ'!V139)</f>
        <v>6.659292089976997E-3</v>
      </c>
      <c r="W139" s="43">
        <f>LN('2.ΤΙΜΕΣ ΚΛΕΙΣΙΜΑΤΟΣ'!W140/'2.ΤΙΜΕΣ ΚΛΕΙΣΙΜΑΤΟΣ'!W139)</f>
        <v>-1.778954156349841E-2</v>
      </c>
      <c r="X139" s="43">
        <f>LN('2.ΤΙΜΕΣ ΚΛΕΙΣΙΜΑΤΟΣ'!X140/'2.ΤΙΜΕΣ ΚΛΕΙΣΙΜΑΤΟΣ'!X139)</f>
        <v>1.0982932140187682E-2</v>
      </c>
      <c r="Y139" s="43">
        <f>LN('2.ΤΙΜΕΣ ΚΛΕΙΣΙΜΑΤΟΣ'!Y140/'2.ΤΙΜΕΣ ΚΛΕΙΣΙΜΑΤΟΣ'!Y139)</f>
        <v>2.2446698538237278E-3</v>
      </c>
      <c r="Z139" s="43">
        <f>LN('2.ΤΙΜΕΣ ΚΛΕΙΣΙΜΑΤΟΣ'!Z140/'2.ΤΙΜΕΣ ΚΛΕΙΣΙΜΑΤΟΣ'!Z139)</f>
        <v>-1.1173300598125302E-2</v>
      </c>
      <c r="AA139" s="43">
        <f>LN('2.ΤΙΜΕΣ ΚΛΕΙΣΙΜΑΤΟΣ'!AA140/'2.ΤΙΜΕΣ ΚΛΕΙΣΙΜΑΤΟΣ'!AA139)</f>
        <v>-2.7972046210612538E-3</v>
      </c>
      <c r="AB139" s="43">
        <f>LN('2.ΤΙΜΕΣ ΚΛΕΙΣΙΜΑΤΟΣ'!AB140/'2.ΤΙΜΕΣ ΚΛΕΙΣΙΜΑΤΟΣ'!AB139)</f>
        <v>-3.7664827954770048E-3</v>
      </c>
      <c r="AC139" s="43">
        <f>LN('2.ΤΙΜΕΣ ΚΛΕΙΣΙΜΑΤΟΣ'!AC140/'2.ΤΙΜΕΣ ΚΛΕΙΣΙΜΑΤΟΣ'!AC139)</f>
        <v>0</v>
      </c>
      <c r="AD139" s="43">
        <f>LN('2.ΤΙΜΕΣ ΚΛΕΙΣΙΜΑΤΟΣ'!AD140/'2.ΤΙΜΕΣ ΚΛΕΙΣΙΜΑΤΟΣ'!AD139)</f>
        <v>1.0440064996683422E-2</v>
      </c>
      <c r="AE139" s="43">
        <f>LN('2.ΤΙΜΕΣ ΚΛΕΙΣΙΜΑΤΟΣ'!AE140/'2.ΤΙΜΕΣ ΚΛΕΙΣΙΜΑΤΟΣ'!AE139)</f>
        <v>2.0020026706729687E-3</v>
      </c>
      <c r="AF139" s="43">
        <f>LN('2.ΤΙΜΕΣ ΚΛΕΙΣΙΜΑΤΟΣ'!AF140/'2.ΤΙΜΕΣ ΚΛΕΙΣΙΜΑΤΟΣ'!AF139)</f>
        <v>2.2346378014163628E-3</v>
      </c>
      <c r="AG139" s="43">
        <f>LN('2.ΤΙΜΕΣ ΚΛΕΙΣΙΜΑΤΟΣ'!AG140/'2.ΤΙΜΕΣ ΚΛΕΙΣΙΜΑΤΟΣ'!AG139)</f>
        <v>0</v>
      </c>
      <c r="AH139" s="43">
        <f>LN('2.ΤΙΜΕΣ ΚΛΕΙΣΙΜΑΤΟΣ'!AH140/'2.ΤΙΜΕΣ ΚΛΕΙΣΙΜΑΤΟΣ'!AH139)</f>
        <v>6.1466322100601156E-2</v>
      </c>
      <c r="AI139" s="43">
        <f>LN('2.ΤΙΜΕΣ ΚΛΕΙΣΙΜΑΤΟΣ'!AI140/'2.ΤΙΜΕΣ ΚΛΕΙΣΙΜΑΤΟΣ'!AI139)</f>
        <v>-7.9051795071132611E-3</v>
      </c>
      <c r="AJ139" s="43">
        <f>LN('2.ΤΙΜΕΣ ΚΛΕΙΣΙΜΑΤΟΣ'!AJ140/'2.ΤΙΜΕΣ ΚΛΕΙΣΙΜΑΤΟΣ'!AJ139)</f>
        <v>4.3956114730379081E-3</v>
      </c>
      <c r="AK139" s="43">
        <f>LN('2.ΤΙΜΕΣ ΚΛΕΙΣΙΜΑΤΟΣ'!AK140/'2.ΤΙΜΕΣ ΚΛΕΙΣΙΜΑΤΟΣ'!AK139)</f>
        <v>1.980262729617973E-2</v>
      </c>
      <c r="AL139" s="43">
        <f>LN('2.ΤΙΜΕΣ ΚΛΕΙΣΙΜΑΤΟΣ'!AL140/'2.ΤΙΜΕΣ ΚΛΕΙΣΙΜΑΤΟΣ'!AL139)</f>
        <v>-9.3897403498390316E-3</v>
      </c>
      <c r="AM139" s="43">
        <f>LN('2.ΤΙΜΕΣ ΚΛΕΙΣΙΜΑΤΟΣ'!AM140/'2.ΤΙΜΕΣ ΚΛΕΙΣΙΜΑΤΟΣ'!AM139)</f>
        <v>1.0204170174241668E-2</v>
      </c>
      <c r="AN139" s="43">
        <f>LN('2.ΤΙΜΕΣ ΚΛΕΙΣΙΜΑΤΟΣ'!AN140/'2.ΤΙΜΕΣ ΚΛΕΙΣΙΜΑΤΟΣ'!AN139)</f>
        <v>-1.4721611825359851E-2</v>
      </c>
      <c r="AO139" s="43">
        <f>LN('2.ΤΙΜΕΣ ΚΛΕΙΣΙΜΑΤΟΣ'!AO140/'2.ΤΙΜΕΣ ΚΛΕΙΣΙΜΑΤΟΣ'!AO139)</f>
        <v>-5.7971176843259579E-3</v>
      </c>
      <c r="AP139" s="43">
        <f>LN('2.ΤΙΜΕΣ ΚΛΕΙΣΙΜΑΤΟΣ'!AP140/'2.ΤΙΜΕΣ ΚΛΕΙΣΙΜΑΤΟΣ'!AP139)</f>
        <v>-1.4472032608534319E-2</v>
      </c>
      <c r="AQ139" s="43">
        <f>LN('2.ΤΙΜΕΣ ΚΛΕΙΣΙΜΑΤΟΣ'!AQ140/'2.ΤΙΜΕΣ ΚΛΕΙΣΙΜΑΤΟΣ'!AQ139)</f>
        <v>4.3620570801658279E-3</v>
      </c>
      <c r="AR139" s="43">
        <f>LN('2.ΤΙΜΕΣ ΚΛΕΙΣΙΜΑΤΟΣ'!AR140/'2.ΤΙΜΕΣ ΚΛΕΙΣΙΜΑΤΟΣ'!AR139)</f>
        <v>2.1315194199046934E-2</v>
      </c>
      <c r="AS139" s="43">
        <f>LN('2.ΤΙΜΕΣ ΚΛΕΙΣΙΜΑΤΟΣ'!AS140/'2.ΤΙΜΕΣ ΚΛΕΙΣΙΜΑΤΟΣ'!AS139)</f>
        <v>4.7561411198938995E-2</v>
      </c>
      <c r="AT139" s="43">
        <f>LN('2.ΤΙΜΕΣ ΚΛΕΙΣΙΜΑΤΟΣ'!AT140/'2.ΤΙΜΕΣ ΚΛΕΙΣΙΜΑΤΟΣ'!AT139)</f>
        <v>2.9296369488430757E-2</v>
      </c>
      <c r="AU139" s="43">
        <f>LN('2.ΤΙΜΕΣ ΚΛΕΙΣΙΜΑΤΟΣ'!AU140/'2.ΤΙΜΕΣ ΚΛΕΙΣΙΜΑΤΟΣ'!AU139)</f>
        <v>2.4467967474825356E-4</v>
      </c>
    </row>
    <row r="140" spans="1:47">
      <c r="A140" s="41">
        <v>43755</v>
      </c>
      <c r="B140" s="43">
        <f>LN('2.ΤΙΜΕΣ ΚΛΕΙΣΙΜΑΤΟΣ'!B141/'2.ΤΙΜΕΣ ΚΛΕΙΣΙΜΑΤΟΣ'!B140)</f>
        <v>-1.7269151626539466E-2</v>
      </c>
      <c r="C140" s="43">
        <f>LN('2.ΤΙΜΕΣ ΚΛΕΙΣΙΜΑΤΟΣ'!C141/'2.ΤΙΜΕΣ ΚΛΕΙΣΙΜΑΤΟΣ'!C140)</f>
        <v>5.9435539008481373E-3</v>
      </c>
      <c r="D140" s="43">
        <f>LN('2.ΤΙΜΕΣ ΚΛΕΙΣΙΜΑΤΟΣ'!D141/'2.ΤΙΜΕΣ ΚΛΕΙΣΙΜΑΤΟΣ'!D140)</f>
        <v>1.6719728870400352E-2</v>
      </c>
      <c r="E140" s="43">
        <f>LN('2.ΤΙΜΕΣ ΚΛΕΙΣΙΜΑΤΟΣ'!E141/'2.ΤΙΜΕΣ ΚΛΕΙΣΙΜΑΤΟΣ'!E140)</f>
        <v>-1.1507606851479802E-2</v>
      </c>
      <c r="F140" s="43">
        <f>LN('2.ΤΙΜΕΣ ΚΛΕΙΣΙΜΑΤΟΣ'!F141/'2.ΤΙΜΕΣ ΚΛΕΙΣΙΜΑΤΟΣ'!F140)</f>
        <v>0</v>
      </c>
      <c r="G140" s="43">
        <f>LN('2.ΤΙΜΕΣ ΚΛΕΙΣΙΜΑΤΟΣ'!G141/'2.ΤΙΜΕΣ ΚΛΕΙΣΙΜΑΤΟΣ'!G140)</f>
        <v>-2.296212260350268E-3</v>
      </c>
      <c r="H140" s="43">
        <f>LN('2.ΤΙΜΕΣ ΚΛΕΙΣΙΜΑΤΟΣ'!H141/'2.ΤΙΜΕΣ ΚΛΕΙΣΙΜΑΤΟΣ'!H140)</f>
        <v>9.5694510161506725E-3</v>
      </c>
      <c r="I140" s="43">
        <f>LN('2.ΤΙΜΕΣ ΚΛΕΙΣΙΜΑΤΟΣ'!I141/'2.ΤΙΜΕΣ ΚΛΕΙΣΙΜΑΤΟΣ'!I140)</f>
        <v>0</v>
      </c>
      <c r="J140" s="43">
        <f>LN('2.ΤΙΜΕΣ ΚΛΕΙΣΙΜΑΤΟΣ'!J141/'2.ΤΙΜΕΣ ΚΛΕΙΣΙΜΑΤΟΣ'!J140)</f>
        <v>0</v>
      </c>
      <c r="K140" s="43">
        <f>LN('2.ΤΙΜΕΣ ΚΛΕΙΣΙΜΑΤΟΣ'!K141/'2.ΤΙΜΕΣ ΚΛΕΙΣΙΜΑΤΟΣ'!K140)</f>
        <v>-1.9395259757738533E-2</v>
      </c>
      <c r="L140" s="43">
        <f>LN('2.ΤΙΜΕΣ ΚΛΕΙΣΙΜΑΤΟΣ'!L141/'2.ΤΙΜΕΣ ΚΛΕΙΣΙΜΑΤΟΣ'!L140)</f>
        <v>1.5918179503997796E-2</v>
      </c>
      <c r="M140" s="43">
        <f>LN('2.ΤΙΜΕΣ ΚΛΕΙΣΙΜΑΤΟΣ'!M141/'2.ΤΙΜΕΣ ΚΛΕΙΣΙΜΑΤΟΣ'!M140)</f>
        <v>-1.3245226750020567E-2</v>
      </c>
      <c r="N140" s="43">
        <f>LN('2.ΤΙΜΕΣ ΚΛΕΙΣΙΜΑΤΟΣ'!N141/'2.ΤΙΜΕΣ ΚΛΕΙΣΙΜΑΤΟΣ'!N140)</f>
        <v>1.4987790965491708E-2</v>
      </c>
      <c r="O140" s="43">
        <f>LN('2.ΤΙΜΕΣ ΚΛΕΙΣΙΜΑΤΟΣ'!O141/'2.ΤΙΜΕΣ ΚΛΕΙΣΙΜΑΤΟΣ'!O140)</f>
        <v>1.2944985626457955E-3</v>
      </c>
      <c r="P140" s="43">
        <f>LN('2.ΤΙΜΕΣ ΚΛΕΙΣΙΜΑΤΟΣ'!P141/'2.ΤΙΜΕΣ ΚΛΕΙΣΙΜΑΤΟΣ'!P140)</f>
        <v>-1.5140048312151828E-3</v>
      </c>
      <c r="Q140" s="43">
        <f>LN('2.ΤΙΜΕΣ ΚΛΕΙΣΙΜΑΤΟΣ'!Q141/'2.ΤΙΜΕΣ ΚΛΕΙΣΙΜΑΤΟΣ'!Q140)</f>
        <v>5.3835930834726792E-3</v>
      </c>
      <c r="R140" s="43">
        <f>LN('2.ΤΙΜΕΣ ΚΛΕΙΣΙΜΑΤΟΣ'!R141/'2.ΤΙΜΕΣ ΚΛΕΙΣΙΜΑΤΟΣ'!R140)</f>
        <v>0</v>
      </c>
      <c r="S140" s="43">
        <f>LN('2.ΤΙΜΕΣ ΚΛΕΙΣΙΜΑΤΟΣ'!S141/'2.ΤΙΜΕΣ ΚΛΕΙΣΙΜΑΤΟΣ'!S140)</f>
        <v>-1.0282866955583919E-2</v>
      </c>
      <c r="T140" s="43">
        <f>LN('2.ΤΙΜΕΣ ΚΛΕΙΣΙΜΑΤΟΣ'!T141/'2.ΤΙΜΕΣ ΚΛΕΙΣΙΜΑΤΟΣ'!T140)</f>
        <v>3.0015895940265786E-2</v>
      </c>
      <c r="U140" s="43">
        <f>LN('2.ΤΙΜΕΣ ΚΛΕΙΣΙΜΑΤΟΣ'!U141/'2.ΤΙΜΕΣ ΚΛΕΙΣΙΜΑΤΟΣ'!U140)</f>
        <v>9.6386288377687934E-3</v>
      </c>
      <c r="V140" s="43">
        <f>LN('2.ΤΙΜΕΣ ΚΛΕΙΣΙΜΑΤΟΣ'!V141/'2.ΤΙΜΕΣ ΚΛΕΙΣΙΜΑΤΟΣ'!V140)</f>
        <v>6.6152391187191831E-3</v>
      </c>
      <c r="W140" s="43">
        <f>LN('2.ΤΙΜΕΣ ΚΛΕΙΣΙΜΑΤΟΣ'!W141/'2.ΤΙΜΕΣ ΚΛΕΙΣΙΜΑΤΟΣ'!W140)</f>
        <v>1.2739025777429932E-2</v>
      </c>
      <c r="X140" s="43">
        <f>LN('2.ΤΙΜΕΣ ΚΛΕΙΣΙΜΑΤΟΣ'!X141/'2.ΤΙΜΕΣ ΚΛΕΙΣΙΜΑΤΟΣ'!X140)</f>
        <v>-2.4955215335203926E-2</v>
      </c>
      <c r="Y140" s="43">
        <f>LN('2.ΤΙΜΕΣ ΚΛΕΙΣΙΜΑΤΟΣ'!Y141/'2.ΤΙΜΕΣ ΚΛΕΙΣΙΜΑΤΟΣ'!Y140)</f>
        <v>8.9286307443013982E-3</v>
      </c>
      <c r="Z140" s="43">
        <f>LN('2.ΤΙΜΕΣ ΚΛΕΙΣΙΜΑΤΟΣ'!Z141/'2.ΤΙΜΕΣ ΚΛΕΙΣΙΜΑΤΟΣ'!Z140)</f>
        <v>0</v>
      </c>
      <c r="AA140" s="43">
        <f>LN('2.ΤΙΜΕΣ ΚΛΕΙΣΙΜΑΤΟΣ'!AA141/'2.ΤΙΜΕΣ ΚΛΕΙΣΙΜΑΤΟΣ'!AA140)</f>
        <v>-1.1267724846342269E-2</v>
      </c>
      <c r="AB140" s="43">
        <f>LN('2.ΤΙΜΕΣ ΚΛΕΙΣΙΜΑΤΟΣ'!AB141/'2.ΤΙΜΕΣ ΚΛΕΙΣΙΜΑΤΟΣ'!AB140)</f>
        <v>3.7664827954768648E-3</v>
      </c>
      <c r="AC140" s="43">
        <f>LN('2.ΤΙΜΕΣ ΚΛΕΙΣΙΜΑΤΟΣ'!AC141/'2.ΤΙΜΕΣ ΚΛΕΙΣΙΜΑΤΟΣ'!AC140)</f>
        <v>5.6179923042232738E-3</v>
      </c>
      <c r="AD140" s="43">
        <f>LN('2.ΤΙΜΕΣ ΚΛΕΙΣΙΜΑΤΟΣ'!AD141/'2.ΤΙΜΕΣ ΚΛΕΙΣΙΜΑΤΟΣ'!AD140)</f>
        <v>1.4825799602228961E-3</v>
      </c>
      <c r="AE140" s="43">
        <f>LN('2.ΤΙΜΕΣ ΚΛΕΙΣΙΜΑΤΟΣ'!AE141/'2.ΤΙΜΕΣ ΚΛΕΙΣΙΜΑΤΟΣ'!AE140)</f>
        <v>1.980262729617973E-2</v>
      </c>
      <c r="AF140" s="43">
        <f>LN('2.ΤΙΜΕΣ ΚΛΕΙΣΙΜΑΤΟΣ'!AF141/'2.ΤΙΜΕΣ ΚΛΕΙΣΙΜΑΤΟΣ'!AF140)</f>
        <v>-1.1166947000750686E-3</v>
      </c>
      <c r="AG140" s="43">
        <f>LN('2.ΤΙΜΕΣ ΚΛΕΙΣΙΜΑΤΟΣ'!AG141/'2.ΤΙΜΕΣ ΚΛΕΙΣΙΜΑΤΟΣ'!AG140)</f>
        <v>-4.7169898781389101E-3</v>
      </c>
      <c r="AH140" s="43">
        <f>LN('2.ΤΙΜΕΣ ΚΛΕΙΣΙΜΑΤΟΣ'!AH141/'2.ΤΙΜΕΣ ΚΛΕΙΣΙΜΑΤΟΣ'!AH140)</f>
        <v>1.9212301778938723E-3</v>
      </c>
      <c r="AI140" s="43">
        <f>LN('2.ΤΙΜΕΣ ΚΛΕΙΣΙΜΑΤΟΣ'!AI141/'2.ΤΙΜΕΣ ΚΛΕΙΣΙΜΑΤΟΣ'!AI140)</f>
        <v>0</v>
      </c>
      <c r="AJ140" s="43">
        <f>LN('2.ΤΙΜΕΣ ΚΛΕΙΣΙΜΑΤΟΣ'!AJ141/'2.ΤΙΜΕΣ ΚΛΕΙΣΙΜΑΤΟΣ'!AJ140)</f>
        <v>-2.2173857494321967E-2</v>
      </c>
      <c r="AK140" s="43">
        <f>LN('2.ΤΙΜΕΣ ΚΛΕΙΣΙΜΑΤΟΣ'!AK141/'2.ΤΙΜΕΣ ΚΛΕΙΣΙΜΑΤΟΣ'!AK140)</f>
        <v>5.7158413839948623E-2</v>
      </c>
      <c r="AL140" s="43">
        <f>LN('2.ΤΙΜΕΣ ΚΛΕΙΣΙΜΑΤΟΣ'!AL141/'2.ΤΙΜΕΣ ΚΛΕΙΣΙΜΑΤΟΣ'!AL140)</f>
        <v>-9.47874395454377E-3</v>
      </c>
      <c r="AM140" s="43">
        <f>LN('2.ΤΙΜΕΣ ΚΛΕΙΣΙΜΑΤΟΣ'!AM141/'2.ΤΙΜΕΣ ΚΛΕΙΣΙΜΑΤΟΣ'!AM140)</f>
        <v>5.0633019565466345E-3</v>
      </c>
      <c r="AN140" s="43">
        <f>LN('2.ΤΙΜΕΣ ΚΛΕΙΣΙΜΑΤΟΣ'!AN141/'2.ΤΙΜΕΣ ΚΛΕΙΣΙΜΑΤΟΣ'!AN140)</f>
        <v>-1.7094433359299954E-2</v>
      </c>
      <c r="AO140" s="43">
        <f>LN('2.ΤΙΜΕΣ ΚΛΕΙΣΙΜΑΤΟΣ'!AO141/'2.ΤΙΜΕΣ ΚΛΕΙΣΙΜΑΤΟΣ'!AO140)</f>
        <v>-5.8309203107932096E-3</v>
      </c>
      <c r="AP140" s="43">
        <f>LN('2.ΤΙΜΕΣ ΚΛΕΙΣΙΜΑΤΟΣ'!AP141/'2.ΤΙΜΕΣ ΚΛΕΙΣΙΜΑΤΟΣ'!AP140)</f>
        <v>1.1594332780919227E-2</v>
      </c>
      <c r="AQ140" s="43">
        <f>LN('2.ΤΙΜΕΣ ΚΛΕΙΣΙΜΑΤΟΣ'!AQ141/'2.ΤΙΜΕΣ ΚΛΕΙΣΙΜΑΤΟΣ'!AQ140)</f>
        <v>-5.4555509015370264E-3</v>
      </c>
      <c r="AR140" s="43">
        <f>LN('2.ΤΙΜΕΣ ΚΛΕΙΣΙΜΑΤΟΣ'!AR141/'2.ΤΙΜΕΣ ΚΛΕΙΣΙΜΑΤΟΣ'!AR140)</f>
        <v>-3.5211303985789363E-3</v>
      </c>
      <c r="AS140" s="43">
        <f>LN('2.ΤΙΜΕΣ ΚΛΕΙΣΙΜΑΤΟΣ'!AS141/'2.ΤΙΜΕΣ ΚΛΕΙΣΙΜΑΤΟΣ'!AS140)</f>
        <v>-2.4897551621727201E-2</v>
      </c>
      <c r="AT140" s="43">
        <f>LN('2.ΤΙΜΕΣ ΚΛΕΙΣΙΜΑΤΟΣ'!AT141/'2.ΤΙΜΕΣ ΚΛΕΙΣΙΜΑΤΟΣ'!AT140)</f>
        <v>3.3551534171232862E-2</v>
      </c>
      <c r="AU140" s="43">
        <f>LN('2.ΤΙΜΕΣ ΚΛΕΙΣΙΜΑΤΟΣ'!AU141/'2.ΤΙΜΕΣ ΚΛΕΙΣΙΜΑΤΟΣ'!AU140)</f>
        <v>1.1061368429268229E-3</v>
      </c>
    </row>
    <row r="141" spans="1:47">
      <c r="A141" s="41">
        <v>43756</v>
      </c>
      <c r="B141" s="43">
        <f>LN('2.ΤΙΜΕΣ ΚΛΕΙΣΙΜΑΤΟΣ'!B142/'2.ΤΙΜΕΣ ΚΛΕΙΣΙΜΑΤΟΣ'!B141)</f>
        <v>8.8480492301310117E-3</v>
      </c>
      <c r="C141" s="43">
        <f>LN('2.ΤΙΜΕΣ ΚΛΕΙΣΙΜΑΤΟΣ'!C142/'2.ΤΙΜΕΣ ΚΛΕΙΣΙΜΑΤΟΣ'!C141)</f>
        <v>2.21975673831281E-3</v>
      </c>
      <c r="D141" s="43">
        <f>LN('2.ΤΙΜΕΣ ΚΛΕΙΣΙΜΑΤΟΣ'!D142/'2.ΤΙΜΕΣ ΚΛΕΙΣΙΜΑΤΟΣ'!D141)</f>
        <v>-2.0240873219527773E-3</v>
      </c>
      <c r="E141" s="43">
        <f>LN('2.ΤΙΜΕΣ ΚΛΕΙΣΙΜΑΤΟΣ'!E142/'2.ΤΙΜΕΣ ΚΛΕΙΣΙΜΑΤΟΣ'!E141)</f>
        <v>1.1507606851479725E-2</v>
      </c>
      <c r="F141" s="43">
        <f>LN('2.ΤΙΜΕΣ ΚΛΕΙΣΙΜΑΤΟΣ'!F142/'2.ΤΙΜΕΣ ΚΛΕΙΣΙΜΑΤΟΣ'!F141)</f>
        <v>-1.6706832501725562E-2</v>
      </c>
      <c r="G141" s="43">
        <f>LN('2.ΤΙΜΕΣ ΚΛΕΙΣΙΜΑΤΟΣ'!G142/'2.ΤΙΜΕΣ ΚΛΕΙΣΙΜΑΤΟΣ'!G141)</f>
        <v>1.142869582362285E-2</v>
      </c>
      <c r="H141" s="43">
        <f>LN('2.ΤΙΜΕΣ ΚΛΕΙΣΙΜΑΤΟΣ'!H142/'2.ΤΙΜΕΣ ΚΛΕΙΣΙΜΑΤΟΣ'!H141)</f>
        <v>4.7506027585977988E-3</v>
      </c>
      <c r="I141" s="43">
        <f>LN('2.ΤΙΜΕΣ ΚΛΕΙΣΙΜΑΤΟΣ'!I142/'2.ΤΙΜΕΣ ΚΛΕΙΣΙΜΑΤΟΣ'!I141)</f>
        <v>6.3823831390899515E-3</v>
      </c>
      <c r="J141" s="43">
        <f>LN('2.ΤΙΜΕΣ ΚΛΕΙΣΙΜΑΤΟΣ'!J142/'2.ΤΙΜΕΣ ΚΛΕΙΣΙΜΑΤΟΣ'!J141)</f>
        <v>0</v>
      </c>
      <c r="K141" s="43">
        <f>LN('2.ΤΙΜΕΣ ΚΛΕΙΣΙΜΑΤΟΣ'!K142/'2.ΤΙΜΕΣ ΚΛΕΙΣΙΜΑΤΟΣ'!K141)</f>
        <v>4.1456973797063448E-3</v>
      </c>
      <c r="L141" s="43">
        <f>LN('2.ΤΙΜΕΣ ΚΛΕΙΣΙΜΑΤΟΣ'!L142/'2.ΤΙΜΕΣ ΚΛΕΙΣΙΜΑΤΟΣ'!L141)</f>
        <v>2.543883335737681E-3</v>
      </c>
      <c r="M141" s="43">
        <f>LN('2.ΤΙΜΕΣ ΚΛΕΙΣΙΜΑΤΟΣ'!M142/'2.ΤΙΜΕΣ ΚΛΕΙΣΙΜΑΤΟΣ'!M141)</f>
        <v>1.3245226750020505E-2</v>
      </c>
      <c r="N141" s="43">
        <f>LN('2.ΤΙΜΕΣ ΚΛΕΙΣΙΜΑΤΟΣ'!N142/'2.ΤΙΜΕΣ ΚΛΕΙΣΙΜΑΤΟΣ'!N141)</f>
        <v>-1.3783599701212709E-3</v>
      </c>
      <c r="O141" s="43">
        <f>LN('2.ΤΙΜΕΣ ΚΛΕΙΣΙΜΑΤΟΣ'!O142/'2.ΤΙΜΕΣ ΚΛΕΙΣΙΜΑΤΟΣ'!O141)</f>
        <v>1.5404669194986455E-2</v>
      </c>
      <c r="P141" s="43">
        <f>LN('2.ΤΙΜΕΣ ΚΛΕΙΣΙΜΑΤΟΣ'!P142/'2.ΤΙΜΕΣ ΚΛΕΙΣΙΜΑΤΟΣ'!P141)</f>
        <v>7.5472056353831241E-3</v>
      </c>
      <c r="Q141" s="43">
        <f>LN('2.ΤΙΜΕΣ ΚΛΕΙΣΙΜΑΤΟΣ'!Q142/'2.ΤΙΜΕΣ ΚΛΕΙΣΙΜΑΤΟΣ'!Q141)</f>
        <v>2.6809667532577425E-3</v>
      </c>
      <c r="R141" s="43">
        <f>LN('2.ΤΙΜΕΣ ΚΛΕΙΣΙΜΑΤΟΣ'!R142/'2.ΤΙΜΕΣ ΚΛΕΙΣΙΜΑΤΟΣ'!R141)</f>
        <v>1.2620559409046959E-2</v>
      </c>
      <c r="S141" s="43">
        <f>LN('2.ΤΙΜΕΣ ΚΛΕΙΣΙΜΑΤΟΣ'!S142/'2.ΤΙΜΕΣ ΚΛΕΙΣΙΜΑΤΟΣ'!S141)</f>
        <v>0</v>
      </c>
      <c r="T141" s="43">
        <f>LN('2.ΤΙΜΕΣ ΚΛΕΙΣΙΜΑΤΟΣ'!T142/'2.ΤΙΜΕΣ ΚΛΕΙΣΙΜΑΤΟΣ'!T141)</f>
        <v>-5.3908486348764233E-3</v>
      </c>
      <c r="U141" s="43">
        <f>LN('2.ΤΙΜΕΣ ΚΛΕΙΣΙΜΑΤΟΣ'!U142/'2.ΤΙΜΕΣ ΚΛΕΙΣΙΜΑΤΟΣ'!U141)</f>
        <v>-2.4009615375381503E-3</v>
      </c>
      <c r="V141" s="43">
        <f>LN('2.ΤΙΜΕΣ ΚΛΕΙΣΙΜΑΤΟΣ'!V142/'2.ΤΙΜΕΣ ΚΛΕΙΣΙΜΑΤΟΣ'!V141)</f>
        <v>-2.2002209096024235E-3</v>
      </c>
      <c r="W141" s="43">
        <f>LN('2.ΤΙΜΕΣ ΚΛΕΙΣΙΜΑΤΟΣ'!W142/'2.ΤΙΜΕΣ ΚΛΕΙΣΙΜΑΤΟΣ'!W141)</f>
        <v>3.7902761737808269E-3</v>
      </c>
      <c r="X141" s="43">
        <f>LN('2.ΤΙΜΕΣ ΚΛΕΙΣΙΜΑΤΟΣ'!X142/'2.ΤΙΜΕΣ ΚΛΕΙΣΙΜΑΤΟΣ'!X141)</f>
        <v>2.7242113055320348E-3</v>
      </c>
      <c r="Y141" s="43">
        <f>LN('2.ΤΙΜΕΣ ΚΛΕΙΣΙΜΑΤΟΣ'!Y142/'2.ΤΙΜΕΣ ΚΛΕΙΣΙΜΑΤΟΣ'!Y141)</f>
        <v>0</v>
      </c>
      <c r="Z141" s="43">
        <f>LN('2.ΤΙΜΕΣ ΚΛΕΙΣΙΜΑΤΟΣ'!Z142/'2.ΤΙΜΕΣ ΚΛΕΙΣΙΜΑΤΟΣ'!Z141)</f>
        <v>1.1173300598125255E-2</v>
      </c>
      <c r="AA141" s="43">
        <f>LN('2.ΤΙΜΕΣ ΚΛΕΙΣΙΜΑΤΟΣ'!AA142/'2.ΤΙΜΕΣ ΚΛΕΙΣΙΜΑΤΟΣ'!AA141)</f>
        <v>2.8288562004778446E-3</v>
      </c>
      <c r="AB141" s="43">
        <f>LN('2.ΤΙΜΕΣ ΚΛΕΙΣΙΜΑΤΟΣ'!AB142/'2.ΤΙΜΕΣ ΚΛΕΙΣΙΜΑΤΟΣ'!AB141)</f>
        <v>1.4925650216675792E-2</v>
      </c>
      <c r="AC141" s="43">
        <f>LN('2.ΤΙΜΕΣ ΚΛΕΙΣΙΜΑΤΟΣ'!AC142/'2.ΤΙΜΕΣ ΚΛΕΙΣΙΜΑΤΟΣ'!AC141)</f>
        <v>-1.26851595273158E-2</v>
      </c>
      <c r="AD141" s="43">
        <f>LN('2.ΤΙΜΕΣ ΚΛΕΙΣΙΜΑΤΟΣ'!AD142/'2.ΤΙΜΕΣ ΚΛΕΙΣΙΜΑΤΟΣ'!AD141)</f>
        <v>1.4803851704342031E-3</v>
      </c>
      <c r="AE141" s="43">
        <f>LN('2.ΤΙΜΕΣ ΚΛΕΙΣΙΜΑΤΟΣ'!AE142/'2.ΤΙΜΕΣ ΚΛΕΙΣΙΜΑΤΟΣ'!AE141)</f>
        <v>-1.9802627296179643E-2</v>
      </c>
      <c r="AF141" s="43">
        <f>LN('2.ΤΙΜΕΣ ΚΛΕΙΣΙΜΑΤΟΣ'!AF142/'2.ΤΙΜΕΣ ΚΛΕΙΣΙΜΑΤΟΣ'!AF141)</f>
        <v>5.5710450494554295E-3</v>
      </c>
      <c r="AG141" s="43">
        <f>LN('2.ΤΙΜΕΣ ΚΛΕΙΣΙΜΑΤΟΣ'!AG142/'2.ΤΙΜΕΣ ΚΛΕΙΣΙΜΑΤΟΣ'!AG141)</f>
        <v>-1.4285957247476541E-2</v>
      </c>
      <c r="AH141" s="43">
        <f>LN('2.ΤΙΜΕΣ ΚΛΕΙΣΙΜΑΤΟΣ'!AH142/'2.ΤΙΜΕΣ ΚΛΕΙΣΙΜΑΤΟΣ'!AH141)</f>
        <v>-7.7071672449377784E-3</v>
      </c>
      <c r="AI141" s="43">
        <f>LN('2.ΤΙΜΕΣ ΚΛΕΙΣΙΜΑΤΟΣ'!AI142/'2.ΤΙΜΕΣ ΚΛΕΙΣΙΜΑΤΟΣ'!AI141)</f>
        <v>1.5748356968139331E-2</v>
      </c>
      <c r="AJ141" s="43">
        <f>LN('2.ΤΙΜΕΣ ΚΛΕΙΣΙΜΑΤΟΣ'!AJ142/'2.ΤΙΜΕΣ ΚΛΕΙΣΙΜΑΤΟΣ'!AJ141)</f>
        <v>8.9286307443013982E-3</v>
      </c>
      <c r="AK141" s="43">
        <f>LN('2.ΤΙΜΕΣ ΚΛΕΙΣΙΜΑΤΟΣ'!AK142/'2.ΤΙΜΕΣ ΚΛΕΙΣΙΜΑΤΟΣ'!AK141)</f>
        <v>0</v>
      </c>
      <c r="AL141" s="43">
        <f>LN('2.ΤΙΜΕΣ ΚΛΕΙΣΙΜΑΤΟΣ'!AL142/'2.ΤΙΜΕΣ ΚΛΕΙΣΙΜΑΤΟΣ'!AL141)</f>
        <v>0</v>
      </c>
      <c r="AM141" s="43">
        <f>LN('2.ΤΙΜΕΣ ΚΛΕΙΣΙΜΑΤΟΣ'!AM142/'2.ΤΙΜΕΣ ΚΛΕΙΣΙΜΑΤΟΣ'!AM141)</f>
        <v>-2.0408871631207123E-2</v>
      </c>
      <c r="AN141" s="43">
        <f>LN('2.ΤΙΜΕΣ ΚΛΕΙΣΙΜΑΤΟΣ'!AN142/'2.ΤΙΜΕΣ ΚΛΕΙΣΙΜΑΤΟΣ'!AN141)</f>
        <v>-2.1574981400212367E-3</v>
      </c>
      <c r="AO141" s="43">
        <f>LN('2.ΤΙΜΕΣ ΚΛΕΙΣΙΜΑΤΟΣ'!AO142/'2.ΤΙΜΕΣ ΚΛΕΙΣΙΜΑΤΟΣ'!AO141)</f>
        <v>-5.8651194523981339E-3</v>
      </c>
      <c r="AP141" s="43">
        <f>LN('2.ΤΙΜΕΣ ΚΛΕΙΣΙΜΑΤΟΣ'!AP142/'2.ΤΙΜΕΣ ΚΛΕΙΣΙΜΑΤΟΣ'!AP141)</f>
        <v>-8.6831225734608809E-3</v>
      </c>
      <c r="AQ141" s="43">
        <f>LN('2.ΤΙΜΕΣ ΚΛΕΙΣΙΜΑΤΟΣ'!AQ142/'2.ΤΙΜΕΣ ΚΛΕΙΣΙΜΑΤΟΣ'!AQ141)</f>
        <v>-1.1001211061973569E-2</v>
      </c>
      <c r="AR141" s="43">
        <f>LN('2.ΤΙΜΕΣ ΚΛΕΙΣΙΜΑΤΟΣ'!AR142/'2.ΤΙΜΕΣ ΚΛΕΙΣΙΜΑΤΟΣ'!AR141)</f>
        <v>5.2770571008438193E-3</v>
      </c>
      <c r="AS141" s="43">
        <f>LN('2.ΤΙΜΕΣ ΚΛΕΙΣΙΜΑΤΟΣ'!AS142/'2.ΤΙΜΕΣ ΚΛΕΙΣΙΜΑΤΟΣ'!AS141)</f>
        <v>8.3682496705165792E-3</v>
      </c>
      <c r="AT141" s="43">
        <f>LN('2.ΤΙΜΕΣ ΚΛΕΙΣΙΜΑΤΟΣ'!AT142/'2.ΤΙΜΕΣ ΚΛΕΙΣΙΜΑΤΟΣ'!AT141)</f>
        <v>-1.7926216268152009E-2</v>
      </c>
      <c r="AU141" s="43">
        <f>LN('2.ΤΙΜΕΣ ΚΛΕΙΣΙΜΑΤΟΣ'!AU142/'2.ΤΙΜΕΣ ΚΛΕΙΣΙΜΑΤΟΣ'!AU141)</f>
        <v>3.7865194205031847E-3</v>
      </c>
    </row>
    <row r="142" spans="1:47">
      <c r="A142" s="41">
        <v>43759</v>
      </c>
      <c r="B142" s="43">
        <f>LN('2.ΤΙΜΕΣ ΚΛΕΙΣΙΜΑΤΟΣ'!B143/'2.ΤΙΜΕΣ ΚΛΕΙΣΙΜΑΤΟΣ'!B142)</f>
        <v>-6.3626937878286573E-3</v>
      </c>
      <c r="C142" s="43">
        <f>LN('2.ΤΙΜΕΣ ΚΛΕΙΣΙΜΑΤΟΣ'!C143/'2.ΤΙΜΕΣ ΚΛΕΙΣΙΜΑΤΟΣ'!C142)</f>
        <v>8.8300794482722156E-3</v>
      </c>
      <c r="D142" s="43">
        <f>LN('2.ΤΙΜΕΣ ΚΛΕΙΣΙΜΑΤΟΣ'!D143/'2.ΤΙΜΕΣ ΚΛΕΙΣΙΜΑΤΟΣ'!D142)</f>
        <v>2.0240873219526958E-3</v>
      </c>
      <c r="E142" s="43">
        <f>LN('2.ΤΙΜΕΣ ΚΛΕΙΣΙΜΑΤΟΣ'!E143/'2.ΤΙΜΕΣ ΚΛΕΙΣΙΜΑΤΟΣ'!E142)</f>
        <v>-3.4383988030325975E-3</v>
      </c>
      <c r="F142" s="43">
        <f>LN('2.ΤΙΜΕΣ ΚΛΕΙΣΙΜΑΤΟΣ'!F143/'2.ΤΙΜΕΣ ΚΛΕΙΣΙΜΑΤΟΣ'!F142)</f>
        <v>1.2026459657602706E-3</v>
      </c>
      <c r="G142" s="43">
        <f>LN('2.ΤΙΜΕΣ ΚΛΕΙΣΙΜΑΤΟΣ'!G143/'2.ΤΙΜΕΣ ΚΛΕΙΣΙΜΑΤΟΣ'!G142)</f>
        <v>1.6901810802603254E-2</v>
      </c>
      <c r="H142" s="43">
        <f>LN('2.ΤΙΜΕΣ ΚΛΕΙΣΙΜΑΤΟΣ'!H143/'2.ΤΙΜΕΣ ΚΛΕΙΣΙΜΑΤΟΣ'!H142)</f>
        <v>1.1310205391586392E-2</v>
      </c>
      <c r="I142" s="43">
        <f>LN('2.ΤΙΜΕΣ ΚΛΕΙΣΙΜΑΤΟΣ'!I143/'2.ΤΙΜΕΣ ΚΛΕΙΣΙΜΑΤΟΣ'!I142)</f>
        <v>1.4925650216675574E-2</v>
      </c>
      <c r="J142" s="43">
        <f>LN('2.ΤΙΜΕΣ ΚΛΕΙΣΙΜΑΤΟΣ'!J143/'2.ΤΙΜΕΣ ΚΛΕΙΣΙΜΑΤΟΣ'!J142)</f>
        <v>9.7702966461826989E-3</v>
      </c>
      <c r="K142" s="43">
        <f>LN('2.ΤΙΜΕΣ ΚΛΕΙΣΙΜΑΤΟΣ'!K143/'2.ΤΙΜΕΣ ΚΛΕΙΣΙΜΑΤΟΣ'!K142)</f>
        <v>0</v>
      </c>
      <c r="L142" s="43">
        <f>LN('2.ΤΙΜΕΣ ΚΛΕΙΣΙΜΑΤΟΣ'!L143/'2.ΤΙΜΕΣ ΚΛΕΙΣΙΜΑΤΟΣ'!L142)</f>
        <v>2.0304575503819213E-3</v>
      </c>
      <c r="M142" s="43">
        <f>LN('2.ΤΙΜΕΣ ΚΛΕΙΣΙΜΑΤΟΣ'!M143/'2.ΤΙΜΕΣ ΚΛΕΙΣΙΜΑΤΟΣ'!M142)</f>
        <v>1.5234244571847987E-2</v>
      </c>
      <c r="N142" s="43">
        <f>LN('2.ΤΙΜΕΣ ΚΛΕΙΣΙΜΑΤΟΣ'!N143/'2.ΤΙΜΕΣ ΚΛΕΙΣΙΜΑΤΟΣ'!N142)</f>
        <v>-8.0321716972642666E-3</v>
      </c>
      <c r="O142" s="43">
        <f>LN('2.ΤΙΜΕΣ ΚΛΕΙΣΙΜΑΤΟΣ'!O143/'2.ΤΙΜΕΣ ΚΛΕΙΣΙΜΑΤΟΣ'!O142)</f>
        <v>-1.9293202934678781E-2</v>
      </c>
      <c r="P142" s="43">
        <f>LN('2.ΤΙΜΕΣ ΚΛΕΙΣΙΜΑΤΟΣ'!P143/'2.ΤΙΜΕΣ ΚΛΕΙΣΙΜΑΤΟΣ'!P142)</f>
        <v>0</v>
      </c>
      <c r="Q142" s="43">
        <f>LN('2.ΤΙΜΕΣ ΚΛΕΙΣΙΜΑΤΟΣ'!Q143/'2.ΤΙΜΕΣ ΚΛΕΙΣΙΜΑΤΟΣ'!Q142)</f>
        <v>2.0537323348749418E-2</v>
      </c>
      <c r="R142" s="43">
        <f>LN('2.ΤΙΜΕΣ ΚΛΕΙΣΙΜΑΤΟΣ'!R143/'2.ΤΙΜΕΣ ΚΛΕΙΣΙΜΑΤΟΣ'!R142)</f>
        <v>7.2344939009329513E-3</v>
      </c>
      <c r="S142" s="43">
        <f>LN('2.ΤΙΜΕΣ ΚΛΕΙΣΙΜΑΤΟΣ'!S143/'2.ΤΙΜΕΣ ΚΛΕΙΣΙΜΑΤΟΣ'!S142)</f>
        <v>1.2911557636198078E-3</v>
      </c>
      <c r="T142" s="43">
        <f>LN('2.ΤΙΜΕΣ ΚΛΕΙΣΙΜΑΤΟΣ'!T143/'2.ΤΙΜΕΣ ΚΛΕΙΣΙΜΑΤΟΣ'!T142)</f>
        <v>0</v>
      </c>
      <c r="U142" s="43">
        <f>LN('2.ΤΙΜΕΣ ΚΛΕΙΣΙΜΑΤΟΣ'!U143/'2.ΤΙΜΕΣ ΚΛΕΙΣΙΜΑΤΟΣ'!U142)</f>
        <v>-2.4067400305649764E-3</v>
      </c>
      <c r="V142" s="43">
        <f>LN('2.ΤΙΜΕΣ ΚΛΕΙΣΙΜΑΤΟΣ'!V143/'2.ΤΙΜΕΣ ΚΛΕΙΣΙΜΑΤΟΣ'!V142)</f>
        <v>1.0953012019197145E-2</v>
      </c>
      <c r="W142" s="43">
        <f>LN('2.ΤΙΜΕΣ ΚΛΕΙΣΙΜΑΤΟΣ'!W143/'2.ΤΙΜΕΣ ΚΛΕΙΣΙΜΑΤΟΣ'!W142)</f>
        <v>1.1285386231666387E-2</v>
      </c>
      <c r="X142" s="43">
        <f>LN('2.ΤΙΜΕΣ ΚΛΕΙΣΙΜΑΤΟΣ'!X143/'2.ΤΙΜΕΣ ΚΛΕΙΣΙΜΑΤΟΣ'!X142)</f>
        <v>8.412397225972184E-3</v>
      </c>
      <c r="Y142" s="43">
        <f>LN('2.ΤΙΜΕΣ ΚΛΕΙΣΙΜΑΤΟΣ'!Y143/'2.ΤΙΜΕΣ ΚΛΕΙΣΙΜΑΤΟΣ'!Y142)</f>
        <v>-6.688988150796652E-3</v>
      </c>
      <c r="Z142" s="43">
        <f>LN('2.ΤΙΜΕΣ ΚΛΕΙΣΙΜΑΤΟΣ'!Z143/'2.ΤΙΜΕΣ ΚΛΕΙΣΙΜΑΤΟΣ'!Z142)</f>
        <v>0</v>
      </c>
      <c r="AA142" s="43">
        <f>LN('2.ΤΙΜΕΣ ΚΛΕΙΣΙΜΑΤΟΣ'!AA143/'2.ΤΙΜΕΣ ΚΛΕΙΣΙΜΑΤΟΣ'!AA142)</f>
        <v>-8.5106896679087302E-3</v>
      </c>
      <c r="AB142" s="43">
        <f>LN('2.ΤΙΜΕΣ ΚΛΕΙΣΙΜΑΤΟΣ'!AB143/'2.ΤΙΜΕΣ ΚΛΕΙΣΙΜΑΤΟΣ'!AB142)</f>
        <v>0</v>
      </c>
      <c r="AC142" s="43">
        <f>LN('2.ΤΙΜΕΣ ΚΛΕΙΣΙΜΑΤΟΣ'!AC143/'2.ΤΙΜΕΣ ΚΛΕΙΣΙΜΑΤΟΣ'!AC142)</f>
        <v>2.7973852042406162E-2</v>
      </c>
      <c r="AD142" s="43">
        <f>LN('2.ΤΙΜΕΣ ΚΛΕΙΣΙΜΑΤΟΣ'!AD143/'2.ΤΙΜΕΣ ΚΛΕΙΣΙΜΑΤΟΣ'!AD142)</f>
        <v>-1.4803851704342195E-3</v>
      </c>
      <c r="AE142" s="43">
        <f>LN('2.ΤΙΜΕΣ ΚΛΕΙΣΙΜΑΤΟΣ'!AE143/'2.ΤΙΜΕΣ ΚΛΕΙΣΙΜΑΤΟΣ'!AE142)</f>
        <v>1.980262729617973E-2</v>
      </c>
      <c r="AF142" s="43">
        <f>LN('2.ΤΙΜΕΣ ΚΛΕΙΣΙΜΑΤΟΣ'!AF143/'2.ΤΙΜΕΣ ΚΛΕΙΣΙΜΑΤΟΣ'!AF142)</f>
        <v>-8.9286307443014312E-3</v>
      </c>
      <c r="AG142" s="43">
        <f>LN('2.ΤΙΜΕΣ ΚΛΕΙΣΙΜΑΤΟΣ'!AG143/'2.ΤΙΜΕΣ ΚΛΕΙΣΙΜΑΤΟΣ'!AG142)</f>
        <v>1.4285957247476434E-2</v>
      </c>
      <c r="AH142" s="43">
        <f>LN('2.ΤΙΜΕΣ ΚΛΕΙΣΙΜΑΤΟΣ'!AH143/'2.ΤΙΜΕΣ ΚΛΕΙΣΙΜΑΤΟΣ'!AH142)</f>
        <v>1.5355388083194737E-2</v>
      </c>
      <c r="AI142" s="43">
        <f>LN('2.ΤΙΜΕΣ ΚΛΕΙΣΙΜΑΤΟΣ'!AI143/'2.ΤΙΜΕΣ ΚΛΕΙΣΙΜΑΤΟΣ'!AI142)</f>
        <v>0</v>
      </c>
      <c r="AJ142" s="43">
        <f>LN('2.ΤΙΜΕΣ ΚΛΕΙΣΙΜΑΤΟΣ'!AJ143/'2.ΤΙΜΕΣ ΚΛΕΙΣΙΜΑΤΟΣ'!AJ142)</f>
        <v>-4.4543503493801968E-3</v>
      </c>
      <c r="AK142" s="43">
        <f>LN('2.ΤΙΜΕΣ ΚΛΕΙΣΙΜΑΤΟΣ'!AK143/'2.ΤΙΜΕΣ ΚΛΕΙΣΙΜΑΤΟΣ'!AK142)</f>
        <v>-1.3986241974739952E-2</v>
      </c>
      <c r="AL142" s="43">
        <f>LN('2.ΤΙΜΕΣ ΚΛΕΙΣΙΜΑΤΟΣ'!AL143/'2.ΤΙΜΕΣ ΚΛΕΙΣΙΜΑΤΟΣ'!AL142)</f>
        <v>3.7387532071620412E-2</v>
      </c>
      <c r="AM142" s="43">
        <f>LN('2.ΤΙΜΕΣ ΚΛΕΙΣΙΜΑΤΟΣ'!AM143/'2.ΤΙΜΕΣ ΚΛΕΙΣΙΜΑΤΟΣ'!AM142)</f>
        <v>5.1413995004186523E-3</v>
      </c>
      <c r="AN142" s="43">
        <f>LN('2.ΤΙΜΕΣ ΚΛΕΙΣΙΜΑΤΟΣ'!AN143/'2.ΤΙΜΕΣ ΚΛΕΙΣΙΜΑΤΟΣ'!AN142)</f>
        <v>-8.6768440256889713E-3</v>
      </c>
      <c r="AO142" s="43">
        <f>LN('2.ΤΙΜΕΣ ΚΛΕΙΣΙΜΑΤΟΣ'!AO143/'2.ΤΙΜΕΣ ΚΛΕΙΣΙΜΑΤΟΣ'!AO142)</f>
        <v>-2.3810648693718559E-2</v>
      </c>
      <c r="AP142" s="43">
        <f>LN('2.ΤΙΜΕΣ ΚΛΕΙΣΙΜΑΤΟΣ'!AP143/'2.ΤΙΜΕΣ ΚΛΕΙΣΙΜΑΤΟΣ'!AP142)</f>
        <v>-8.7591800898814652E-3</v>
      </c>
      <c r="AQ142" s="43">
        <f>LN('2.ΤΙΜΕΣ ΚΛΕΙΣΙΜΑΤΟΣ'!AQ143/'2.ΤΙΜΕΣ ΚΛΕΙΣΙΜΑΤΟΣ'!AQ142)</f>
        <v>2.7279378421662091E-2</v>
      </c>
      <c r="AR142" s="43">
        <f>LN('2.ΤΙΜΕΣ ΚΛΕΙΣΙΜΑΤΟΣ'!AR143/'2.ΤΙΜΕΣ ΚΛΕΙΣΙΜΑΤΟΣ'!AR142)</f>
        <v>2.4264621999631079E-2</v>
      </c>
      <c r="AS142" s="43">
        <f>LN('2.ΤΙΜΕΣ ΚΛΕΙΣΙΜΑΤΟΣ'!AS143/'2.ΤΙΜΕΣ ΚΛΕΙΣΙΜΑΤΟΣ'!AS142)</f>
        <v>5.5401803756153509E-3</v>
      </c>
      <c r="AT142" s="43">
        <f>LN('2.ΤΙΜΕΣ ΚΛΕΙΣΙΜΑΤΟΣ'!AT143/'2.ΤΙΜΕΣ ΚΛΕΙΣΙΜΑΤΟΣ'!AT142)</f>
        <v>7.9446226892355781E-2</v>
      </c>
      <c r="AU142" s="43">
        <f>LN('2.ΤΙΜΕΣ ΚΛΕΙΣΙΜΑΤΟΣ'!AU143/'2.ΤΙΜΕΣ ΚΛΕΙΣΙΜΑΤΟΣ'!AU142)</f>
        <v>5.2956059329634392E-3</v>
      </c>
    </row>
    <row r="143" spans="1:47">
      <c r="A143" s="41">
        <v>43760</v>
      </c>
      <c r="B143" s="43">
        <f>LN('2.ΤΙΜΕΣ ΚΛΕΙΣΙΜΑΤΟΣ'!B144/'2.ΤΙΜΕΣ ΚΛΕΙΣΙΜΑΤΟΣ'!B143)</f>
        <v>1.023117056574901E-2</v>
      </c>
      <c r="C143" s="43">
        <f>LN('2.ΤΙΜΕΣ ΚΛΕΙΣΙΜΑΤΟΣ'!C144/'2.ΤΙΜΕΣ ΚΛΕΙΣΙΜΑΤΟΣ'!C143)</f>
        <v>-1.1049836186585046E-2</v>
      </c>
      <c r="D143" s="43">
        <f>LN('2.ΤΙΜΕΣ ΚΛΕΙΣΙΜΑΤΟΣ'!D144/'2.ΤΙΜΕΣ ΚΛΕΙΣΙΜΑΤΟΣ'!D143)</f>
        <v>-1.6205827836427558E-2</v>
      </c>
      <c r="E143" s="43">
        <f>LN('2.ΤΙΜΕΣ ΚΛΕΙΣΙΜΑΤΟΣ'!E144/'2.ΤΙΜΕΣ ΚΛΕΙΣΙΜΑΤΟΣ'!E143)</f>
        <v>-1.1487652038735931E-3</v>
      </c>
      <c r="F143" s="43">
        <f>LN('2.ΤΙΜΕΣ ΚΛΕΙΣΙΜΑΤΟΣ'!F144/'2.ΤΙΜΕΣ ΚΛΕΙΣΙΜΑΤΟΣ'!F143)</f>
        <v>1.0759219151739479E-2</v>
      </c>
      <c r="G143" s="43">
        <f>LN('2.ΤΙΜΕΣ ΚΛΕΙΣΙΜΑΤΟΣ'!G144/'2.ΤΙΜΕΣ ΚΛΕΙΣΙΜΑΤΟΣ'!G143)</f>
        <v>-2.2371373983563216E-3</v>
      </c>
      <c r="H143" s="43">
        <f>LN('2.ΤΙΜΕΣ ΚΛΕΙΣΙΜΑΤΟΣ'!H144/'2.ΤΙΜΕΣ ΚΛΕΙΣΙΜΑΤΟΣ'!H143)</f>
        <v>1.672901467280654E-2</v>
      </c>
      <c r="I143" s="43">
        <f>LN('2.ΤΙΜΕΣ ΚΛΕΙΣΙΜΑΤΟΣ'!I144/'2.ΤΙΜΕΣ ΚΛΕΙΣΙΜΑΤΟΣ'!I143)</f>
        <v>1.4144507386164743E-2</v>
      </c>
      <c r="J143" s="43">
        <f>LN('2.ΤΙΜΕΣ ΚΛΕΙΣΙΜΑΤΟΣ'!J144/'2.ΤΙΜΕΣ ΚΛΕΙΣΙΜΑΤΟΣ'!J143)</f>
        <v>3.5724400140513486E-2</v>
      </c>
      <c r="K143" s="43">
        <f>LN('2.ΤΙΜΕΣ ΚΛΕΙΣΙΜΑΤΟΣ'!K144/'2.ΤΙΜΕΣ ΚΛΕΙΣΙΜΑΤΟΣ'!K143)</f>
        <v>-5.4819012753460593E-3</v>
      </c>
      <c r="L143" s="43">
        <f>LN('2.ΤΙΜΕΣ ΚΛΕΙΣΙΜΑΤΟΣ'!L144/'2.ΤΙΜΕΣ ΚΛΕΙΣΙΜΑΤΟΣ'!L143)</f>
        <v>1.5098424712585243E-2</v>
      </c>
      <c r="M143" s="43">
        <f>LN('2.ΤΙΜΕΣ ΚΛΕΙΣΙΜΑΤΟΣ'!M144/'2.ΤΙΜΕΣ ΚΛΕΙΣΙΜΑΤΟΣ'!M143)</f>
        <v>4.3103515011222631E-3</v>
      </c>
      <c r="N143" s="43">
        <f>LN('2.ΤΙΜΕΣ ΚΛΕΙΣΙΜΑΤΟΣ'!N144/'2.ΤΙΜΕΣ ΚΛΕΙΣΙΜΑΤΟΣ'!N143)</f>
        <v>2.6383407653032859E-3</v>
      </c>
      <c r="O143" s="43">
        <f>LN('2.ΤΙΜΕΣ ΚΛΕΙΣΙΜΑΤΟΣ'!O144/'2.ΤΙΜΕΣ ΚΛΕΙΣΙΜΑΤΟΣ'!O143)</f>
        <v>3.5718082602079246E-2</v>
      </c>
      <c r="P143" s="43">
        <f>LN('2.ΤΙΜΕΣ ΚΛΕΙΣΙΜΑΤΟΣ'!P144/'2.ΤΙΜΕΣ ΚΛΕΙΣΙΜΑΤΟΣ'!P143)</f>
        <v>7.4906717291576587E-3</v>
      </c>
      <c r="Q143" s="43">
        <f>LN('2.ΤΙΜΕΣ ΚΛΕΙΣΙΜΑΤΟΣ'!Q144/'2.ΤΙΜΕΣ ΚΛΕΙΣΙΜΑΤΟΣ'!Q143)</f>
        <v>4.579661259024731E-3</v>
      </c>
      <c r="R143" s="43">
        <f>LN('2.ΤΙΜΕΣ ΚΛΕΙΣΙΜΑΤΟΣ'!R144/'2.ΤΙΜΕΣ ΚΛΕΙΣΙΜΑΤΟΣ'!R143)</f>
        <v>1.5604998068890054E-2</v>
      </c>
      <c r="S143" s="43">
        <f>LN('2.ΤΙΜΕΣ ΚΛΕΙΣΙΜΑΤΟΣ'!S144/'2.ΤΙΜΕΣ ΚΛΕΙΣΙΜΑΤΟΣ'!S143)</f>
        <v>6.4308903302903314E-3</v>
      </c>
      <c r="T143" s="43">
        <f>LN('2.ΤΙΜΕΣ ΚΛΕΙΣΙΜΑΤΟΣ'!T144/'2.ΤΙΜΕΣ ΚΛΕΙΣΙΜΑΤΟΣ'!T143)</f>
        <v>2.2713067239233435E-2</v>
      </c>
      <c r="U143" s="43">
        <f>LN('2.ΤΙΜΕΣ ΚΛΕΙΣΙΜΑΤΟΣ'!U144/'2.ΤΙΜΕΣ ΚΛΕΙΣΙΜΑΤΟΣ'!U143)</f>
        <v>1.4354313451683122E-2</v>
      </c>
      <c r="V143" s="43">
        <f>LN('2.ΤΙΜΕΣ ΚΛΕΙΣΙΜΑΤΟΣ'!V144/'2.ΤΙΜΕΣ ΚΛΕΙΣΙΜΑΤΟΣ'!V143)</f>
        <v>-2.1810259463602259E-3</v>
      </c>
      <c r="W143" s="43">
        <f>LN('2.ΤΙΜΕΣ ΚΛΕΙΣΙΜΑΤΟΣ'!W144/'2.ΤΙΜΕΣ ΚΛΕΙΣΙΜΑΤΟΣ'!W143)</f>
        <v>1.2391732295163457E-2</v>
      </c>
      <c r="X143" s="43">
        <f>LN('2.ΤΙΜΕΣ ΚΛΕΙΣΙΜΑΤΟΣ'!X144/'2.ΤΙΜΕΣ ΚΛΕΙΣΙΜΑΤΟΣ'!X143)</f>
        <v>-5.5528013396680129E-3</v>
      </c>
      <c r="Y143" s="43">
        <f>LN('2.ΤΙΜΕΣ ΚΛΕΙΣΙΜΑΤΟΣ'!Y144/'2.ΤΙΜΕΣ ΚΛΕΙΣΙΜΑΤΟΣ'!Y143)</f>
        <v>7.7994824348238895E-3</v>
      </c>
      <c r="Z143" s="43">
        <f>LN('2.ΤΙΜΕΣ ΚΛΕΙΣΙΜΑΤΟΣ'!Z144/'2.ΤΙΜΕΣ ΚΛΕΙΣΙΜΑΤΟΣ'!Z143)</f>
        <v>-3.710579396535713E-3</v>
      </c>
      <c r="AA143" s="43">
        <f>LN('2.ΤΙΜΕΣ ΚΛΕΙΣΙΜΑΤΟΣ'!AA144/'2.ΤΙΜΕΣ ΚΛΕΙΣΙΜΑΤΟΣ'!AA143)</f>
        <v>5.6818334674308638E-3</v>
      </c>
      <c r="AB143" s="43">
        <f>LN('2.ΤΙΜΕΣ ΚΛΕΙΣΙΜΑΤΟΣ'!AB144/'2.ΤΙΜΕΣ ΚΛΕΙΣΙΜΑΤΟΣ'!AB143)</f>
        <v>1.8501392881613734E-3</v>
      </c>
      <c r="AC143" s="43">
        <f>LN('2.ΤΙΜΕΣ ΚΛΕΙΣΙΜΑΤΟΣ'!AC144/'2.ΤΙΜΕΣ ΚΛΕΙΣΙΜΑΤΟΣ'!AC143)</f>
        <v>-1.388911216066715E-2</v>
      </c>
      <c r="AD143" s="43">
        <f>LN('2.ΤΙΜΕΣ ΚΛΕΙΣΙΜΑΤΟΣ'!AD144/'2.ΤΙΜΕΣ ΚΛΕΙΣΙΜΑΤΟΣ'!AD143)</f>
        <v>8.8496152769826E-3</v>
      </c>
      <c r="AE143" s="43">
        <f>LN('2.ΤΙΜΕΣ ΚΛΕΙΣΙΜΑΤΟΣ'!AE144/'2.ΤΙΜΕΣ ΚΛΕΙΣΙΜΑΤΟΣ'!AE143)</f>
        <v>0</v>
      </c>
      <c r="AF143" s="43">
        <f>LN('2.ΤΙΜΕΣ ΚΛΕΙΣΙΜΑΤΟΣ'!AF144/'2.ΤΙΜΕΣ ΚΛΕΙΣΙΜΑΤΟΣ'!AF143)</f>
        <v>3.0907537463076704E-2</v>
      </c>
      <c r="AG143" s="43">
        <f>LN('2.ΤΙΜΕΣ ΚΛΕΙΣΙΜΑΤΟΣ'!AG144/'2.ΤΙΜΕΣ ΚΛΕΙΣΙΜΑΤΟΣ'!AG143)</f>
        <v>3.7127234028893431E-2</v>
      </c>
      <c r="AH143" s="43">
        <f>LN('2.ΤΙΜΕΣ ΚΛΕΙΣΙΜΑΤΟΣ'!AH144/'2.ΤΙΜΕΣ ΚΛΕΙΣΙΜΑΤΟΣ'!AH143)</f>
        <v>-1.1494379425735134E-2</v>
      </c>
      <c r="AI143" s="43">
        <f>LN('2.ΤΙΜΕΣ ΚΛΕΙΣΙΜΑΤΟΣ'!AI144/'2.ΤΙΜΕΣ ΚΛΕΙΣΙΜΑΤΟΣ'!AI143)</f>
        <v>-7.8431774610260054E-3</v>
      </c>
      <c r="AJ143" s="43">
        <f>LN('2.ΤΙΜΕΣ ΚΛΕΙΣΙΜΑΤΟΣ'!AJ144/'2.ΤΙΜΕΣ ΚΛΕΙΣΙΜΑΤΟΣ'!AJ143)</f>
        <v>-8.9686699827603751E-3</v>
      </c>
      <c r="AK143" s="43">
        <f>LN('2.ΤΙΜΕΣ ΚΛΕΙΣΙΜΑΤΟΣ'!AK144/'2.ΤΙΜΕΣ ΚΛΕΙΣΙΜΑΤΟΣ'!AK143)</f>
        <v>9.345862418237599E-3</v>
      </c>
      <c r="AL143" s="43">
        <f>LN('2.ΤΙΜΕΣ ΚΛΕΙΣΙΜΑΤΟΣ'!AL144/'2.ΤΙΜΕΣ ΚΛΕΙΣΙΜΑΤΟΣ'!AL143)</f>
        <v>1.8182319083190547E-2</v>
      </c>
      <c r="AM143" s="43">
        <f>LN('2.ΤΙΜΕΣ ΚΛΕΙΣΙΜΑΤΟΣ'!AM144/'2.ΤΙΜΕΣ ΚΛΕΙΣΙΜΑΤΟΣ'!AM143)</f>
        <v>-1.0309369658861213E-2</v>
      </c>
      <c r="AN143" s="43">
        <f>LN('2.ΤΙΜΕΣ ΚΛΕΙΣΙΜΑΤΟΣ'!AN144/'2.ΤΙΜΕΣ ΚΛΕΙΣΙΜΑΤΟΣ'!AN143)</f>
        <v>1.0834342165710146E-2</v>
      </c>
      <c r="AO143" s="43">
        <f>LN('2.ΤΙΜΕΣ ΚΛΕΙΣΙΜΑΤΟΣ'!AO144/'2.ΤΙΜΕΣ ΚΛΕΙΣΙΜΑΤΟΣ'!AO143)</f>
        <v>6.0060240602119487E-3</v>
      </c>
      <c r="AP143" s="43">
        <f>LN('2.ΤΙΜΕΣ ΚΛΕΙΣΙΜΑΤΟΣ'!AP144/'2.ΤΙΜΕΣ ΚΛΕΙΣΙΜΑΤΟΣ'!AP143)</f>
        <v>-8.8365818004981118E-3</v>
      </c>
      <c r="AQ143" s="43">
        <f>LN('2.ΤΙΜΕΣ ΚΛΕΙΣΙΜΑΤΟΣ'!AQ144/'2.ΤΙΜΕΣ ΚΛΕΙΣΙΜΑΤΟΣ'!AQ143)</f>
        <v>3.6982555796707083E-2</v>
      </c>
      <c r="AR143" s="43">
        <f>LN('2.ΤΙΜΕΣ ΚΛΕΙΣΙΜΑΤΟΣ'!AR144/'2.ΤΙΜΕΣ ΚΛΕΙΣΙΜΑΤΟΣ'!AR143)</f>
        <v>-1.20587163201276E-2</v>
      </c>
      <c r="AS143" s="43">
        <f>LN('2.ΤΙΜΕΣ ΚΛΕΙΣΙΜΑΤΟΣ'!AS144/'2.ΤΙΜΕΣ ΚΛΕΙΣΙΜΑΤΟΣ'!AS143)</f>
        <v>2.724964244737554E-2</v>
      </c>
      <c r="AT143" s="43">
        <f>LN('2.ΤΙΜΕΣ ΚΛΕΙΣΙΜΑΤΟΣ'!AT144/'2.ΤΙΜΕΣ ΚΛΕΙΣΙΜΑΤΟΣ'!AT143)</f>
        <v>8.6812470972067068E-2</v>
      </c>
      <c r="AU143" s="43">
        <f>LN('2.ΤΙΜΕΣ ΚΛΕΙΣΙΜΑΤΟΣ'!AU144/'2.ΤΙΜΕΣ ΚΛΕΙΣΙΜΑΤΟΣ'!AU143)</f>
        <v>7.2846254137960455E-3</v>
      </c>
    </row>
    <row r="144" spans="1:47">
      <c r="A144" s="41">
        <v>43761</v>
      </c>
      <c r="B144" s="43">
        <f>LN('2.ΤΙΜΕΣ ΚΛΕΙΣΙΜΑΤΟΣ'!B145/'2.ΤΙΜΕΣ ΚΛΕΙΣΙΜΑΤΟΣ'!B144)</f>
        <v>-1.9851768552731471E-2</v>
      </c>
      <c r="C144" s="43">
        <f>LN('2.ΤΙΜΕΣ ΚΛΕΙΣΙΜΑΤΟΣ'!C145/'2.ΤΙΜΕΣ ΚΛΕΙΣΙΜΑΤΟΣ'!C144)</f>
        <v>6.6445427186685108E-3</v>
      </c>
      <c r="D144" s="43">
        <f>LN('2.ΤΙΜΕΣ ΚΛΕΙΣΙΜΑΤΟΣ'!D145/'2.ΤΙΜΕΣ ΚΛΕΙΣΙΜΑΤΟΣ'!D144)</f>
        <v>-8.7724387328595461E-3</v>
      </c>
      <c r="E144" s="43">
        <f>LN('2.ΤΙΜΕΣ ΚΛΕΙΣΙΜΑΤΟΣ'!E145/'2.ΤΙΜΕΣ ΚΛΕΙΣΙΜΑΤΟΣ'!E144)</f>
        <v>0</v>
      </c>
      <c r="F144" s="43">
        <f>LN('2.ΤΙΜΕΣ ΚΛΕΙΣΙΜΑΤΟΣ'!F145/'2.ΤΙΜΕΣ ΚΛΕΙΣΙΜΑΤΟΣ'!F144)</f>
        <v>-9.5580178061053563E-3</v>
      </c>
      <c r="G144" s="43">
        <f>LN('2.ΤΙΜΕΣ ΚΛΕΙΣΙΜΑΤΟΣ'!G145/'2.ΤΙΜΕΣ ΚΛΕΙΣΙΜΑΤΟΣ'!G144)</f>
        <v>-5.6148378843290025E-3</v>
      </c>
      <c r="H144" s="43">
        <f>LN('2.ΤΙΜΕΣ ΚΛΕΙΣΙΜΑΤΟΣ'!H145/'2.ΤΙΜΕΣ ΚΛΕΙΣΙΜΑΤΟΣ'!H144)</f>
        <v>4.5977092486295494E-3</v>
      </c>
      <c r="I144" s="43">
        <f>LN('2.ΤΙΜΕΣ ΚΛΕΙΣΙΜΑΤΟΣ'!I145/'2.ΤΙΜΕΣ ΚΛΕΙΣΙΜΑΤΟΣ'!I144)</f>
        <v>1.0617590664402111E-2</v>
      </c>
      <c r="J144" s="43">
        <f>LN('2.ΤΙΜΕΣ ΚΛΕΙΣΙΜΑΤΟΣ'!J145/'2.ΤΙΜΕΣ ΚΛΕΙΣΙΜΑΤΟΣ'!J144)</f>
        <v>1.9271071255613826E-2</v>
      </c>
      <c r="K144" s="43">
        <f>LN('2.ΤΙΜΕΣ ΚΛΕΙΣΙΜΑΤΟΣ'!K145/'2.ΤΙΜΕΣ ΚΛΕΙΣΙΜΑΤΟΣ'!K144)</f>
        <v>0</v>
      </c>
      <c r="L144" s="43">
        <f>LN('2.ΤΙΜΕΣ ΚΛΕΙΣΙΜΑΤΟΣ'!L145/'2.ΤΙΜΕΣ ΚΛΕΙΣΙΜΑΤΟΣ'!L144)</f>
        <v>-6.0120421566278344E-3</v>
      </c>
      <c r="M144" s="43">
        <f>LN('2.ΤΙΜΕΣ ΚΛΕΙΣΙΜΑΤΟΣ'!M145/'2.ΤΙΜΕΣ ΚΛΕΙΣΙΜΑΤΟΣ'!M144)</f>
        <v>1.069528911674795E-2</v>
      </c>
      <c r="N144" s="43">
        <f>LN('2.ΤΙΜΕΣ ΚΛΕΙΣΙΜΑΤΟΣ'!N145/'2.ΤΙΜΕΣ ΚΛΕΙΣΙΜΑΤΟΣ'!N144)</f>
        <v>-4.0297421307313704E-3</v>
      </c>
      <c r="O144" s="43">
        <f>LN('2.ΤΙΜΕΣ ΚΛΕΙΣΙΜΑΤΟΣ'!O145/'2.ΤΙΜΕΣ ΚΛΕΙΣΙΜΑΤΟΣ'!O144)</f>
        <v>0</v>
      </c>
      <c r="P144" s="43">
        <f>LN('2.ΤΙΜΕΣ ΚΛΕΙΣΙΜΑΤΟΣ'!P145/'2.ΤΙΜΕΣ ΚΛΕΙΣΙΜΑΤΟΣ'!P144)</f>
        <v>7.4349784875179905E-3</v>
      </c>
      <c r="Q144" s="43">
        <f>LN('2.ΤΙΜΕΣ ΚΛΕΙΣΙΜΑΤΟΣ'!Q145/'2.ΤΙΜΕΣ ΚΛΕΙΣΙΜΑΤΟΣ'!Q144)</f>
        <v>5.8574850195790883E-3</v>
      </c>
      <c r="R144" s="43">
        <f>LN('2.ΤΙΜΕΣ ΚΛΕΙΣΙΜΑΤΟΣ'!R145/'2.ΤΙΜΕΣ ΚΛΕΙΣΙΜΑΤΟΣ'!R144)</f>
        <v>-1.3641003984230116E-2</v>
      </c>
      <c r="S144" s="43">
        <f>LN('2.ΤΙΜΕΣ ΚΛΕΙΣΙΜΑΤΟΣ'!S145/'2.ΤΙΜΕΣ ΚΛΕΙΣΙΜΑΤΟΣ'!S144)</f>
        <v>2.5608208616736505E-3</v>
      </c>
      <c r="T144" s="43">
        <f>LN('2.ΤΙΜΕΣ ΚΛΕΙΣΙΜΑΤΟΣ'!T145/'2.ΤΙΜΕΣ ΚΛΕΙΣΙΜΑΤΟΣ'!T144)</f>
        <v>-1.5979035057889258E-2</v>
      </c>
      <c r="U144" s="43">
        <f>LN('2.ΤΙΜΕΣ ΚΛΕΙΣΙΜΑΤΟΣ'!U145/'2.ΤΙΜΕΣ ΚΛΕΙΣΙΜΑΤΟΣ'!U144)</f>
        <v>1.1806512586989044E-2</v>
      </c>
      <c r="V144" s="43">
        <f>LN('2.ΤΙΜΕΣ ΚΛΕΙΣΙΜΑΤΟΣ'!V145/'2.ΤΙΜΕΣ ΚΛΕΙΣΙΜΑΤΟΣ'!V144)</f>
        <v>4.3573053689558473E-3</v>
      </c>
      <c r="W144" s="43">
        <f>LN('2.ΤΙΜΕΣ ΚΛΕΙΣΙΜΑΤΟΣ'!W145/'2.ΤΙΜΕΣ ΚΛΕΙΣΙΜΑΤΟΣ'!W144)</f>
        <v>-2.4660924951934427E-3</v>
      </c>
      <c r="X144" s="43">
        <f>LN('2.ΤΙΜΕΣ ΚΛΕΙΣΙΜΑΤΟΣ'!X145/'2.ΤΙΜΕΣ ΚΛΕΙΣΙΜΑΤΟΣ'!X144)</f>
        <v>2.7090627532780054E-3</v>
      </c>
      <c r="Y144" s="43">
        <f>LN('2.ΤΙΜΕΣ ΚΛΕΙΣΙΜΑΤΟΣ'!Y145/'2.ΤΙΜΕΣ ΚΛΕΙΣΙΜΑΤΟΣ'!Y144)</f>
        <v>-7.7994824348237507E-3</v>
      </c>
      <c r="Z144" s="43">
        <f>LN('2.ΤΙΜΕΣ ΚΛΕΙΣΙΜΑΤΟΣ'!Z145/'2.ΤΙΜΕΣ ΚΛΕΙΣΙΜΑΤΟΣ'!Z144)</f>
        <v>3.7105793965357746E-3</v>
      </c>
      <c r="AA144" s="43">
        <f>LN('2.ΤΙΜΕΣ ΚΛΕΙΣΙΜΑΤΟΣ'!AA145/'2.ΤΙΜΕΣ ΚΛΕΙΣΙΜΑΤΟΣ'!AA144)</f>
        <v>-2.8368813351996149E-3</v>
      </c>
      <c r="AB144" s="43">
        <f>LN('2.ΤΙΜΕΣ ΚΛΕΙΣΙΜΑΤΟΣ'!AB145/'2.ΤΙΜΕΣ ΚΛΕΙΣΙΜΑΤΟΣ'!AB144)</f>
        <v>-1.1152531950475116E-2</v>
      </c>
      <c r="AC144" s="43">
        <f>LN('2.ΤΙΜΕΣ ΚΛΕΙΣΙΜΑΤΟΣ'!AC145/'2.ΤΙΜΕΣ ΚΛΕΙΣΙΜΑΤΟΣ'!AC144)</f>
        <v>1.3889112160667093E-2</v>
      </c>
      <c r="AD144" s="43">
        <f>LN('2.ΤΙΜΕΣ ΚΛΕΙΣΙΜΑΤΟΣ'!AD145/'2.ΤΙΜΕΣ ΚΛΕΙΣΙΜΑΤΟΣ'!AD144)</f>
        <v>-1.4695079793599947E-3</v>
      </c>
      <c r="AE144" s="43">
        <f>LN('2.ΤΙΜΕΣ ΚΛΕΙΣΙΜΑΤΟΣ'!AE145/'2.ΤΙΜΕΣ ΚΛΕΙΣΙΜΑΤΟΣ'!AE144)</f>
        <v>0</v>
      </c>
      <c r="AF144" s="43">
        <f>LN('2.ΤΙΜΕΣ ΚΛΕΙΣΙΜΑΤΟΣ'!AF145/'2.ΤΙΜΕΣ ΚΛΕΙΣΙΜΑΤΟΣ'!AF144)</f>
        <v>-1.0929070532190317E-2</v>
      </c>
      <c r="AG144" s="43">
        <f>LN('2.ΤΙΜΕΣ ΚΛΕΙΣΙΜΑΤΟΣ'!AG145/'2.ΤΙΜΕΣ ΚΛΕΙΣΙΜΑΤΟΣ'!AG144)</f>
        <v>-4.5662179795811948E-3</v>
      </c>
      <c r="AH144" s="43">
        <f>LN('2.ΤΙΜΕΣ ΚΛΕΙΣΙΜΑΤΟΣ'!AH145/'2.ΤΙΜΕΣ ΚΛΕΙΣΙΜΑΤΟΣ'!AH144)</f>
        <v>-1.749315744751723E-2</v>
      </c>
      <c r="AI144" s="43">
        <f>LN('2.ΤΙΜΕΣ ΚΛΕΙΣΙΜΑΤΟΣ'!AI145/'2.ΤΙΜΕΣ ΚΛΕΙΣΙΜΑΤΟΣ'!AI144)</f>
        <v>-7.9051795071132611E-3</v>
      </c>
      <c r="AJ144" s="43">
        <f>LN('2.ΤΙΜΕΣ ΚΛΕΙΣΙΜΑΤΟΣ'!AJ145/'2.ΤΙΜΕΣ ΚΛΕΙΣΙΜΑΤΟΣ'!AJ144)</f>
        <v>-1.8182319083190474E-2</v>
      </c>
      <c r="AK144" s="43">
        <f>LN('2.ΤΙΜΕΣ ΚΛΕΙΣΙΜΑΤΟΣ'!AK145/'2.ΤΙΜΕΣ ΚΛΕΙΣΙΜΑΤΟΣ'!AK144)</f>
        <v>4.6403795565023009E-3</v>
      </c>
      <c r="AL144" s="43">
        <f>LN('2.ΤΙΜΕΣ ΚΛΕΙΣΙΜΑΤΟΣ'!AL145/'2.ΤΙΜΕΣ ΚΛΕΙΣΙΜΑΤΟΣ'!AL144)</f>
        <v>8.9686699827603161E-3</v>
      </c>
      <c r="AM144" s="43">
        <f>LN('2.ΤΙΜΕΣ ΚΛΕΙΣΙΜΑΤΟΣ'!AM145/'2.ΤΙΜΕΣ ΚΛΕΙΣΙΜΑΤΟΣ'!AM144)</f>
        <v>0</v>
      </c>
      <c r="AN144" s="43">
        <f>LN('2.ΤΙΜΕΣ ΚΛΕΙΣΙΜΑΤΟΣ'!AN145/'2.ΤΙΜΕΣ ΚΛΕΙΣΙΜΑΤΟΣ'!AN144)</f>
        <v>-6.4865092296067734E-3</v>
      </c>
      <c r="AO144" s="43">
        <f>LN('2.ΤΙΜΕΣ ΚΛΕΙΣΙΜΑΤΟΣ'!AO145/'2.ΤΙΜΕΣ ΚΛΕΙΣΙΜΑΤΟΣ'!AO144)</f>
        <v>0</v>
      </c>
      <c r="AP144" s="43">
        <f>LN('2.ΤΙΜΕΣ ΚΛΕΙΣΙΜΑΤΟΣ'!AP145/'2.ΤΙΜΕΣ ΚΛΕΙΣΙΜΑΤΟΣ'!AP144)</f>
        <v>5.899722127188322E-3</v>
      </c>
      <c r="AQ144" s="43">
        <f>LN('2.ΤΙΜΕΣ ΚΛΕΙΣΙΜΑΤΟΣ'!AQ145/'2.ΤΙΜΕΣ ΚΛΕΙΣΙΜΑΤΟΣ'!AQ144)</f>
        <v>-6.2435166396850473E-3</v>
      </c>
      <c r="AR144" s="43">
        <f>LN('2.ΤΙΜΕΣ ΚΛΕΙΣΙΜΑΤΟΣ'!AR145/'2.ΤΙΜΕΣ ΚΛΕΙΣΙΜΑΤΟΣ'!AR144)</f>
        <v>1.5477523068913143E-2</v>
      </c>
      <c r="AS144" s="43">
        <f>LN('2.ΤΙΜΕΣ ΚΛΕΙΣΙΜΑΤΟΣ'!AS145/'2.ΤΙΜΕΣ ΚΛΕΙΣΙΜΑΤΟΣ'!AS144)</f>
        <v>-1.8996500690655147E-2</v>
      </c>
      <c r="AT144" s="43">
        <f>LN('2.ΤΙΜΕΣ ΚΛΕΙΣΙΜΑΤΟΣ'!AT145/'2.ΤΙΜΕΣ ΚΛΕΙΣΙΜΑΤΟΣ'!AT144)</f>
        <v>-5.1638856793799856E-2</v>
      </c>
      <c r="AU144" s="43">
        <f>LN('2.ΤΙΜΕΣ ΚΛΕΙΣΙΜΑΤΟΣ'!AU145/'2.ΤΙΜΕΣ ΚΛΕΙΣΙΜΑΤΟΣ'!AU144)</f>
        <v>-4.2367302237400695E-4</v>
      </c>
    </row>
    <row r="145" spans="1:47">
      <c r="A145" s="41">
        <v>43762</v>
      </c>
      <c r="B145" s="43">
        <f>LN('2.ΤΙΜΕΣ ΚΛΕΙΣΙΜΑΤΟΣ'!B146/'2.ΤΙΜΕΣ ΚΛΕΙΣΙΜΑΤΟΣ'!B145)</f>
        <v>4.6436947172293526E-3</v>
      </c>
      <c r="C145" s="43">
        <f>LN('2.ΤΙΜΕΣ ΚΛΕΙΣΙΜΑΤΟΣ'!C146/'2.ΤΙΜΕΣ ΚΛΕΙΣΙΜΑΤΟΣ'!C145)</f>
        <v>0</v>
      </c>
      <c r="D145" s="43">
        <f>LN('2.ΤΙΜΕΣ ΚΛΕΙΣΙΜΑΤΟΣ'!D146/'2.ΤΙΜΕΣ ΚΛΕΙΣΙΜΑΤΟΣ'!D145)</f>
        <v>1.0825405990553963E-2</v>
      </c>
      <c r="E145" s="43">
        <f>LN('2.ΤΙΜΕΣ ΚΛΕΙΣΙΜΑΤΟΣ'!E146/'2.ΤΙΜΕΣ ΚΛΕΙΣΙΜΑΤΟΣ'!E145)</f>
        <v>5.7306747089850745E-3</v>
      </c>
      <c r="F145" s="43">
        <f>LN('2.ΤΙΜΕΣ ΚΛΕΙΣΙΜΑΤΟΣ'!F146/'2.ΤΙΜΕΣ ΚΛΕΙΣΙΜΑΤΟΣ'!F145)</f>
        <v>1.6667052485211862E-2</v>
      </c>
      <c r="G145" s="43">
        <f>LN('2.ΤΙΜΕΣ ΚΛΕΙΣΙΜΑΤΟΣ'!G146/'2.ΤΙΜΕΣ ΚΛΕΙΣΙΜΑΤΟΣ'!G145)</f>
        <v>-2.2547923870890937E-3</v>
      </c>
      <c r="H145" s="43">
        <f>LN('2.ΤΙΜΕΣ ΚΛΕΙΣΙΜΑΤΟΣ'!H146/'2.ΤΙΜΕΣ ΚΛΕΙΣΙΜΑΤΟΣ'!H145)</f>
        <v>6.4014850520408891E-3</v>
      </c>
      <c r="I145" s="43">
        <f>LN('2.ΤΙΜΕΣ ΚΛΕΙΣΙΜΑΤΟΣ'!I146/'2.ΤΙΜΕΣ ΚΛΕΙΣΙΜΑΤΟΣ'!I145)</f>
        <v>5.5570993372295479E-4</v>
      </c>
      <c r="J145" s="43">
        <f>LN('2.ΤΙΜΕΣ ΚΛΕΙΣΙΜΑΤΟΣ'!J146/'2.ΤΙΜΕΣ ΚΛΕΙΣΙΜΑΤΟΣ'!J145)</f>
        <v>-1.2000829781271562E-2</v>
      </c>
      <c r="K145" s="43">
        <f>LN('2.ΤΙΜΕΣ ΚΛΕΙΣΙΜΑΤΟΣ'!K146/'2.ΤΙΜΕΣ ΚΛΕΙΣΙΜΑΤΟΣ'!K145)</f>
        <v>4.1512290896411255E-3</v>
      </c>
      <c r="L145" s="43">
        <f>LN('2.ΤΙΜΕΣ ΚΛΕΙΣΙΜΑΤΟΣ'!L146/'2.ΤΙΜΕΣ ΚΛΕΙΣΙΜΑΤΟΣ'!L145)</f>
        <v>-1.5190165493975007E-2</v>
      </c>
      <c r="M145" s="43">
        <f>LN('2.ΤΙΜΕΣ ΚΛΕΙΣΙΜΑΤΟΣ'!M146/'2.ΤΙΜΕΣ ΚΛΕΙΣΙΜΑΤΟΣ'!M145)</f>
        <v>0</v>
      </c>
      <c r="N145" s="43">
        <f>LN('2.ΤΙΜΕΣ ΚΛΕΙΣΙΜΑΤΟΣ'!N146/'2.ΤΙΜΕΣ ΚΛΕΙΣΙΜΑΤΟΣ'!N145)</f>
        <v>1.3914013654279971E-3</v>
      </c>
      <c r="O145" s="43">
        <f>LN('2.ΤΙΜΕΣ ΚΛΕΙΣΙΜΑΤΟΣ'!O146/'2.ΤΙΜΕΣ ΚΛΕΙΣΙΜΑΤΟΣ'!O145)</f>
        <v>-6.2853758149608646E-3</v>
      </c>
      <c r="P145" s="43">
        <f>LN('2.ΤΙΜΕΣ ΚΛΕΙΣΙΜΑΤΟΣ'!P146/'2.ΤΙΜΕΣ ΚΛΕΙΣΙΜΑΤΟΣ'!P145)</f>
        <v>2.9585820397450414E-3</v>
      </c>
      <c r="Q145" s="43">
        <f>LN('2.ΤΙΜΕΣ ΚΛΕΙΣΙΜΑΤΟΣ'!Q146/'2.ΤΙΜΕΣ ΚΛΕΙΣΙΜΑΤΟΣ'!Q145)</f>
        <v>-1.2987014812365721E-3</v>
      </c>
      <c r="R145" s="43">
        <f>LN('2.ΤΙΜΕΣ ΚΛΕΙΣΙΜΑΤΟΣ'!R146/'2.ΤΙΜΕΣ ΚΛΕΙΣΙΜΑΤΟΣ'!R145)</f>
        <v>-2.619516887550358E-3</v>
      </c>
      <c r="S145" s="43">
        <f>LN('2.ΤΙΜΕΣ ΚΛΕΙΣΙΜΑΤΟΣ'!S146/'2.ΤΙΜΕΣ ΚΛΕΙΣΙΜΑΤΟΣ'!S145)</f>
        <v>2.2756987122616278E-2</v>
      </c>
      <c r="T145" s="43">
        <f>LN('2.ΤΙΜΕΣ ΚΛΕΙΣΙΜΑΤΟΣ'!T146/'2.ΤΙΜΕΣ ΚΛΕΙΣΙΜΑΤΟΣ'!T145)</f>
        <v>-2.6881736618004138E-3</v>
      </c>
      <c r="U145" s="43">
        <f>LN('2.ΤΙΜΕΣ ΚΛΕΙΣΙΜΑΤΟΣ'!U146/'2.ΤΙΜΕΣ ΚΛΕΙΣΙΜΑΤΟΣ'!U145)</f>
        <v>-7.0671672230923311E-3</v>
      </c>
      <c r="V145" s="43">
        <f>LN('2.ΤΙΜΕΣ ΚΛΕΙΣΙΜΑΤΟΣ'!V146/'2.ΤΙΜΕΣ ΚΛΕΙΣΙΜΑΤΟΣ'!V145)</f>
        <v>-1.0929070532190317E-2</v>
      </c>
      <c r="W145" s="43">
        <f>LN('2.ΤΙΜΕΣ ΚΛΕΙΣΙΜΑΤΟΣ'!W146/'2.ΤΙΜΕΣ ΚΛΕΙΣΙΜΑΤΟΣ'!W145)</f>
        <v>4.9261183360560026E-3</v>
      </c>
      <c r="X145" s="43">
        <f>LN('2.ΤΙΜΕΣ ΚΛΕΙΣΙΜΑΤΟΣ'!X146/'2.ΤΙΜΕΣ ΚΛΕΙΣΙΜΑΤΟΣ'!X145)</f>
        <v>-1.116850097057622E-2</v>
      </c>
      <c r="Y145" s="43">
        <f>LN('2.ΤΙΜΕΣ ΚΛΕΙΣΙΜΑΤΟΣ'!Y146/'2.ΤΙΜΕΣ ΚΛΕΙΣΙΜΑΤΟΣ'!Y145)</f>
        <v>1.6639319003964724E-2</v>
      </c>
      <c r="Z145" s="43">
        <f>LN('2.ΤΙΜΕΣ ΚΛΕΙΣΙΜΑΤΟΣ'!Z146/'2.ΤΙΜΕΣ ΚΛΕΙΣΙΜΑΤΟΣ'!Z145)</f>
        <v>0</v>
      </c>
      <c r="AA145" s="43">
        <f>LN('2.ΤΙΜΕΣ ΚΛΕΙΣΙΜΑΤΟΣ'!AA146/'2.ΤΙΜΕΣ ΚΛΕΙΣΙΜΑΤΟΣ'!AA145)</f>
        <v>-2.008675856673723E-2</v>
      </c>
      <c r="AB145" s="43">
        <f>LN('2.ΤΙΜΕΣ ΚΛΕΙΣΙΜΑΤΟΣ'!AB146/'2.ΤΙΜΕΣ ΚΛΕΙΣΙΜΑΤΟΣ'!AB145)</f>
        <v>2.5831694613524175E-2</v>
      </c>
      <c r="AC145" s="43">
        <f>LN('2.ΤΙΜΕΣ ΚΛΕΙΣΙΜΑΤΟΣ'!AC146/'2.ΤΙΜΕΣ ΚΛΕΙΣΙΜΑΤΟΣ'!AC145)</f>
        <v>2.317758831270559E-2</v>
      </c>
      <c r="AD145" s="43">
        <f>LN('2.ΤΙΜΕΣ ΚΛΕΙΣΙΜΑΤΟΣ'!AD146/'2.ΤΙΜΕΣ ΚΛΕΙΣΙΜΑΤΟΣ'!AD145)</f>
        <v>-4.4215252578773739E-3</v>
      </c>
      <c r="AE145" s="43">
        <f>LN('2.ΤΙΜΕΣ ΚΛΕΙΣΙΜΑΤΟΣ'!AE146/'2.ΤΙΜΕΣ ΚΛΕΙΣΙΜΑΤΟΣ'!AE145)</f>
        <v>3.9138993211363148E-3</v>
      </c>
      <c r="AF145" s="43">
        <f>LN('2.ΤΙΜΕΣ ΚΛΕΙΣΙΜΑΤΟΣ'!AF146/'2.ΤΙΜΕΣ ΚΛΕΙΣΙΜΑΤΟΣ'!AF145)</f>
        <v>-4.4052934679163795E-3</v>
      </c>
      <c r="AG145" s="43">
        <f>LN('2.ΤΙΜΕΣ ΚΛΕΙΣΙΜΑΤΟΣ'!AG146/'2.ΤΙΜΕΣ ΚΛΕΙΣΙΜΑΤΟΣ'!AG145)</f>
        <v>6.8415318167167841E-3</v>
      </c>
      <c r="AH145" s="43">
        <f>LN('2.ΤΙΜΕΣ ΚΛΕΙΣΙΜΑΤΟΣ'!AH146/'2.ΤΙΜΕΣ ΚΛΕΙΣΙΜΑΤΟΣ'!AH145)</f>
        <v>1.5564516541111548E-2</v>
      </c>
      <c r="AI145" s="43">
        <f>LN('2.ΤΙΜΕΣ ΚΛΕΙΣΙΜΑΤΟΣ'!AI146/'2.ΤΙΜΕΣ ΚΛΕΙΣΙΜΑΤΟΣ'!AI145)</f>
        <v>0</v>
      </c>
      <c r="AJ145" s="43">
        <f>LN('2.ΤΙΜΕΣ ΚΛΕΙΣΙΜΑΤΟΣ'!AJ146/'2.ΤΙΜΕΣ ΚΛΕΙΣΙΜΑΤΟΣ'!AJ145)</f>
        <v>-9.2166551049240632E-3</v>
      </c>
      <c r="AK145" s="43">
        <f>LN('2.ΤΙΜΕΣ ΚΛΕΙΣΙΜΑΤΟΣ'!AK146/'2.ΤΙΜΕΣ ΚΛΕΙΣΙΜΑΤΟΣ'!AK145)</f>
        <v>-1.3986241974739952E-2</v>
      </c>
      <c r="AL145" s="43">
        <f>LN('2.ΤΙΜΕΣ ΚΛΕΙΣΙΜΑΤΟΣ'!AL146/'2.ΤΙΜΕΣ ΚΛΕΙΣΙΜΑΤΟΣ'!AL145)</f>
        <v>-3.6367644170874833E-2</v>
      </c>
      <c r="AM145" s="43">
        <f>LN('2.ΤΙΜΕΣ ΚΛΕΙΣΙΜΑΤΟΣ'!AM146/'2.ΤΙΜΕΣ ΚΛΕΙΣΙΜΑΤΟΣ'!AM145)</f>
        <v>-5.1948168771040228E-3</v>
      </c>
      <c r="AN145" s="43">
        <f>LN('2.ΤΙΜΕΣ ΚΛΕΙΣΙΜΑΤΟΣ'!AN146/'2.ΤΙΜΕΣ ΚΛΕΙΣΙΜΑΤΟΣ'!AN145)</f>
        <v>6.4865092296068523E-3</v>
      </c>
      <c r="AO145" s="43">
        <f>LN('2.ΤΙΜΕΣ ΚΛΕΙΣΙΜΑΤΟΣ'!AO146/'2.ΤΙΜΕΣ ΚΛΕΙΣΙΜΑΤΟΣ'!AO145)</f>
        <v>5.9701669865037544E-3</v>
      </c>
      <c r="AP145" s="43">
        <f>LN('2.ΤΙΜΕΣ ΚΛΕΙΣΙΜΑΤΟΣ'!AP146/'2.ΤΙΜΕΣ ΚΛΕΙΣΙΜΑΤΟΣ'!AP145)</f>
        <v>1.7493157447517119E-2</v>
      </c>
      <c r="AQ145" s="43">
        <f>LN('2.ΤΙΜΕΣ ΚΛΕΙΣΙΜΑΤΟΣ'!AQ146/'2.ΤΙΜΕΣ ΚΛΕΙΣΙΜΑΤΟΣ'!AQ145)</f>
        <v>-4.1841065225739849E-3</v>
      </c>
      <c r="AR145" s="43">
        <f>LN('2.ΤΙΜΕΣ ΚΛΕΙΣΙΜΑΤΟΣ'!AR146/'2.ΤΙΜΕΣ ΚΛΕΙΣΙΜΑΤΟΣ'!AR145)</f>
        <v>-1.0291686036547636E-2</v>
      </c>
      <c r="AS145" s="43">
        <f>LN('2.ΤΙΜΕΣ ΚΛΕΙΣΙΜΑΤΟΣ'!AS146/'2.ΤΙΜΕΣ ΚΛΕΙΣΙΜΑΤΟΣ'!AS145)</f>
        <v>-8.2531417567204141E-3</v>
      </c>
      <c r="AT145" s="43">
        <f>LN('2.ΤΙΜΕΣ ΚΛΕΙΣΙΜΑΤΟΣ'!AT146/'2.ΤΙΜΕΣ ΚΛΕΙΣΙΜΑΤΟΣ'!AT145)</f>
        <v>-2.567235505412695E-2</v>
      </c>
      <c r="AU145" s="43">
        <f>LN('2.ΤΙΜΕΣ ΚΛΕΙΣΙΜΑΤΟΣ'!AU146/'2.ΤΙΜΕΣ ΚΛΕΙΣΙΜΑΤΟΣ'!AU145)</f>
        <v>9.7303554677721641E-4</v>
      </c>
    </row>
    <row r="146" spans="1:47">
      <c r="A146" s="41">
        <v>43763</v>
      </c>
      <c r="B146" s="43">
        <f>LN('2.ΤΙΜΕΣ ΚΛΕΙΣΙΜΑΤΟΣ'!B147/'2.ΤΙΜΕΣ ΚΛΕΙΣΙΜΑΤΟΣ'!B146)</f>
        <v>-1.363494392484604E-2</v>
      </c>
      <c r="C146" s="43">
        <f>LN('2.ΤΙΜΕΣ ΚΛΕΙΣΙΜΑΤΟΣ'!C147/'2.ΤΙΜΕΣ ΚΛΕΙΣΙΜΑΤΟΣ'!C146)</f>
        <v>-8.1271226788913725E-3</v>
      </c>
      <c r="D146" s="43">
        <f>LN('2.ΤΙΜΕΣ ΚΛΕΙΣΙΜΑΤΟΣ'!D147/'2.ΤΙΜΕΣ ΚΛΕΙΣΙΜΑΤΟΣ'!D146)</f>
        <v>-1.0259567946194082E-3</v>
      </c>
      <c r="E146" s="43">
        <f>LN('2.ΤΙΜΕΣ ΚΛΕΙΣΙΜΑΤΟΣ'!E147/'2.ΤΙΜΕΣ ΚΛΕΙΣΙΜΑΤΟΣ'!E146)</f>
        <v>-2.8612322810322348E-3</v>
      </c>
      <c r="F146" s="43">
        <f>LN('2.ΤΙΜΕΣ ΚΛΕΙΣΙΜΑΤΟΣ'!F147/'2.ΤΙΜΕΣ ΚΛΕΙΣΙΜΑΤΟΣ'!F146)</f>
        <v>-9.4899881848481676E-3</v>
      </c>
      <c r="G146" s="43">
        <f>LN('2.ΤΙΜΕΣ ΚΛΕΙΣΙΜΑΤΟΣ'!G147/'2.ΤΙΜΕΣ ΚΛΕΙΣΙΜΑΤΟΣ'!G146)</f>
        <v>-1.129305597151414E-3</v>
      </c>
      <c r="H146" s="43">
        <f>LN('2.ΤΙΜΕΣ ΚΛΕΙΣΙΜΑΤΟΣ'!H147/'2.ΤΙΜΕΣ ΚΛΕΙΣΙΜΑΤΟΣ'!H146)</f>
        <v>-9.1575731540209562E-3</v>
      </c>
      <c r="I146" s="43">
        <f>LN('2.ΤΙΜΕΣ ΚΛΕΙΣΙΜΑΤΟΣ'!I147/'2.ΤΙΜΕΣ ΚΛΕΙΣΙΜΑΤΟΣ'!I146)</f>
        <v>0</v>
      </c>
      <c r="J146" s="43">
        <f>LN('2.ΤΙΜΕΣ ΚΛΕΙΣΙΜΑΤΟΣ'!J147/'2.ΤΙΜΕΣ ΚΛΕΙΣΙΜΑΤΟΣ'!J146)</f>
        <v>1.7232470230312011E-3</v>
      </c>
      <c r="K146" s="43">
        <f>LN('2.ΤΙΜΕΣ ΚΛΕΙΣΙΜΑΤΟΣ'!K147/'2.ΤΙΜΕΣ ΚΛΕΙΣΙΜΑΤΟΣ'!K146)</f>
        <v>2.8071230666424666E-3</v>
      </c>
      <c r="L146" s="43">
        <f>LN('2.ΤΙΜΕΣ ΚΛΕΙΣΙΜΑΤΟΣ'!L147/'2.ΤΙΜΕΣ ΚΛΕΙΣΙΜΑΤΟΣ'!L146)</f>
        <v>1.7198198297220822E-2</v>
      </c>
      <c r="M146" s="43">
        <f>LN('2.ΤΙΜΕΣ ΚΛΕΙΣΙΜΑΤΟΣ'!M147/'2.ΤΙΜΕΣ ΚΛΕΙΣΙΜΑΤΟΣ'!M146)</f>
        <v>-1.0695289116747919E-2</v>
      </c>
      <c r="N146" s="43">
        <f>LN('2.ΤΙΜΕΣ ΚΛΕΙΣΙΜΑΤΟΣ'!N147/'2.ΤΙΜΕΣ ΚΛΕΙΣΙΜΑΤΟΣ'!N146)</f>
        <v>4.0241502997253268E-3</v>
      </c>
      <c r="O146" s="43">
        <f>LN('2.ΤΙΜΕΣ ΚΛΕΙΣΙΜΑΤΟΣ'!O147/'2.ΤΙΜΕΣ ΚΛΕΙΣΙΜΑΤΟΣ'!O146)</f>
        <v>3.7759642095351359E-3</v>
      </c>
      <c r="P146" s="43">
        <f>LN('2.ΤΙΜΕΣ ΚΛΕΙΣΙΜΑΤΟΣ'!P147/'2.ΤΙΜΕΣ ΚΛΕΙΣΙΜΑΤΟΣ'!P146)</f>
        <v>1.6117565021068692E-2</v>
      </c>
      <c r="Q146" s="43">
        <f>LN('2.ΤΙΜΕΣ ΚΛΕΙΣΙΜΑΤΟΣ'!Q147/'2.ΤΙΜΕΣ ΚΛΕΙΣΙΜΑΤΟΣ'!Q146)</f>
        <v>3.2435967458424204E-3</v>
      </c>
      <c r="R146" s="43">
        <f>LN('2.ΤΙΜΕΣ ΚΛΕΙΣΙΜΑΤΟΣ'!R147/'2.ΤΙΜΕΣ ΚΛΕΙΣΙΜΑΤΟΣ'!R146)</f>
        <v>-1.9691506198807611E-3</v>
      </c>
      <c r="S146" s="43">
        <f>LN('2.ΤΙΜΕΣ ΚΛΕΙΣΙΜΑΤΟΣ'!S147/'2.ΤΙΜΕΣ ΚΛΕΙΣΙΜΑΤΟΣ'!S146)</f>
        <v>-3.7570488777122881E-3</v>
      </c>
      <c r="T146" s="43">
        <f>LN('2.ΤΙΜΕΣ ΚΛΕΙΣΙΜΑΤΟΣ'!T147/'2.ΤΙΜΕΣ ΚΛΕΙΣΙΜΑΤΟΣ'!T146)</f>
        <v>-5.3981237695573695E-3</v>
      </c>
      <c r="U146" s="43">
        <f>LN('2.ΤΙΜΕΣ ΚΛΕΙΣΙΜΑΤΟΣ'!U147/'2.ΤΙΜΕΣ ΚΛΕΙΣΙΜΑΤΟΣ'!U146)</f>
        <v>1.175101653551873E-2</v>
      </c>
      <c r="V146" s="43">
        <f>LN('2.ΤΙΜΕΣ ΚΛΕΙΣΙΜΑΤΟΣ'!V147/'2.ΤΙΜΕΣ ΚΛΕΙΣΙΜΑΤΟΣ'!V146)</f>
        <v>1.092907053219023E-2</v>
      </c>
      <c r="W146" s="43">
        <f>LN('2.ΤΙΜΕΣ ΚΛΕΙΣΙΜΑΤΟΣ'!W147/'2.ΤΙΜΕΣ ΚΛΕΙΣΙΜΑΤΟΣ'!W146)</f>
        <v>0</v>
      </c>
      <c r="X146" s="43">
        <f>LN('2.ΤΙΜΕΣ ΚΛΕΙΣΙΜΑΤΟΣ'!X147/'2.ΤΙΜΕΣ ΚΛΕΙΣΙΜΑΤΟΣ'!X146)</f>
        <v>0</v>
      </c>
      <c r="Y146" s="43">
        <f>LN('2.ΤΙΜΕΣ ΚΛΕΙΣΙΜΑΤΟΣ'!Y147/'2.ΤΙΜΕΣ ΚΛΕΙΣΙΜΑΤΟΣ'!Y146)</f>
        <v>-1.7758513300979852E-2</v>
      </c>
      <c r="Z146" s="43">
        <f>LN('2.ΤΙΜΕΣ ΚΛΕΙΣΙΜΑΤΟΣ'!Z147/'2.ΤΙΜΕΣ ΚΛΕΙΣΙΜΑΤΟΣ'!Z146)</f>
        <v>1.1049836186584935E-2</v>
      </c>
      <c r="AA146" s="43">
        <f>LN('2.ΤΙΜΕΣ ΚΛΕΙΣΙΜΑΤΟΣ'!AA147/'2.ΤΙΜΕΣ ΚΛΕΙΣΙΜΑΤΟΣ'!AA146)</f>
        <v>5.7803629154995493E-3</v>
      </c>
      <c r="AB146" s="43">
        <f>LN('2.ΤΙΜΕΣ ΚΛΕΙΣΙΜΑΤΟΣ'!AB147/'2.ΤΙΜΕΣ ΚΛΕΙΣΙΜΑΤΟΣ'!AB146)</f>
        <v>-2.0239881347746316E-2</v>
      </c>
      <c r="AC146" s="43">
        <f>LN('2.ΤΙΜΕΣ ΚΛΕΙΣΙΜΑΤΟΣ'!AC147/'2.ΤΙΜΕΣ ΚΛΕΙΣΙΜΑΤΟΣ'!AC146)</f>
        <v>-2.3177588312705683E-2</v>
      </c>
      <c r="AD146" s="43">
        <f>LN('2.ΤΙΜΕΣ ΚΛΕΙΣΙΜΑΤΟΣ'!AD147/'2.ΤΙΜΕΣ ΚΛΕΙΣΙΜΑΤΟΣ'!AD146)</f>
        <v>5.8910332372373421E-3</v>
      </c>
      <c r="AE146" s="43">
        <f>LN('2.ΤΙΜΕΣ ΚΛΕΙΣΙΜΑΤΟΣ'!AE147/'2.ΤΙΜΕΣ ΚΛΕΙΣΙΜΑΤΟΣ'!AE146)</f>
        <v>1.1650617219975274E-2</v>
      </c>
      <c r="AF146" s="43">
        <f>LN('2.ΤΙΜΕΣ ΚΛΕΙΣΙΜΑΤΟΣ'!AF147/'2.ΤΙΜΕΣ ΚΛΕΙΣΙΜΑΤΟΣ'!AF146)</f>
        <v>-8.8692377407797729E-3</v>
      </c>
      <c r="AG146" s="43">
        <f>LN('2.ΤΙΜΕΣ ΚΛΕΙΣΙΜΑΤΟΣ'!AG147/'2.ΤΙΜΕΣ ΚΛΕΙΣΙΜΑΤΟΣ'!AG146)</f>
        <v>-4.5558165358606907E-3</v>
      </c>
      <c r="AH146" s="43">
        <f>LN('2.ΤΙΜΕΣ ΚΛΕΙΣΙΜΑΤΟΣ'!AH147/'2.ΤΙΜΕΣ ΚΛΕΙΣΙΜΑΤΟΣ'!AH146)</f>
        <v>5.7747994938839578E-3</v>
      </c>
      <c r="AI146" s="43">
        <f>LN('2.ΤΙΜΕΣ ΚΛΕΙΣΙΜΑΤΟΣ'!AI147/'2.ΤΙΜΕΣ ΚΛΕΙΣΙΜΑΤΟΣ'!AI146)</f>
        <v>-7.9681696491768449E-3</v>
      </c>
      <c r="AJ146" s="43">
        <f>LN('2.ΤΙΜΕΣ ΚΛΕΙΣΙΜΑΤΟΣ'!AJ147/'2.ΤΙΜΕΣ ΚΛΕΙΣΙΜΑΤΟΣ'!AJ146)</f>
        <v>0</v>
      </c>
      <c r="AK146" s="43">
        <f>LN('2.ΤΙΜΕΣ ΚΛΕΙΣΙΜΑΤΟΣ'!AK147/'2.ΤΙΜΕΣ ΚΛΕΙΣΙΜΑΤΟΣ'!AK146)</f>
        <v>-4.7058910374125048E-3</v>
      </c>
      <c r="AL146" s="43">
        <f>LN('2.ΤΙΜΕΣ ΚΛΕΙΣΙΜΑΤΟΣ'!AL147/'2.ΤΙΜΕΣ ΚΛΕΙΣΙΜΑΤΟΣ'!AL146)</f>
        <v>9.2166551049240476E-3</v>
      </c>
      <c r="AM146" s="43">
        <f>LN('2.ΤΙΜΕΣ ΚΛΕΙΣΙΜΑΤΟΣ'!AM147/'2.ΤΙΜΕΣ ΚΛΕΙΣΙΜΑΤΟΣ'!AM146)</f>
        <v>-2.6075634070808302E-3</v>
      </c>
      <c r="AN146" s="43">
        <f>LN('2.ΤΙΜΕΣ ΚΛΕΙΣΙΜΑΤΟΣ'!AN147/'2.ΤΙΜΕΣ ΚΛΕΙΣΙΜΑΤΟΣ'!AN146)</f>
        <v>-1.0834342165710118E-2</v>
      </c>
      <c r="AO146" s="43">
        <f>LN('2.ΤΙΜΕΣ ΚΛΕΙΣΙΜΑΤΟΣ'!AO147/'2.ΤΙΜΕΣ ΚΛΕΙΣΙΜΑΤΟΣ'!AO146)</f>
        <v>-5.970166986503796E-3</v>
      </c>
      <c r="AP146" s="43">
        <f>LN('2.ΤΙΜΕΣ ΚΛΕΙΣΙΜΑΤΟΣ'!AP147/'2.ΤΙΜΕΣ ΚΛΕΙΣΙΜΑΤΟΣ'!AP146)</f>
        <v>3.409421134297614E-2</v>
      </c>
      <c r="AQ146" s="43">
        <f>LN('2.ΤΙΜΕΣ ΚΛΕΙΣΙΜΑΤΟΣ'!AQ147/'2.ΤΙΜΕΣ ΚΛΕΙΣΙΜΑΤΟΣ'!AQ146)</f>
        <v>1.0476690324436838E-3</v>
      </c>
      <c r="AR146" s="43">
        <f>LN('2.ΤΙΜΕΣ ΚΛΕΙΣΙΜΑΤΟΣ'!AR147/'2.ΤΙΜΕΣ ΚΛΕΙΣΙΜΑΤΟΣ'!AR146)</f>
        <v>-6.9204428445737952E-3</v>
      </c>
      <c r="AS146" s="43">
        <f>LN('2.ΤΙΜΕΣ ΚΛΕΙΣΙΜΑΤΟΣ'!AS147/'2.ΤΙΜΕΣ ΚΛΕΙΣΙΜΑΤΟΣ'!AS146)</f>
        <v>1.0989121575595165E-2</v>
      </c>
      <c r="AT146" s="43">
        <f>LN('2.ΤΙΜΕΣ ΚΛΕΙΣΙΜΑΤΟΣ'!AT147/'2.ΤΙΜΕΣ ΚΛΕΙΣΙΜΑΤΟΣ'!AT146)</f>
        <v>6.8519946436756143E-2</v>
      </c>
      <c r="AU146" s="43">
        <f>LN('2.ΤΙΜΕΣ ΚΛΕΙΣΙΜΑΤΟΣ'!AU147/'2.ΤΙΜΕΣ ΚΛΕΙΣΙΜΑΤΟΣ'!AU146)</f>
        <v>-1.9240906593416404E-3</v>
      </c>
    </row>
    <row r="147" spans="1:47">
      <c r="A147" s="41">
        <v>43767</v>
      </c>
      <c r="B147" s="43">
        <f>LN('2.ΤΙΜΕΣ ΚΛΕΙΣΙΜΑΤΟΣ'!B148/'2.ΤΙΜΕΣ ΚΛΕΙΣΙΜΑΤΟΣ'!B147)</f>
        <v>-2.1176402863813538E-2</v>
      </c>
      <c r="C147" s="43">
        <f>LN('2.ΤΙΜΕΣ ΚΛΕΙΣΙΜΑΤΟΣ'!C148/'2.ΤΙΜΕΣ ΚΛΕΙΣΙΜΑΤΟΣ'!C147)</f>
        <v>8.8626872578453243E-3</v>
      </c>
      <c r="D147" s="43">
        <f>LN('2.ΤΙΜΕΣ ΚΛΕΙΣΙΜΑΤΟΣ'!D148/'2.ΤΙΜΕΣ ΚΛΕΙΣΙΜΑΤΟΣ'!D147)</f>
        <v>0</v>
      </c>
      <c r="E147" s="43">
        <f>LN('2.ΤΙΜΕΣ ΚΛΕΙΣΙΜΑΤΟΣ'!E148/'2.ΤΙΜΕΣ ΚΛΕΙΣΙΜΑΤΟΣ'!E147)</f>
        <v>2.8612322810321949E-3</v>
      </c>
      <c r="F147" s="43">
        <f>LN('2.ΤΙΜΕΣ ΚΛΕΙΣΙΜΑΤΟΣ'!F148/'2.ΤΙΜΕΣ ΚΛΕΙΣΙΜΑΤΟΣ'!F147)</f>
        <v>-2.3866359777309667E-3</v>
      </c>
      <c r="G147" s="43">
        <f>LN('2.ΤΙΜΕΣ ΚΛΕΙΣΙΜΑΤΟΣ'!G148/'2.ΤΙΜΕΣ ΚΛΕΙΣΙΜΑΤΟΣ'!G147)</f>
        <v>2.2347298691996618E-2</v>
      </c>
      <c r="H147" s="43">
        <f>LN('2.ΤΙΜΕΣ ΚΛΕΙΣΙΜΑΤΟΣ'!H148/'2.ΤΙΜΕΣ ΚΛΕΙΣΙΜΑΤΟΣ'!H147)</f>
        <v>1.1888571665252505E-2</v>
      </c>
      <c r="I147" s="43">
        <f>LN('2.ΤΙΜΕΣ ΚΛΕΙΣΙΜΑΤΟΣ'!I148/'2.ΤΙΜΕΣ ΚΛΕΙΣΙΜΑΤΟΣ'!I147)</f>
        <v>2.1978906718775167E-2</v>
      </c>
      <c r="J147" s="43">
        <f>LN('2.ΤΙΜΕΣ ΚΛΕΙΣΙΜΑΤΟΣ'!J148/'2.ΤΙΜΕΣ ΚΛΕΙΣΙΜΑΤΟΣ'!J147)</f>
        <v>2.0450610471290841E-2</v>
      </c>
      <c r="K147" s="43">
        <f>LN('2.ΤΙΜΕΣ ΚΛΕΙΣΙΜΑΤΟΣ'!K148/'2.ΤΙΜΕΣ ΚΛΕΙΣΙΜΑΤΟΣ'!K147)</f>
        <v>-9.7851040199545304E-3</v>
      </c>
      <c r="L147" s="43">
        <f>LN('2.ΤΙΜΕΣ ΚΛΕΙΣΙΜΑΤΟΣ'!L148/'2.ΤΙΜΕΣ ΚΛΕΙΣΙΜΑΤΟΣ'!L147)</f>
        <v>-1.7708532577242926E-2</v>
      </c>
      <c r="M147" s="43">
        <f>LN('2.ΤΙΜΕΣ ΚΛΕΙΣΙΜΑΤΟΣ'!M148/'2.ΤΙΜΕΣ ΚΛΕΙΣΙΜΑΤΟΣ'!M147)</f>
        <v>9.6308930609613659E-3</v>
      </c>
      <c r="N147" s="43">
        <f>LN('2.ΤΙΜΕΣ ΚΛΕΙΣΙΜΑΤΟΣ'!N148/'2.ΤΙΜΕΣ ΚΛΕΙΣΙΜΑΤΟΣ'!N147)</f>
        <v>-6.8088917261582378E-3</v>
      </c>
      <c r="O147" s="43">
        <f>LN('2.ΤΙΜΕΣ ΚΛΕΙΣΙΜΑΤΟΣ'!O148/'2.ΤΙΜΕΣ ΚΛΕΙΣΙΜΑΤΟΣ'!O147)</f>
        <v>-1.5190165493975233E-2</v>
      </c>
      <c r="P147" s="43">
        <f>LN('2.ΤΙΜΕΣ ΚΛΕΙΣΙΜΑΤΟΣ'!P148/'2.ΤΙΜΕΣ ΚΛΕΙΣΙΜΑΤΟΣ'!P147)</f>
        <v>1.4524330803148008E-3</v>
      </c>
      <c r="Q147" s="43">
        <f>LN('2.ΤΙΜΕΣ ΚΛΕΙΣΙΜΑΤΟΣ'!Q148/'2.ΤΙΜΕΣ ΚΛΕΙΣΙΜΑΤΟΣ'!Q147)</f>
        <v>-2.5940351770466466E-3</v>
      </c>
      <c r="R147" s="43">
        <f>LN('2.ΤΙΜΕΣ ΚΛΕΙΣΙΜΑΤΟΣ'!R148/'2.ΤΙΜΕΣ ΚΛΕΙΣΙΜΑΤΟΣ'!R147)</f>
        <v>1.0457611643958224E-2</v>
      </c>
      <c r="S147" s="43">
        <f>LN('2.ΤΙΜΕΣ ΚΛΕΙΣΙΜΑΤΟΣ'!S148/'2.ΤΙΜΕΣ ΚΛΕΙΣΙΜΑΤΟΣ'!S147)</f>
        <v>-1.8999938244903942E-2</v>
      </c>
      <c r="T147" s="43">
        <f>LN('2.ΤΙΜΕΣ ΚΛΕΙΣΙΜΑΤΟΣ'!T148/'2.ΤΙΜΕΣ ΚΛΕΙΣΙΜΑΤΟΣ'!T147)</f>
        <v>-4.067802219325475E-3</v>
      </c>
      <c r="U147" s="43">
        <f>LN('2.ΤΙΜΕΣ ΚΛΕΙΣΙΜΑΤΟΣ'!U148/'2.ΤΙΜΕΣ ΚΛΕΙΣΙΜΑΤΟΣ'!U147)</f>
        <v>-4.6838493124264262E-3</v>
      </c>
      <c r="V147" s="43">
        <f>LN('2.ΤΙΜΕΣ ΚΛΕΙΣΙΜΑΤΟΣ'!V148/'2.ΤΙΜΕΣ ΚΛΕΙΣΙΜΑΤΟΣ'!V147)</f>
        <v>-2.1762794225955173E-3</v>
      </c>
      <c r="W147" s="43">
        <f>LN('2.ΤΙΜΕΣ ΚΛΕΙΣΙΜΑΤΟΣ'!W148/'2.ΤΙΜΕΣ ΚΛΕΙΣΙΜΑΤΟΣ'!W147)</f>
        <v>0</v>
      </c>
      <c r="X147" s="43">
        <f>LN('2.ΤΙΜΕΣ ΚΛΕΙΣΙΜΑΤΟΣ'!X148/'2.ΤΙΜΕΣ ΚΛΕΙΣΙΜΑΤΟΣ'!X147)</f>
        <v>-1.1294646567767819E-2</v>
      </c>
      <c r="Y147" s="43">
        <f>LN('2.ΤΙΜΕΣ ΚΛΕΙΣΙΜΑΤΟΣ'!Y148/'2.ΤΙΜΕΣ ΚΛΕΙΣΙΜΑΤΟΣ'!Y147)</f>
        <v>7.808182447811709E-3</v>
      </c>
      <c r="Z147" s="43">
        <f>LN('2.ΤΙΜΕΣ ΚΛΕΙΣΙΜΑΤΟΣ'!Z148/'2.ΤΙΜΕΣ ΚΛΕΙΣΙΜΑΤΟΣ'!Z147)</f>
        <v>-1.1049836186585046E-2</v>
      </c>
      <c r="AA147" s="43">
        <f>LN('2.ΤΙΜΕΣ ΚΛΕΙΣΙΜΑΤΟΣ'!AA148/'2.ΤΙΜΕΣ ΚΛΕΙΣΙΜΑΤΟΣ'!AA147)</f>
        <v>-8.6831225734608809E-3</v>
      </c>
      <c r="AB147" s="43">
        <f>LN('2.ΤΙΜΕΣ ΚΛΕΙΣΙΜΑΤΟΣ'!AB148/'2.ΤΙΜΕΣ ΚΛΕΙΣΙΜΑΤΟΣ'!AB147)</f>
        <v>-1.1215070820139957E-2</v>
      </c>
      <c r="AC147" s="43">
        <f>LN('2.ΤΙΜΕΣ ΚΛΕΙΣΙΜΑΤΟΣ'!AC148/'2.ΤΙΜΕΣ ΚΛΕΙΣΙΜΑΤΟΣ'!AC147)</f>
        <v>0</v>
      </c>
      <c r="AD147" s="43">
        <f>LN('2.ΤΙΜΕΣ ΚΛΕΙΣΙΜΑΤΟΣ'!AD148/'2.ΤΙΜΕΣ ΚΛΕΙΣΙΜΑΤΟΣ'!AD147)</f>
        <v>-3.1322471129041157E-2</v>
      </c>
      <c r="AE147" s="43">
        <f>LN('2.ΤΙΜΕΣ ΚΛΕΙΣΙΜΑΤΟΣ'!AE148/'2.ΤΙΜΕΣ ΚΛΕΙΣΙΜΑΤΟΣ'!AE147)</f>
        <v>-7.7519768043179359E-3</v>
      </c>
      <c r="AF147" s="43">
        <f>LN('2.ΤΙΜΕΣ ΚΛΕΙΣΙΜΑΤΟΣ'!AF148/'2.ΤΙΜΕΣ ΚΛΕΙΣΙΜΑΤΟΣ'!AF147)</f>
        <v>1.1129661694206506E-3</v>
      </c>
      <c r="AG147" s="43">
        <f>LN('2.ΤΙΜΕΣ ΚΛΕΙΣΙΜΑΤΟΣ'!AG148/'2.ΤΙΜΕΣ ΚΛΕΙΣΙΜΑΤΟΣ'!AG147)</f>
        <v>1.3605652055778678E-2</v>
      </c>
      <c r="AH147" s="43">
        <f>LN('2.ΤΙΜΕΣ ΚΛΕΙΣΙΜΑΤΟΣ'!AH148/'2.ΤΙΜΕΣ ΚΛΕΙΣΙΜΑΤΟΣ'!AH147)</f>
        <v>-1.9212301778939326E-3</v>
      </c>
      <c r="AI147" s="43">
        <f>LN('2.ΤΙΜΕΣ ΚΛΕΙΣΙΜΑΤΟΣ'!AI148/'2.ΤΙΜΕΣ ΚΛΕΙΣΙΜΑΤΟΣ'!AI147)</f>
        <v>1.5873349156290163E-2</v>
      </c>
      <c r="AJ147" s="43">
        <f>LN('2.ΤΙΜΕΣ ΚΛΕΙΣΙΜΑΤΟΣ'!AJ148/'2.ΤΙΜΕΣ ΚΛΕΙΣΙΜΑΤΟΣ'!AJ147)</f>
        <v>3.1893363775953788E-2</v>
      </c>
      <c r="AK147" s="43">
        <f>LN('2.ΤΙΜΕΣ ΚΛΕΙΣΙΜΑΤΟΣ'!AK148/'2.ΤΙΜΕΣ ΚΛΕΙΣΙΜΑΤΟΣ'!AK147)</f>
        <v>-1.4252022707201615E-2</v>
      </c>
      <c r="AL147" s="43">
        <f>LN('2.ΤΙΜΕΣ ΚΛΕΙΣΙΜΑΤΟΣ'!AL148/'2.ΤΙΜΕΣ ΚΛΕΙΣΙΜΑΤΟΣ'!AL147)</f>
        <v>-9.2166551049240632E-3</v>
      </c>
      <c r="AM147" s="43">
        <f>LN('2.ΤΙΜΕΣ ΚΛΕΙΣΙΜΑΤΟΣ'!AM148/'2.ΤΙΜΕΣ ΚΛΕΙΣΙΜΑΤΟΣ'!AM147)</f>
        <v>-7.8637364602145762E-3</v>
      </c>
      <c r="AN147" s="43">
        <f>LN('2.ΤΙΜΕΣ ΚΛΕΙΣΙΜΑΤΟΣ'!AN148/'2.ΤΙΜΕΣ ΚΛΕΙΣΙΜΑΤΟΣ'!AN147)</f>
        <v>4.3478329361034225E-3</v>
      </c>
      <c r="AO147" s="43">
        <f>LN('2.ΤΙΜΕΣ ΚΛΕΙΣΙΜΑΤΟΣ'!AO148/'2.ΤΙΜΕΣ ΚΛΕΙΣΙΜΑΤΟΣ'!AO147)</f>
        <v>-2.4243611609992853E-2</v>
      </c>
      <c r="AP147" s="43">
        <f>LN('2.ΤΙΜΕΣ ΚΛΕΙΣΙΜΑΤΟΣ'!AP148/'2.ΤΙΜΕΣ ΚΛΕΙΣΙΜΑΤΟΣ'!AP147)</f>
        <v>1.6620881236040282E-2</v>
      </c>
      <c r="AQ147" s="43">
        <f>LN('2.ΤΙΜΕΣ ΚΛΕΙΣΙΜΑΤΟΣ'!AQ148/'2.ΤΙΜΕΣ ΚΛΕΙΣΙΜΑΤΟΣ'!AQ147)</f>
        <v>-2.0095864003138144E-2</v>
      </c>
      <c r="AR147" s="43">
        <f>LN('2.ΤΙΜΕΣ ΚΛΕΙΣΙΜΑΤΟΣ'!AR148/'2.ΤΙΜΕΣ ΚΛΕΙΣΙΜΑΤΟΣ'!AR147)</f>
        <v>-1.7513582492708242E-2</v>
      </c>
      <c r="AS147" s="43">
        <f>LN('2.ΤΙΜΕΣ ΚΛΕΙΣΙΜΑΤΟΣ'!AS148/'2.ΤΙΜΕΣ ΚΛΕΙΣΙΜΑΤΟΣ'!AS147)</f>
        <v>-2.210034700066597E-2</v>
      </c>
      <c r="AT147" s="43">
        <f>LN('2.ΤΙΜΕΣ ΚΛΕΙΣΙΜΑΤΟΣ'!AT148/'2.ΤΙΜΕΣ ΚΛΕΙΣΙΜΑΤΟΣ'!AT147)</f>
        <v>-2.6847250036188052E-2</v>
      </c>
      <c r="AU147" s="43">
        <f>LN('2.ΤΙΜΕΣ ΚΛΕΙΣΙΜΑΤΟΣ'!AU148/'2.ΤΙΜΕΣ ΚΛΕΙΣΙΜΑΤΟΣ'!AU147)</f>
        <v>1.2602396122877732E-3</v>
      </c>
    </row>
    <row r="148" spans="1:47">
      <c r="A148" s="41">
        <v>43768</v>
      </c>
      <c r="B148" s="43">
        <f>LN('2.ΤΙΜΕΣ ΚΛΕΙΣΙΜΑΤΟΣ'!B149/'2.ΤΙΜΕΣ ΚΛΕΙΣΙΜΑΤΟΣ'!B148)</f>
        <v>9.9137951669324691E-3</v>
      </c>
      <c r="C148" s="43">
        <f>LN('2.ΤΙΜΕΣ ΚΛΕΙΣΙΜΑΤΟΣ'!C149/'2.ΤΙΜΕΣ ΚΛΕΙΣΙΜΑΤΟΣ'!C148)</f>
        <v>0</v>
      </c>
      <c r="D148" s="43">
        <f>LN('2.ΤΙΜΕΣ ΚΛΕΙΣΙΜΑΤΟΣ'!D149/'2.ΤΙΜΕΣ ΚΛΕΙΣΙΜΑΤΟΣ'!D148)</f>
        <v>5.1192903856192625E-3</v>
      </c>
      <c r="E148" s="43">
        <f>LN('2.ΤΙΜΕΣ ΚΛΕΙΣΙΜΑΤΟΣ'!E149/'2.ΤΙΜΕΣ ΚΛΕΙΣΙΜΑΤΟΣ'!E148)</f>
        <v>0</v>
      </c>
      <c r="F148" s="43">
        <f>LN('2.ΤΙΜΕΣ ΚΛΕΙΣΙΜΑΤΟΣ'!F149/'2.ΤΙΜΕΣ ΚΛΕΙΣΙΜΑΤΟΣ'!F148)</f>
        <v>4.7675894834729267E-3</v>
      </c>
      <c r="G148" s="43">
        <f>LN('2.ΤΙΜΕΣ ΚΛΕΙΣΙΜΑΤΟΣ'!G149/'2.ΤΙΜΕΣ ΚΛΕΙΣΙΜΑΤΟΣ'!G148)</f>
        <v>-6.6519092283058535E-3</v>
      </c>
      <c r="H148" s="43">
        <f>LN('2.ΤΙΜΕΣ ΚΛΕΙΣΙΜΑΤΟΣ'!H149/'2.ΤΙΜΕΣ ΚΛΕΙΣΙΜΑΤΟΣ'!H148)</f>
        <v>4.5351551653913628E-3</v>
      </c>
      <c r="I148" s="43">
        <f>LN('2.ΤΙΜΕΣ ΚΛΕΙΣΙΜΑΤΟΣ'!I149/'2.ΤΙΜΕΣ ΚΛΕΙΣΙΜΑΤΟΣ'!I148)</f>
        <v>2.1506205220963463E-2</v>
      </c>
      <c r="J148" s="43">
        <f>LN('2.ΤΙΜΕΣ ΚΛΕΙΣΙΜΑΤΟΣ'!J149/'2.ΤΙΜΕΣ ΚΛΕΙΣΙΜΑΤΟΣ'!J148)</f>
        <v>1.5068090214067721E-2</v>
      </c>
      <c r="K148" s="43">
        <f>LN('2.ΤΙΜΕΣ ΚΛΕΙΣΙΜΑΤΟΣ'!K149/'2.ΤΙΜΕΣ ΚΛΕΙΣΙΜΑΤΟΣ'!K148)</f>
        <v>5.4973765963644526E-3</v>
      </c>
      <c r="L148" s="43">
        <f>LN('2.ΤΙΜΕΣ ΚΛΕΙΣΙΜΑΤΟΣ'!L149/'2.ΤΙΜΕΣ ΚΛΕΙΣΙΜΑΤΟΣ'!L148)</f>
        <v>-1.3878403172077404E-2</v>
      </c>
      <c r="M148" s="43">
        <f>LN('2.ΤΙΜΕΣ ΚΛΕΙΣΙΜΑΤΟΣ'!M149/'2.ΤΙΜΕΣ ΚΛΕΙΣΙΜΑΤΟΣ'!M148)</f>
        <v>3.1897953681000808E-3</v>
      </c>
      <c r="N148" s="43">
        <f>LN('2.ΤΙΜΕΣ ΚΛΕΙΣΙΜΑΤΟΣ'!N149/'2.ΤΙΜΕΣ ΚΛΕΙΣΙΜΑΤΟΣ'!N148)</f>
        <v>-9.6673257272134761E-3</v>
      </c>
      <c r="O148" s="43">
        <f>LN('2.ΤΙΜΕΣ ΚΛΕΙΣΙΜΑΤΟΣ'!O149/'2.ΤΙΜΕΣ ΚΛΕΙΣΙΜΑΤΟΣ'!O148)</f>
        <v>1.6445658439807196E-2</v>
      </c>
      <c r="P148" s="43">
        <f>LN('2.ΤΙΜΕΣ ΚΛΕΙΣΙΜΑΤΟΣ'!P149/'2.ΤΙΜΕΣ ΚΛΕΙΣΙΜΑΤΟΣ'!P148)</f>
        <v>-7.2833533911080463E-3</v>
      </c>
      <c r="Q148" s="43">
        <f>LN('2.ΤΙΜΕΣ ΚΛΕΙΣΙΜΑΤΟΣ'!Q149/'2.ΤΙΜΕΣ ΚΛΕΙΣΙΜΑΤΟΣ'!Q148)</f>
        <v>-4.5558165358608018E-3</v>
      </c>
      <c r="R148" s="43">
        <f>LN('2.ΤΙΜΕΣ ΚΛΕΙΣΙΜΑΤΟΣ'!R149/'2.ΤΙΜΕΣ ΚΛΕΙΣΙΜΑΤΟΣ'!R148)</f>
        <v>-5.2151356791081595E-3</v>
      </c>
      <c r="S148" s="43">
        <f>LN('2.ΤΙΜΕΣ ΚΛΕΙΣΙΜΑΤΟΣ'!S149/'2.ΤΙΜΕΣ ΚΛΕΙΣΙΜΑΤΟΣ'!S148)</f>
        <v>-2.5608208616737039E-3</v>
      </c>
      <c r="T148" s="43">
        <f>LN('2.ΤΙΜΕΣ ΚΛΕΙΣΙΜΑΤΟΣ'!T149/'2.ΤΙΜΕΣ ΚΛΕΙΣΙΜΑΤΟΣ'!T148)</f>
        <v>-1.0929070532190317E-2</v>
      </c>
      <c r="U148" s="43">
        <f>LN('2.ΤΙΜΕΣ ΚΛΕΙΣΙΜΑΤΟΣ'!U149/'2.ΤΙΜΕΣ ΚΛΕΙΣΙΜΑΤΟΣ'!U148)</f>
        <v>-1.1806512586988952E-2</v>
      </c>
      <c r="V148" s="43">
        <f>LN('2.ΤΙΜΕΣ ΚΛΕΙΣΙΜΑΤΟΣ'!V149/'2.ΤΙΜΕΣ ΚΛΕΙΣΙΜΑΤΟΣ'!V148)</f>
        <v>2.17627942259567E-3</v>
      </c>
      <c r="W148" s="43">
        <f>LN('2.ΤΙΜΕΣ ΚΛΕΙΣΙΜΑΤΟΣ'!W149/'2.ΤΙΜΕΣ ΚΛΕΙΣΙΜΑΤΟΣ'!W148)</f>
        <v>2.4539889615665658E-3</v>
      </c>
      <c r="X148" s="43">
        <f>LN('2.ΤΙΜΕΣ ΚΛΕΙΣΙΜΑΤΟΣ'!X149/'2.ΤΙΜΕΣ ΚΛΕΙΣΙΜΑΤΟΣ'!X148)</f>
        <v>5.6632693292612123E-3</v>
      </c>
      <c r="Y148" s="43">
        <f>LN('2.ΤΙΜΕΣ ΚΛΕΙΣΙΜΑΤΟΣ'!Y149/'2.ΤΙΜΕΣ ΚΛΕΙΣΙΜΑΤΟΣ'!Y148)</f>
        <v>0</v>
      </c>
      <c r="Z148" s="43">
        <f>LN('2.ΤΙΜΕΣ ΚΛΕΙΣΙΜΑΤΟΣ'!Z149/'2.ΤΙΜΕΣ ΚΛΕΙΣΙΜΑΤΟΣ'!Z148)</f>
        <v>0</v>
      </c>
      <c r="AA148" s="43">
        <f>LN('2.ΤΙΜΕΣ ΚΛΕΙΣΙΜΑΤΟΣ'!AA149/'2.ΤΙΜΕΣ ΚΛΕΙΣΙΜΑΤΟΣ'!AA148)</f>
        <v>2.9027596579614102E-3</v>
      </c>
      <c r="AB148" s="43">
        <f>LN('2.ΤΙΜΕΣ ΚΛΕΙΣΙΜΑΤΟΣ'!AB149/'2.ΤΙΜΕΣ ΚΛΕΙΣΙΜΑΤΟΣ'!AB148)</f>
        <v>1.6775789504837206E-2</v>
      </c>
      <c r="AC148" s="43">
        <f>LN('2.ΤΙΜΕΣ ΚΛΕΙΣΙΜΑΤΟΣ'!AC149/'2.ΤΙΜΕΣ ΚΛΕΙΣΙΜΑΤΟΣ'!AC148)</f>
        <v>0</v>
      </c>
      <c r="AD148" s="43">
        <f>LN('2.ΤΙΜΕΣ ΚΛΕΙΣΙΜΑΤΟΣ'!AD149/'2.ΤΙΜΕΣ ΚΛΕΙΣΙΜΑΤΟΣ'!AD148)</f>
        <v>1.3544225107757253E-2</v>
      </c>
      <c r="AE148" s="43">
        <f>LN('2.ΤΙΜΕΣ ΚΛΕΙΣΙΜΑΤΟΣ'!AE149/'2.ΤΙΜΕΣ ΚΛΕΙΣΙΜΑΤΟΣ'!AE148)</f>
        <v>1.160554612030811E-2</v>
      </c>
      <c r="AF148" s="43">
        <f>LN('2.ΤΙΜΕΣ ΚΛΕΙΣΙΜΑΤΟΣ'!AF149/'2.ΤΙΜΕΣ ΚΛΕΙΣΙΜΑΤΟΣ'!AF148)</f>
        <v>2.3090635571465744E-2</v>
      </c>
      <c r="AG148" s="43">
        <f>LN('2.ΤΙΜΕΣ ΚΛΕΙΣΙΜΑΤΟΣ'!AG149/'2.ΤΙΜΕΣ ΚΛΕΙΣΙΜΑΤΟΣ'!AG148)</f>
        <v>2.2497197340155461E-3</v>
      </c>
      <c r="AH148" s="43">
        <f>LN('2.ΤΙΜΕΣ ΚΛΕΙΣΙΜΑΤΟΣ'!AH149/'2.ΤΙΜΕΣ ΚΛΕΙΣΙΜΑΤΟΣ'!AH148)</f>
        <v>-5.7859370670438875E-3</v>
      </c>
      <c r="AI148" s="43">
        <f>LN('2.ΤΙΜΕΣ ΚΛΕΙΣΙΜΑΤΟΣ'!AI149/'2.ΤΙΜΕΣ ΚΛΕΙΣΙΜΑΤΟΣ'!AI148)</f>
        <v>0</v>
      </c>
      <c r="AJ148" s="43">
        <f>LN('2.ΤΙΜΕΣ ΚΛΕΙΣΙΜΑΤΟΣ'!AJ149/'2.ΤΙΜΕΣ ΚΛΕΙΣΙΜΑΤΟΣ'!AJ148)</f>
        <v>8.1765954696567666E-2</v>
      </c>
      <c r="AK148" s="43">
        <f>LN('2.ΤΙΜΕΣ ΚΛΕΙΣΙΜΑΤΟΣ'!AK149/'2.ΤΙΜΕΣ ΚΛΕΙΣΙΜΑΤΟΣ'!AK148)</f>
        <v>-4.7961722634929441E-3</v>
      </c>
      <c r="AL148" s="43">
        <f>LN('2.ΤΙΜΕΣ ΚΛΕΙΣΙΜΑΤΟΣ'!AL149/'2.ΤΙΜΕΣ ΚΛΕΙΣΙΜΑΤΟΣ'!AL148)</f>
        <v>-9.3023926623135612E-3</v>
      </c>
      <c r="AM148" s="43">
        <f>LN('2.ΤΙΜΕΣ ΚΛΕΙΣΙΜΑΤΟΣ'!AM149/'2.ΤΙΜΕΣ ΚΛΕΙΣΙΜΑΤΟΣ'!AM148)</f>
        <v>2.0834086902842053E-2</v>
      </c>
      <c r="AN148" s="43">
        <f>LN('2.ΤΙΜΕΣ ΚΛΕΙΣΙΜΑΤΟΣ'!AN149/'2.ΤΙΜΕΣ ΚΛΕΙΣΙΜΑΤΟΣ'!AN148)</f>
        <v>7.5191983099980153E-2</v>
      </c>
      <c r="AO148" s="43">
        <f>LN('2.ΤΙΜΕΣ ΚΛΕΙΣΙΜΑΤΟΣ'!AO149/'2.ΤΙΜΕΣ ΚΛΕΙΣΙΜΑΤΟΣ'!AO148)</f>
        <v>1.2195273093818206E-2</v>
      </c>
      <c r="AP148" s="43">
        <f>LN('2.ΤΙΜΕΣ ΚΛΕΙΣΙΜΑΤΟΣ'!AP149/'2.ΤΙΜΕΣ ΚΛΕΙΣΙΜΑΤΟΣ'!AP148)</f>
        <v>-1.1049836186584935E-2</v>
      </c>
      <c r="AQ148" s="43">
        <f>LN('2.ΤΙΜΕΣ ΚΛΕΙΣΙΜΑΤΟΣ'!AQ149/'2.ΤΙΜΕΣ ΚΛΕΙΣΙΜΑΤΟΣ'!AQ148)</f>
        <v>6.3897980987709883E-3</v>
      </c>
      <c r="AR148" s="43">
        <f>LN('2.ΤΙΜΕΣ ΚΛΕΙΣΙΜΑΤΟΣ'!AR149/'2.ΤΙΜΕΣ ΚΛΕΙΣΙΜΑΤΟΣ'!AR148)</f>
        <v>7.042282625412951E-3</v>
      </c>
      <c r="AS148" s="43">
        <f>LN('2.ΤΙΜΕΣ ΚΛΕΙΣΙΜΑΤΟΣ'!AS149/'2.ΤΙΜΕΣ ΚΛΕΙΣΙΜΑΤΟΣ'!AS148)</f>
        <v>-5.6022555486698981E-3</v>
      </c>
      <c r="AT148" s="43">
        <f>LN('2.ΤΙΜΕΣ ΚΛΕΙΣΙΜΑΤΟΣ'!AT149/'2.ΤΙΜΕΣ ΚΛΕΙΣΙΜΑΤΟΣ'!AT148)</f>
        <v>-2.2701485345391855E-3</v>
      </c>
      <c r="AU148" s="43">
        <f>LN('2.ΤΙΜΕΣ ΚΛΕΙΣΙΜΑΤΟΣ'!AU149/'2.ΤΙΜΕΣ ΚΛΕΙΣΙΜΑΤΟΣ'!AU148)</f>
        <v>2.6641831975554521E-3</v>
      </c>
    </row>
    <row r="149" spans="1:47">
      <c r="A149" s="41">
        <v>43769</v>
      </c>
      <c r="B149" s="43">
        <f>LN('2.ΤΙΜΕΣ ΚΛΕΙΣΙΜΑΤΟΣ'!B150/'2.ΤΙΜΕΣ ΚΛΕΙΣΙΜΑΤΟΣ'!B149)</f>
        <v>1.1623814130282847E-2</v>
      </c>
      <c r="C149" s="43">
        <f>LN('2.ΤΙΜΕΣ ΚΛΕΙΣΙΜΑΤΟΣ'!C150/'2.ΤΙΜΕΣ ΚΛΕΙΣΙΜΑΤΟΣ'!C149)</f>
        <v>0</v>
      </c>
      <c r="D149" s="43">
        <f>LN('2.ΤΙΜΕΣ ΚΛΕΙΣΙΜΑΤΟΣ'!D150/'2.ΤΙΜΕΣ ΚΛΕΙΣΙΜΑΤΟΣ'!D149)</f>
        <v>-5.11929038561922E-3</v>
      </c>
      <c r="E149" s="43">
        <f>LN('2.ΤΙΜΕΣ ΚΛΕΙΣΙΜΑΤΟΣ'!E150/'2.ΤΙΜΕΣ ΚΛΕΙΣΙΜΑΤΟΣ'!E149)</f>
        <v>0</v>
      </c>
      <c r="F149" s="43">
        <f>LN('2.ΤΙΜΕΣ ΚΛΕΙΣΙΜΑΤΟΣ'!F150/'2.ΤΙΜΕΣ ΚΛΕΙΣΙΜΑΤΟΣ'!F149)</f>
        <v>1.4167887518730889E-2</v>
      </c>
      <c r="G149" s="43">
        <f>LN('2.ΤΙΜΕΣ ΚΛΕΙΣΙΜΑΤΟΣ'!G150/'2.ΤΙΜΕΣ ΚΛΕΙΣΙΜΑΤΟΣ'!G149)</f>
        <v>9.9613441296731251E-3</v>
      </c>
      <c r="H149" s="43">
        <f>LN('2.ΤΙΜΕΣ ΚΛΕΙΣΙΜΑΤΟΣ'!H150/'2.ΤΙΜΕΣ ΚΛΕΙΣΙΜΑΤΟΣ'!H149)</f>
        <v>1.8083187567836808E-3</v>
      </c>
      <c r="I149" s="43">
        <f>LN('2.ΤΙΜΕΣ ΚΛΕΙΣΙΜΑΤΟΣ'!I150/'2.ΤΙΜΕΣ ΚΛΕΙΣΙΜΑΤΟΣ'!I149)</f>
        <v>1.6354888416278267E-2</v>
      </c>
      <c r="J149" s="43">
        <f>LN('2.ΤΙΜΕΣ ΚΛΕΙΣΙΜΑΤΟΣ'!J150/'2.ΤΙΜΕΣ ΚΛΕΙΣΙΜΑΤΟΣ'!J149)</f>
        <v>1.0249717770222176E-2</v>
      </c>
      <c r="K149" s="43">
        <f>LN('2.ΤΙΜΕΣ ΚΛΕΙΣΙΜΑΤΟΣ'!K150/'2.ΤΙΜΕΣ ΚΛΕΙΣΙΜΑΤΟΣ'!K149)</f>
        <v>-4.1573927734405861E-3</v>
      </c>
      <c r="L149" s="43">
        <f>LN('2.ΤΙΜΕΣ ΚΛΕΙΣΙΜΑΤΟΣ'!L150/'2.ΤΙΜΕΣ ΚΛΕΙΣΙΜΑΤΟΣ'!L149)</f>
        <v>1.5408625352845061E-2</v>
      </c>
      <c r="M149" s="43">
        <f>LN('2.ΤΙΜΕΣ ΚΛΕΙΣΙΜΑΤΟΣ'!M150/'2.ΤΙΜΕΣ ΚΛΕΙΣΙΜΑΤΟΣ'!M149)</f>
        <v>8.4567100182234584E-3</v>
      </c>
      <c r="N149" s="43">
        <f>LN('2.ΤΙΜΕΣ ΚΛΕΙΣΙΜΑΤΟΣ'!N150/'2.ΤΙΜΕΣ ΚΛΕΙΣΙΜΑΤΟΣ'!N149)</f>
        <v>9.6673257272136218E-3</v>
      </c>
      <c r="O149" s="43">
        <f>LN('2.ΤΙΜΕΣ ΚΛΕΙΣΙΜΑΤΟΣ'!O150/'2.ΤΙΜΕΣ ΚΛΕΙΣΙΜΑΤΟΣ'!O149)</f>
        <v>-2.512564135883048E-3</v>
      </c>
      <c r="P149" s="43">
        <f>LN('2.ΤΙΜΕΣ ΚΛΕΙΣΙΜΑΤΟΣ'!P150/'2.ΤΙΜΕΣ ΚΛΕΙΣΙΜΑΤΟΣ'!P149)</f>
        <v>-2.9282597790883341E-3</v>
      </c>
      <c r="Q149" s="43">
        <f>LN('2.ΤΙΜΕΣ ΚΛΕΙΣΙΜΑΤΟΣ'!Q150/'2.ΤΙΜΕΣ ΚΛΕΙΣΙΜΑΤΟΣ'!Q149)</f>
        <v>2.0659224102439463E-2</v>
      </c>
      <c r="R149" s="43">
        <f>LN('2.ΤΙΜΕΣ ΚΛΕΙΣΙΜΑΤΟΣ'!R150/'2.ΤΙΜΕΣ ΚΛΕΙΣΙΜΑΤΟΣ'!R149)</f>
        <v>3.531667192489972E-2</v>
      </c>
      <c r="S149" s="43">
        <f>LN('2.ΤΙΜΕΣ ΚΛΕΙΣΙΜΑΤΟΣ'!S150/'2.ΤΙΜΕΣ ΚΛΕΙΣΙΜΑΤΟΣ'!S149)</f>
        <v>1.5267472130788381E-2</v>
      </c>
      <c r="T149" s="43">
        <f>LN('2.ΤΙΜΕΣ ΚΛΕΙΣΙΜΑΤΟΣ'!T150/'2.ΤΙΜΕΣ ΚΛΕΙΣΙΜΑΤΟΣ'!T149)</f>
        <v>1.3642776403786479E-2</v>
      </c>
      <c r="U149" s="43">
        <f>LN('2.ΤΙΜΕΣ ΚΛΕΙΣΙΜΑΤΟΣ'!U150/'2.ΤΙΜΕΣ ΚΛΕΙΣΙΜΑΤΟΣ'!U149)</f>
        <v>1.649036189941543E-2</v>
      </c>
      <c r="V149" s="43">
        <f>LN('2.ΤΙΜΕΣ ΚΛΕΙΣΙΜΑΤΟΣ'!V150/'2.ΤΙΜΕΣ ΚΛΕΙΣΙΜΑΤΟΣ'!V149)</f>
        <v>0</v>
      </c>
      <c r="W149" s="43">
        <f>LN('2.ΤΙΜΕΣ ΚΛΕΙΣΙΜΑΤΟΣ'!W150/'2.ΤΙΜΕΣ ΚΛΕΙΣΙΜΑΤΟΣ'!W149)</f>
        <v>4.8899852941917702E-3</v>
      </c>
      <c r="X149" s="43">
        <f>LN('2.ΤΙΜΕΣ ΚΛΕΙΣΙΜΑΤΟΣ'!X150/'2.ΤΙΜΕΣ ΚΛΕΙΣΙΜΑΤΟΣ'!X149)</f>
        <v>0</v>
      </c>
      <c r="Y149" s="43">
        <f>LN('2.ΤΙΜΕΣ ΚΛΕΙΣΙΜΑΤΟΣ'!Y150/'2.ΤΙΜΕΣ ΚΛΕΙΣΙΜΑΤΟΣ'!Y149)</f>
        <v>0</v>
      </c>
      <c r="Z149" s="43">
        <f>LN('2.ΤΙΜΕΣ ΚΛΕΙΣΙΜΑΤΟΣ'!Z150/'2.ΤΙΜΕΣ ΚΛΕΙΣΙΜΑΤΟΣ'!Z149)</f>
        <v>-7.4349784875180902E-3</v>
      </c>
      <c r="AA149" s="43">
        <f>LN('2.ΤΙΜΕΣ ΚΛΕΙΣΙΜΑΤΟΣ'!AA150/'2.ΤΙΜΕΣ ΚΛΕΙΣΙΜΑΤΟΣ'!AA149)</f>
        <v>2.8943580263643353E-3</v>
      </c>
      <c r="AB149" s="43">
        <f>LN('2.ΤΙΜΕΣ ΚΛΕΙΣΙΜΑΤΟΣ'!AB150/'2.ΤΙΜΕΣ ΚΛΕΙΣΙΜΑΤΟΣ'!AB149)</f>
        <v>-1.8501392881613661E-3</v>
      </c>
      <c r="AC149" s="43">
        <f>LN('2.ΤΙΜΕΣ ΚΛΕΙΣΙΜΑΤΟΣ'!AC150/'2.ΤΙΜΕΣ ΚΛΕΙΣΙΜΑΤΟΣ'!AC149)</f>
        <v>-6.9204428445737952E-3</v>
      </c>
      <c r="AD149" s="43">
        <f>LN('2.ΤΙΜΕΣ ΚΛΕΙΣΙΜΑΤΟΣ'!AD150/'2.ΤΙΜΕΣ ΚΛΕΙΣΙΜΑΤΟΣ'!AD149)</f>
        <v>-5.9970194723742909E-3</v>
      </c>
      <c r="AE149" s="43">
        <f>LN('2.ΤΙΜΕΣ ΚΛΕΙΣΙΜΑΤΟΣ'!AE150/'2.ΤΙΜΕΣ ΚΛΕΙΣΙΜΑΤΟΣ'!AE149)</f>
        <v>0</v>
      </c>
      <c r="AF149" s="43">
        <f>LN('2.ΤΙΜΕΣ ΚΛΕΙΣΙΜΑΤΟΣ'!AF150/'2.ΤΙΜΕΣ ΚΛΕΙΣΙΜΑΤΟΣ'!AF149)</f>
        <v>-1.0875476873989933E-3</v>
      </c>
      <c r="AG149" s="43">
        <f>LN('2.ΤΙΜΕΣ ΚΛΕΙΣΙΜΑΤΟΣ'!AG150/'2.ΤΙΜΕΣ ΚΛΕΙΣΙΜΑΤΟΣ'!AG149)</f>
        <v>1.1173300598125255E-2</v>
      </c>
      <c r="AH149" s="43">
        <f>LN('2.ΤΙΜΕΣ ΚΛΕΙΣΙΜΑΤΟΣ'!AH150/'2.ΤΙΜΕΣ ΚΛΕΙΣΙΜΑΤΟΣ'!AH149)</f>
        <v>-5.8196090532640415E-3</v>
      </c>
      <c r="AI149" s="43">
        <f>LN('2.ΤΙΜΕΣ ΚΛΕΙΣΙΜΑΤΟΣ'!AI150/'2.ΤΙΜΕΣ ΚΛΕΙΣΙΜΑΤΟΣ'!AI149)</f>
        <v>0</v>
      </c>
      <c r="AJ149" s="43">
        <f>LN('2.ΤΙΜΕΣ ΚΛΕΙΣΙΜΑΤΟΣ'!AJ150/'2.ΤΙΜΕΣ ΚΛΕΙΣΙΜΑΤΟΣ'!AJ149)</f>
        <v>3.6515212975097473E-2</v>
      </c>
      <c r="AK149" s="43">
        <f>LN('2.ΤΙΜΕΣ ΚΛΕΙΣΙΜΑΤΟΣ'!AK150/'2.ΤΙΜΕΣ ΚΛΕΙΣΙΜΑΤΟΣ'!AK149)</f>
        <v>4.7961722634930135E-3</v>
      </c>
      <c r="AL149" s="43">
        <f>LN('2.ΤΙΜΕΣ ΚΛΕΙΣΙΜΑΤΟΣ'!AL150/'2.ΤΙΜΕΣ ΚΛΕΙΣΙΜΑΤΟΣ'!AL149)</f>
        <v>0</v>
      </c>
      <c r="AM149" s="43">
        <f>LN('2.ΤΙΜΕΣ ΚΛΕΙΣΙΜΑΤΟΣ'!AM150/'2.ΤΙΜΕΣ ΚΛΕΙΣΙΜΑΤΟΣ'!AM149)</f>
        <v>0</v>
      </c>
      <c r="AN149" s="43">
        <f>LN('2.ΤΙΜΕΣ ΚΛΕΙΣΙΜΑΤΟΣ'!AN150/'2.ΤΙΜΕΣ ΚΛΕΙΣΙΜΑΤΟΣ'!AN149)</f>
        <v>-1.4184634991956413E-2</v>
      </c>
      <c r="AO149" s="43">
        <f>LN('2.ΤΙΜΕΣ ΚΛΕΙΣΙΜΑΤΟΣ'!AO150/'2.ΤΙΜΕΣ ΚΛΕΙΣΙΜΑΤΟΣ'!AO149)</f>
        <v>0</v>
      </c>
      <c r="AP149" s="43">
        <f>LN('2.ΤΙΜΕΣ ΚΛΕΙΣΙΜΑΤΟΣ'!AP150/'2.ΤΙΜΕΣ ΚΛΕΙΣΙΜΑΤΟΣ'!AP149)</f>
        <v>0</v>
      </c>
      <c r="AQ149" s="43">
        <f>LN('2.ΤΙΜΕΣ ΚΛΕΙΣΙΜΑΤΟΣ'!AQ150/'2.ΤΙΜΕΣ ΚΛΕΙΣΙΜΑΤΟΣ'!AQ149)</f>
        <v>-2.1253993123134776E-3</v>
      </c>
      <c r="AR149" s="43">
        <f>LN('2.ΤΙΜΕΣ ΚΛΕΙΣΙΜΑΤΟΣ'!AR150/'2.ΤΙΜΕΣ ΚΛΕΙΣΙΜΑΤΟΣ'!AR149)</f>
        <v>3.5026305512020745E-3</v>
      </c>
      <c r="AS149" s="43">
        <f>LN('2.ΤΙΜΕΣ ΚΛΕΙΣΙΜΑΤΟΣ'!AS150/'2.ΤΙΜΕΣ ΚΛΕΙΣΙΜΑΤΟΣ'!AS149)</f>
        <v>1.1173300598125255E-2</v>
      </c>
      <c r="AT149" s="43">
        <f>LN('2.ΤΙΜΕΣ ΚΛΕΙΣΙΜΑΤΟΣ'!AT150/'2.ΤΙΜΕΣ ΚΛΕΙΣΙΜΑΤΟΣ'!AT149)</f>
        <v>4.5351551653913628E-3</v>
      </c>
      <c r="AU149" s="43">
        <f>LN('2.ΤΙΜΕΣ ΚΛΕΙΣΙΜΑΤΟΣ'!AU150/'2.ΤΙΜΕΣ ΚΛΕΙΣΙΜΑΤΟΣ'!AU149)</f>
        <v>7.7802815260765634E-3</v>
      </c>
    </row>
    <row r="150" spans="1:47">
      <c r="A150" s="41">
        <v>43770</v>
      </c>
      <c r="B150" s="43">
        <f>LN('2.ΤΙΜΕΣ ΚΛΕΙΣΙΜΑΤΟΣ'!B151/'2.ΤΙΜΕΣ ΚΛΕΙΣΙΜΑΤΟΣ'!B150)</f>
        <v>-8.3409368430455069E-3</v>
      </c>
      <c r="C150" s="43">
        <f>LN('2.ΤΙΜΕΣ ΚΛΕΙΣΙΜΑΤΟΣ'!C151/'2.ΤΙΜΕΣ ΚΛΕΙΣΙΜΑΤΟΣ'!C150)</f>
        <v>-1.4716706114562507E-3</v>
      </c>
      <c r="D150" s="43">
        <f>LN('2.ΤΙΜΕΣ ΚΛΕΙΣΙΜΑΤΟΣ'!D151/'2.ΤΙΜΕΣ ΚΛΕΙΣΙΜΑΤΟΣ'!D150)</f>
        <v>1.8207287283414288E-2</v>
      </c>
      <c r="E150" s="43">
        <f>LN('2.ΤΙΜΕΣ ΚΛΕΙΣΙΜΑΤΟΣ'!E151/'2.ΤΙΜΕΣ ΚΛΕΙΣΙΜΑΤΟΣ'!E150)</f>
        <v>0</v>
      </c>
      <c r="F150" s="43">
        <f>LN('2.ΤΙΜΕΣ ΚΛΕΙΣΙΜΑΤΟΣ'!F151/'2.ΤΙΜΕΣ ΚΛΕΙΣΙΜΑΤΟΣ'!F150)</f>
        <v>-7.0588528396245765E-3</v>
      </c>
      <c r="G150" s="43">
        <f>LN('2.ΤΙΜΕΣ ΚΛΕΙΣΙΜΑΤΟΣ'!G151/'2.ΤΙΜΕΣ ΚΛΕΙΣΙΜΑΤΟΣ'!G150)</f>
        <v>4.3956114730381293E-3</v>
      </c>
      <c r="H150" s="43">
        <f>LN('2.ΤΙΜΕΣ ΚΛΕΙΣΙΜΑΤΟΣ'!H151/'2.ΤΙΜΕΣ ΚΛΕΙΣΙΜΑΤΟΣ'!H150)</f>
        <v>-1.1812949726710466E-2</v>
      </c>
      <c r="I150" s="43">
        <f>LN('2.ΤΙΜΕΣ ΚΛΕΙΣΙΜΑΤΟΣ'!I151/'2.ΤΙΜΕΣ ΚΛΕΙΣΙΜΑΤΟΣ'!I150)</f>
        <v>-5.2342319959755828E-4</v>
      </c>
      <c r="J150" s="43">
        <f>LN('2.ΤΙΜΕΣ ΚΛΕΙΣΙΜΑΤΟΣ'!J151/'2.ΤΙΜΕΣ ΚΛΕΙΣΙΜΑΤΟΣ'!J150)</f>
        <v>-5.2770571008437812E-3</v>
      </c>
      <c r="K150" s="43">
        <f>LN('2.ΤΙΜΕΣ ΚΛΕΙΣΙΜΑΤΟΣ'!K151/'2.ΤΙΜΕΣ ΚΛΕΙΣΙΜΑΤΟΣ'!K150)</f>
        <v>0</v>
      </c>
      <c r="L150" s="43">
        <f>LN('2.ΤΙΜΕΣ ΚΛΕΙΣΙΜΑΤΟΣ'!L151/'2.ΤΙΜΕΣ ΚΛΕΙΣΙΜΑΤΟΣ'!L150)</f>
        <v>2.5451782637506749E-3</v>
      </c>
      <c r="M150" s="43">
        <f>LN('2.ΤΙΜΕΣ ΚΛΕΙΣΙΜΑΤΟΣ'!M151/'2.ΤΙΜΕΣ ΚΛΕΙΣΙΜΑΤΟΣ'!M150)</f>
        <v>-1.0582109330536859E-2</v>
      </c>
      <c r="N150" s="43">
        <f>LN('2.ΤΙΜΕΣ ΚΛΕΙΣΙΜΑΤΟΣ'!N151/'2.ΤΙΜΕΣ ΚΛΕΙΣΙΜΑΤΟΣ'!N150)</f>
        <v>-1.3952841666454786E-3</v>
      </c>
      <c r="O150" s="43">
        <f>LN('2.ΤΙΜΕΣ ΚΛΕΙΣΙΜΑΤΟΣ'!O151/'2.ΤΙΜΕΣ ΚΛΕΙΣΙΜΑΤΟΣ'!O150)</f>
        <v>-7.5757938084577677E-3</v>
      </c>
      <c r="P150" s="43">
        <f>LN('2.ΤΙΜΕΣ ΚΛΕΙΣΙΜΑΤΟΣ'!P151/'2.ΤΙΜΕΣ ΚΛΕΙΣΙΜΑΤΟΣ'!P150)</f>
        <v>-2.936859673309825E-3</v>
      </c>
      <c r="Q150" s="43">
        <f>LN('2.ΤΙΜΕΣ ΚΛΕΙΣΙΜΑΤΟΣ'!Q151/'2.ΤΙΜΕΣ ΚΛΕΙΣΙΜΑΤΟΣ'!Q150)</f>
        <v>-1.286191364240781E-2</v>
      </c>
      <c r="R150" s="43">
        <f>LN('2.ΤΙΜΕΣ ΚΛΕΙΣΙΜΑΤΟΣ'!R151/'2.ΤΙΜΕΣ ΚΛΕΙΣΙΜΑΤΟΣ'!R150)</f>
        <v>1.261034215028165E-3</v>
      </c>
      <c r="S150" s="43">
        <f>LN('2.ΤΙΜΕΣ ΚΛΕΙΣΙΜΑΤΟΣ'!S151/'2.ΤΙΜΕΣ ΚΛΕΙΣΙΜΑΤΟΣ'!S150)</f>
        <v>-1.3986241974739952E-2</v>
      </c>
      <c r="T150" s="43">
        <f>LN('2.ΤΙΜΕΣ ΚΛΕΙΣΙΜΑΤΟΣ'!T151/'2.ΤΙΜΕΣ ΚΛΕΙΣΙΜΑΤΟΣ'!T150)</f>
        <v>-6.7981227138209852E-3</v>
      </c>
      <c r="U150" s="43">
        <f>LN('2.ΤΙΜΕΣ ΚΛΕΙΣΙΜΑΤΟΣ'!U151/'2.ΤΙΜΕΣ ΚΛΕΙΣΙΜΑΤΟΣ'!U150)</f>
        <v>-2.3391823531723776E-3</v>
      </c>
      <c r="V150" s="43">
        <f>LN('2.ΤΙΜΕΣ ΚΛΕΙΣΙΜΑΤΟΣ'!V151/'2.ΤΙΜΕΣ ΚΛΕΙΣΙΜΑΤΟΣ'!V150)</f>
        <v>-4.3573053689558126E-3</v>
      </c>
      <c r="W150" s="43">
        <f>LN('2.ΤΙΜΕΣ ΚΛΕΙΣΙΜΑΤΟΣ'!W151/'2.ΤΙΜΕΣ ΚΛΕΙΣΙΜΑΤΟΣ'!W150)</f>
        <v>-1.7220597751670407E-2</v>
      </c>
      <c r="X150" s="43">
        <f>LN('2.ΤΙΜΕΣ ΚΛΕΙΣΙΜΑΤΟΣ'!X151/'2.ΤΙΜΕΣ ΚΛΕΙΣΙΜΑΤΟΣ'!X150)</f>
        <v>0</v>
      </c>
      <c r="Y150" s="43">
        <f>LN('2.ΤΙΜΕΣ ΚΛΕΙΣΙΜΑΤΟΣ'!Y151/'2.ΤΙΜΕΣ ΚΛΕΙΣΙΜΑΤΟΣ'!Y150)</f>
        <v>3.3277900926745245E-3</v>
      </c>
      <c r="Z150" s="43">
        <f>LN('2.ΤΙΜΕΣ ΚΛΕΙΣΙΜΑΤΟΣ'!Z151/'2.ΤΙΜΕΣ ΚΛΕΙΣΙΜΑΤΟΣ'!Z150)</f>
        <v>1.4815085785140682E-2</v>
      </c>
      <c r="AA150" s="43">
        <f>LN('2.ΤΙΜΕΣ ΚΛΕΙΣΙΜΑΤΟΣ'!AA151/'2.ΤΙΜΕΣ ΚΛΕΙΣΙΜΑΤΟΣ'!AA150)</f>
        <v>2.886004889135073E-3</v>
      </c>
      <c r="AB150" s="43">
        <f>LN('2.ΤΙΜΕΣ ΚΛΕΙΣΙΜΑΤΟΣ'!AB151/'2.ΤΙΜΕΣ ΚΛΕΙΣΙΜΑΤΟΣ'!AB150)</f>
        <v>0</v>
      </c>
      <c r="AC150" s="43">
        <f>LN('2.ΤΙΜΕΣ ΚΛΕΙΣΙΜΑΤΟΣ'!AC151/'2.ΤΙΜΕΣ ΚΛΕΙΣΙΜΑΤΟΣ'!AC150)</f>
        <v>1.3793322132335769E-2</v>
      </c>
      <c r="AD150" s="43">
        <f>LN('2.ΤΙΜΕΣ ΚΛΕΙΣΙΜΑΤΟΣ'!AD151/'2.ΤΙΜΕΣ ΚΛΕΙΣΙΜΑΤΟΣ'!AD150)</f>
        <v>1.9360247284541394E-2</v>
      </c>
      <c r="AE150" s="43">
        <f>LN('2.ΤΙΜΕΣ ΚΛΕΙΣΙΜΑΤΟΣ'!AE151/'2.ΤΙΜΕΣ ΚΛΕΙΣΙΜΑΤΟΣ'!AE150)</f>
        <v>7.6628727455690972E-3</v>
      </c>
      <c r="AF150" s="43">
        <f>LN('2.ΤΙΜΕΣ ΚΛΕΙΣΙΜΑΤΟΣ'!AF151/'2.ΤΙΜΕΣ ΚΛΕΙΣΙΜΑΤΟΣ'!AF150)</f>
        <v>-2.1786500992221499E-3</v>
      </c>
      <c r="AG150" s="43">
        <f>LN('2.ΤΙΜΕΣ ΚΛΕΙΣΙΜΑΤΟΣ'!AG151/'2.ΤΙΜΕΣ ΚΛΕΙΣΙΜΑΤΟΣ'!AG150)</f>
        <v>-1.5677812719229793E-2</v>
      </c>
      <c r="AH150" s="43">
        <f>LN('2.ΤΙΜΕΣ ΚΛΕΙΣΙΜΑΤΟΣ'!AH151/'2.ΤΙΜΕΣ ΚΛΕΙΣΙΜΑΤΟΣ'!AH150)</f>
        <v>1.5444322427473556E-2</v>
      </c>
      <c r="AI150" s="43">
        <f>LN('2.ΤΙΜΕΣ ΚΛΕΙΣΙΜΑΤΟΣ'!AI151/'2.ΤΙΜΕΣ ΚΛΕΙΣΙΜΑΤΟΣ'!AI150)</f>
        <v>-7.9051795071132611E-3</v>
      </c>
      <c r="AJ150" s="43">
        <f>LN('2.ΤΙΜΕΣ ΚΛΕΙΣΙΜΑΤΟΣ'!AJ151/'2.ΤΙΜΕΣ ΚΛΕΙΣΙΜΑΤΟΣ'!AJ150)</f>
        <v>-1.202419296680159E-2</v>
      </c>
      <c r="AK150" s="43">
        <f>LN('2.ΤΙΜΕΣ ΚΛΕΙΣΙΜΑΤΟΣ'!AK151/'2.ΤΙΜΕΣ ΚΛΕΙΣΙΜΑΤΟΣ'!AK150)</f>
        <v>0</v>
      </c>
      <c r="AL150" s="43">
        <f>LN('2.ΤΙΜΕΣ ΚΛΕΙΣΙΜΑΤΟΣ'!AL151/'2.ΤΙΜΕΣ ΚΛΕΙΣΙΜΑΤΟΣ'!AL150)</f>
        <v>-9.3897403498390316E-3</v>
      </c>
      <c r="AM150" s="43">
        <f>LN('2.ΤΙΜΕΣ ΚΛΕΙΣΙΜΑΤΟΣ'!AM151/'2.ΤΙΜΕΣ ΚΛΕΙΣΙΜΑΤΟΣ'!AM150)</f>
        <v>-2.0834086902842025E-2</v>
      </c>
      <c r="AN150" s="43">
        <f>LN('2.ΤΙΜΕΣ ΚΛΕΙΣΙΜΑΤΟΣ'!AN151/'2.ΤΙΜΕΣ ΚΛΕΙΣΙΜΑΤΟΣ'!AN150)</f>
        <v>1.820070464684637E-2</v>
      </c>
      <c r="AO150" s="43">
        <f>LN('2.ΤΙΜΕΣ ΚΛΕΙΣΙΜΑΤΟΣ'!AO151/'2.ΤΙΜΕΣ ΚΛΕΙΣΙΜΑΤΟΣ'!AO150)</f>
        <v>0</v>
      </c>
      <c r="AP150" s="43">
        <f>LN('2.ΤΙΜΕΣ ΚΛΕΙΣΙΜΑΤΟΣ'!AP151/'2.ΤΙΜΕΣ ΚΛΕΙΣΙΜΑΤΟΣ'!AP150)</f>
        <v>-2.781642961876914E-3</v>
      </c>
      <c r="AQ150" s="43">
        <f>LN('2.ΤΙΜΕΣ ΚΛΕΙΣΙΜΑΤΟΣ'!AQ151/'2.ΤΙΜΕΣ ΚΛΕΙΣΙΜΑΤΟΣ'!AQ150)</f>
        <v>1.0632643213300838E-3</v>
      </c>
      <c r="AR150" s="43">
        <f>LN('2.ΤΙΜΕΣ ΚΛΕΙΣΙΜΑΤΟΣ'!AR151/'2.ΤΙΜΕΣ ΚΛΕΙΣΙΜΑΤΟΣ'!AR150)</f>
        <v>-1.7497817237875951E-3</v>
      </c>
      <c r="AS150" s="43">
        <f>LN('2.ΤΙΜΕΣ ΚΛΕΙΣΙΜΑΤΟΣ'!AS151/'2.ΤΙΜΕΣ ΚΛΕΙΣΙΜΑΤΟΣ'!AS150)</f>
        <v>1.3793322132335769E-2</v>
      </c>
      <c r="AT150" s="43">
        <f>LN('2.ΤΙΜΕΣ ΚΛΕΙΣΙΜΑΤΟΣ'!AT151/'2.ΤΙΜΕΣ ΚΛΕΙΣΙΜΑΤΟΣ'!AT150)</f>
        <v>6.7644000885420628E-3</v>
      </c>
      <c r="AU150" s="43">
        <f>LN('2.ΤΙΜΕΣ ΚΛΕΙΣΙΜΑΤΟΣ'!AU151/'2.ΤΙΜΕΣ ΚΛΕΙΣΙΜΑΤΟΣ'!AU150)</f>
        <v>-2.5071910486212092E-3</v>
      </c>
    </row>
    <row r="151" spans="1:47">
      <c r="A151" s="41">
        <v>43773</v>
      </c>
      <c r="B151" s="43">
        <f>LN('2.ΤΙΜΕΣ ΚΛΕΙΣΙΜΑΤΟΣ'!B152/'2.ΤΙΜΕΣ ΚΛΕΙΣΙΜΑΤΟΣ'!B151)</f>
        <v>-5.8436981489109197E-3</v>
      </c>
      <c r="C151" s="43">
        <f>LN('2.ΤΙΜΕΣ ΚΛΕΙΣΙΜΑΤΟΣ'!C152/'2.ΤΙΜΕΣ ΚΛΕΙΣΙΜΑΤΟΣ'!C151)</f>
        <v>8.797710703529131E-3</v>
      </c>
      <c r="D151" s="43">
        <f>LN('2.ΤΙΜΕΣ ΚΛΕΙΣΙΜΑΤΟΣ'!D152/'2.ΤΙΜΕΣ ΚΛΕΙΣΙΜΑΤΟΣ'!D151)</f>
        <v>-3.3724304942552151E-2</v>
      </c>
      <c r="E151" s="43">
        <f>LN('2.ΤΙΜΕΣ ΚΛΕΙΣΙΜΑΤΟΣ'!E152/'2.ΤΙΜΕΣ ΚΛΕΙΣΙΜΑΤΟΣ'!E151)</f>
        <v>1.6997576368571077E-2</v>
      </c>
      <c r="F151" s="43">
        <f>LN('2.ΤΙΜΕΣ ΚΛΕΙΣΙΜΑΤΟΣ'!F152/'2.ΤΙΜΕΣ ΚΛΕΙΣΙΜΑΤΟΣ'!F151)</f>
        <v>1.4068227332200962E-2</v>
      </c>
      <c r="G151" s="43">
        <f>LN('2.ΤΙΜΕΣ ΚΛΕΙΣΙΜΑΤΟΣ'!G152/'2.ΤΙΜΕΣ ΚΛΕΙΣΙΜΑΤΟΣ'!G151)</f>
        <v>-1.324522675002068E-2</v>
      </c>
      <c r="H151" s="43">
        <f>LN('2.ΤΙΜΕΣ ΚΛΕΙΣΙΜΑΤΟΣ'!H152/'2.ΤΙΜΕΣ ΚΛΕΙΣΙΜΑΤΟΣ'!H151)</f>
        <v>9.0992438551140888E-3</v>
      </c>
      <c r="I151" s="43">
        <f>LN('2.ΤΙΜΕΣ ΚΛΕΙΣΙΜΑΤΟΣ'!I152/'2.ΤΙΜΕΣ ΚΛΕΙΣΙΜΑΤΟΣ'!I151)</f>
        <v>-1.9561818596587059E-2</v>
      </c>
      <c r="J151" s="43">
        <f>LN('2.ΤΙΜΕΣ ΚΛΕΙΣΙΜΑΤΟΣ'!J152/'2.ΤΙΜΕΣ ΚΛΕΙΣΙΜΑΤΟΣ'!J151)</f>
        <v>-4.6403795565023364E-3</v>
      </c>
      <c r="K151" s="43">
        <f>LN('2.ΤΙΜΕΣ ΚΛΕΙΣΙΜΑΤΟΣ'!K152/'2.ΤΙΜΕΣ ΚΛΕΙΣΙΜΑΤΟΣ'!K151)</f>
        <v>9.772064733792522E-3</v>
      </c>
      <c r="L151" s="43">
        <f>LN('2.ΤΙΜΕΣ ΚΛΕΙΣΙΜΑΤΟΣ'!L152/'2.ΤΙΜΕΣ ΚΛΕΙΣΙΜΑΤΟΣ'!L151)</f>
        <v>-3.5650661644961459E-3</v>
      </c>
      <c r="M151" s="43">
        <f>LN('2.ΤΙΜΕΣ ΚΛΕΙΣΙΜΑΤΟΣ'!M152/'2.ΤΙΜΕΣ ΚΛΕΙΣΙΜΑΤΟΣ'!M151)</f>
        <v>-1.0643960557867014E-3</v>
      </c>
      <c r="N151" s="43">
        <f>LN('2.ΤΙΜΕΣ ΚΛΕΙΣΙΜΑΤΟΣ'!N152/'2.ΤΙΜΕΣ ΚΛΕΙΣΙΜΑΤΟΣ'!N151)</f>
        <v>0</v>
      </c>
      <c r="O151" s="43">
        <f>LN('2.ΤΙΜΕΣ ΚΛΕΙΣΙΜΑΤΟΣ'!O152/'2.ΤΙΜΕΣ ΚΛΕΙΣΙΜΑΤΟΣ'!O151)</f>
        <v>0</v>
      </c>
      <c r="P151" s="43">
        <f>LN('2.ΤΙΜΕΣ ΚΛΕΙΣΙΜΑΤΟΣ'!P152/'2.ΤΙΜΕΣ ΚΛΕΙΣΙΜΑΤΟΣ'!P151)</f>
        <v>4.4020614006376651E-3</v>
      </c>
      <c r="Q151" s="43">
        <f>LN('2.ΤΙΜΕΣ ΚΛΕΙΣΙΜΑΤΟΣ'!Q152/'2.ΤΙΜΕΣ ΚΛΕΙΣΙΜΑΤΟΣ'!Q151)</f>
        <v>-1.9436352085710144E-3</v>
      </c>
      <c r="R151" s="43">
        <f>LN('2.ΤΙΜΕΣ ΚΛΕΙΣΙΜΑΤΟΣ'!R152/'2.ΤΙΜΕΣ ΚΛΕΙΣΙΜΑΤΟΣ'!R151)</f>
        <v>-6.9554501085845183E-3</v>
      </c>
      <c r="S151" s="43">
        <f>LN('2.ΤΙΜΕΣ ΚΛΕΙΣΙΜΑΤΟΣ'!S152/'2.ΤΙΜΕΣ ΚΛΕΙΣΙΜΑΤΟΣ'!S151)</f>
        <v>2.0279528950529088E-2</v>
      </c>
      <c r="T151" s="43">
        <f>LN('2.ΤΙΜΕΣ ΚΛΕΙΣΙΜΑΤΟΣ'!T152/'2.ΤΙΜΕΣ ΚΛΕΙΣΙΜΑΤΟΣ'!T151)</f>
        <v>-1.3651879253398589E-3</v>
      </c>
      <c r="U151" s="43">
        <f>LN('2.ΤΙΜΕΣ ΚΛΕΙΣΙΜΑΤΟΣ'!U152/'2.ΤΙΜΕΣ ΚΛΕΙΣΙΜΑΤΟΣ'!U151)</f>
        <v>4.6729056993924231E-3</v>
      </c>
      <c r="V151" s="43">
        <f>LN('2.ΤΙΜΕΣ ΚΛΕΙΣΙΜΑΤΟΣ'!V152/'2.ΤΙΜΕΣ ΚΛΕΙΣΙΜΑΤΟΣ'!V151)</f>
        <v>-2.1857932199800967E-3</v>
      </c>
      <c r="W151" s="43">
        <f>LN('2.ΤΙΜΕΣ ΚΛΕΙΣΙΜΑΤΟΣ'!W152/'2.ΤΙΜΕΣ ΚΛΕΙΣΙΜΑΤΟΣ'!W151)</f>
        <v>9.8766234959120989E-3</v>
      </c>
      <c r="X151" s="43">
        <f>LN('2.ΤΙΜΕΣ ΚΛΕΙΣΙΜΑΤΟΣ'!X152/'2.ΤΙΜΕΣ ΚΛΕΙΣΙΜΑΤΟΣ'!X151)</f>
        <v>5.6313772385066015E-3</v>
      </c>
      <c r="Y151" s="43">
        <f>LN('2.ΤΙΜΕΣ ΚΛΕΙΣΙΜΑΤΟΣ'!Y152/'2.ΤΙΜΕΣ ΚΛΕΙΣΙΜΑΤΟΣ'!Y151)</f>
        <v>7.7220460939103185E-3</v>
      </c>
      <c r="Z151" s="43">
        <f>LN('2.ΤΙΜΕΣ ΚΛΕΙΣΙΜΑΤΟΣ'!Z152/'2.ΤΙΜΕΣ ΚΛΕΙΣΙΜΑΤΟΣ'!Z151)</f>
        <v>-3.6832454162962934E-3</v>
      </c>
      <c r="AA151" s="43">
        <f>LN('2.ΤΙΜΕΣ ΚΛΕΙΣΙΜΑΤΟΣ'!AA152/'2.ΤΙΜΕΣ ΚΛΕΙΣΙΜΑΤΟΣ'!AA151)</f>
        <v>0</v>
      </c>
      <c r="AB151" s="43">
        <f>LN('2.ΤΙΜΕΣ ΚΛΕΙΣΙΜΑΤΟΣ'!AB152/'2.ΤΙΜΕΣ ΚΛΕΙΣΙΜΑΤΟΣ'!AB151)</f>
        <v>1.6529301951210506E-2</v>
      </c>
      <c r="AC151" s="43">
        <f>LN('2.ΤΙΜΕΣ ΚΛΕΙΣΙΜΑΤΟΣ'!AC152/'2.ΤΙΜΕΣ ΚΛΕΙΣΙΜΑΤΟΣ'!AC151)</f>
        <v>1.3605652055778678E-2</v>
      </c>
      <c r="AD151" s="43">
        <f>LN('2.ΤΙΜΕΣ ΚΛΕΙΣΙΜΑΤΟΣ'!AD152/'2.ΤΙΜΕΣ ΚΛΕΙΣΙΜΑΤΟΣ'!AD151)</f>
        <v>5.8823699030666129E-3</v>
      </c>
      <c r="AE151" s="43">
        <f>LN('2.ΤΙΜΕΣ ΚΛΕΙΣΙΜΑΤΟΣ'!AE152/'2.ΤΙΜΕΣ ΚΛΕΙΣΙΜΑΤΟΣ'!AE151)</f>
        <v>7.6045993852192125E-3</v>
      </c>
      <c r="AF151" s="43">
        <f>LN('2.ΤΙΜΕΣ ΚΛΕΙΣΙΜΑΤΟΣ'!AF152/'2.ΤΙΜΕΣ ΚΛΕΙΣΙΜΑΤΟΣ'!AF151)</f>
        <v>-2.5401697082950717E-2</v>
      </c>
      <c r="AG151" s="43">
        <f>LN('2.ΤΙΜΕΣ ΚΛΕΙΣΙΜΑΤΟΣ'!AG152/'2.ΤΙΜΕΣ ΚΛΕΙΣΙΜΑΤΟΣ'!AG151)</f>
        <v>-2.7461679941387894E-2</v>
      </c>
      <c r="AH151" s="43">
        <f>LN('2.ΤΙΜΕΣ ΚΛΕΙΣΙΜΑΤΟΣ'!AH152/'2.ΤΙΜΕΣ ΚΛΕΙΣΙΜΑΤΟΣ'!AH151)</f>
        <v>-5.7637047167501294E-3</v>
      </c>
      <c r="AI151" s="43">
        <f>LN('2.ΤΙΜΕΣ ΚΛΕΙΣΙΜΑΤΟΣ'!AI152/'2.ΤΙΜΕΣ ΚΛΕΙΣΙΜΑΤΟΣ'!AI151)</f>
        <v>0</v>
      </c>
      <c r="AJ151" s="43">
        <f>LN('2.ΤΙΜΕΣ ΚΛΕΙΣΙΜΑΤΟΣ'!AJ152/'2.ΤΙΜΕΣ ΚΛΕΙΣΙΜΑΤΟΣ'!AJ151)</f>
        <v>-1.6260520871780291E-2</v>
      </c>
      <c r="AK151" s="43">
        <f>LN('2.ΤΙΜΕΣ ΚΛΕΙΣΙΜΑΤΟΣ'!AK152/'2.ΤΙΜΕΣ ΚΛΕΙΣΙΜΑΤΟΣ'!AK151)</f>
        <v>4.7732787526578117E-3</v>
      </c>
      <c r="AL151" s="43">
        <f>LN('2.ΤΙΜΕΣ ΚΛΕΙΣΙΜΑΤΟΣ'!AL152/'2.ΤΙΜΕΣ ΚΛΕΙΣΙΜΑΤΟΣ'!AL151)</f>
        <v>-1.9048194970694474E-2</v>
      </c>
      <c r="AM151" s="43">
        <f>LN('2.ΤΙΜΕΣ ΚΛΕΙΣΙΜΑΤΟΣ'!AM152/'2.ΤΙΜΕΣ ΚΛΕΙΣΙΜΑΤΟΣ'!AM151)</f>
        <v>-1.3245226750020567E-2</v>
      </c>
      <c r="AN151" s="43">
        <f>LN('2.ΤΙΜΕΣ ΚΛΕΙΣΙΜΑΤΟΣ'!AN152/'2.ΤΙΜΕΣ ΚΛΕΙΣΙΜΑΤΟΣ'!AN151)</f>
        <v>5.8382336106780772E-2</v>
      </c>
      <c r="AO151" s="43">
        <f>LN('2.ΤΙΜΕΣ ΚΛΕΙΣΙΜΑΤΟΣ'!AO152/'2.ΤΙΜΕΣ ΚΛΕΙΣΙΜΑΤΟΣ'!AO151)</f>
        <v>1.5037877364540502E-2</v>
      </c>
      <c r="AP151" s="43">
        <f>LN('2.ΤΙΜΕΣ ΚΛΕΙΣΙΜΑΤΟΣ'!AP152/'2.ΤΙΜΕΣ ΚΛΕΙΣΙΜΑΤΟΣ'!AP151)</f>
        <v>2.7816429618767705E-3</v>
      </c>
      <c r="AQ151" s="43">
        <f>LN('2.ΤΙΜΕΣ ΚΛΕΙΣΙΜΑΤΟΣ'!AQ152/'2.ΤΙΜΕΣ ΚΛΕΙΣΙΜΑΤΟΣ'!AQ151)</f>
        <v>-1.6068904939200102E-2</v>
      </c>
      <c r="AR151" s="43">
        <f>LN('2.ΤΙΜΕΣ ΚΛΕΙΣΙΜΑΤΟΣ'!AR152/'2.ΤΙΜΕΣ ΚΛΕΙΣΙΜΑΤΟΣ'!AR151)</f>
        <v>-5.2677909348589156E-3</v>
      </c>
      <c r="AS151" s="43">
        <f>LN('2.ΤΙΜΕΣ ΚΛΕΙΣΙΜΑΤΟΣ'!AS152/'2.ΤΙΜΕΣ ΚΛΕΙΣΙΜΑΤΟΣ'!AS151)</f>
        <v>-1.3793322132335761E-2</v>
      </c>
      <c r="AT151" s="43">
        <f>LN('2.ΤΙΜΕΣ ΚΛΕΙΣΙΜΑΤΟΣ'!AT152/'2.ΤΙΜΕΣ ΚΛΕΙΣΙΜΑΤΟΣ'!AT151)</f>
        <v>6.7189502487450094E-3</v>
      </c>
      <c r="AU151" s="43">
        <f>LN('2.ΤΙΜΕΣ ΚΛΕΙΣΙΜΑΤΟΣ'!AU152/'2.ΤΙΜΕΣ ΚΛΕΙΣΙΜΑΤΟΣ'!AU151)</f>
        <v>-1.2616433723794628E-3</v>
      </c>
    </row>
    <row r="152" spans="1:47">
      <c r="A152" s="41">
        <v>43774</v>
      </c>
      <c r="B152" s="43">
        <f>LN('2.ΤΙΜΕΣ ΚΛΕΙΣΙΜΑΤΟΣ'!B153/'2.ΤΙΜΕΣ ΚΛΕΙΣΙΜΑΤΟΣ'!B152)</f>
        <v>3.6563112031104792E-3</v>
      </c>
      <c r="C152" s="43">
        <f>LN('2.ΤΙΜΕΣ ΚΛΕΙΣΙΜΑΤΟΣ'!C153/'2.ΤΙΜΕΣ ΚΛΕΙΣΙΜΑΤΟΣ'!C152)</f>
        <v>-4.3891804187630957E-3</v>
      </c>
      <c r="D152" s="43">
        <f>LN('2.ΤΙΜΕΣ ΚΛΕΙΣΙΜΑΤΟΣ'!D153/'2.ΤΙΜΕΣ ΚΛΕΙΣΙΜΑΤΟΣ'!D152)</f>
        <v>-5.2263106312979207E-3</v>
      </c>
      <c r="E152" s="43">
        <f>LN('2.ΤΙΜΕΣ ΚΛΕΙΣΙΜΑΤΟΣ'!E153/'2.ΤΙΜΕΣ ΚΛΕΙΣΙΜΑΤΟΣ'!E152)</f>
        <v>1.1173300598125255E-2</v>
      </c>
      <c r="F152" s="43">
        <f>LN('2.ΤΙΜΕΣ ΚΛΕΙΣΙΜΑΤΟΣ'!F153/'2.ΤΙΜΕΣ ΚΛΕΙΣΙΜΑΤΟΣ'!F152)</f>
        <v>-2.3310033864754783E-3</v>
      </c>
      <c r="G152" s="43">
        <f>LN('2.ΤΙΜΕΣ ΚΛΕΙΣΙΜΑΤΟΣ'!G153/'2.ΤΙΜΕΣ ΚΛΕΙΣΙΜΑΤΟΣ'!G152)</f>
        <v>-8.9286307443014312E-3</v>
      </c>
      <c r="H152" s="43">
        <f>LN('2.ΤΙΜΕΣ ΚΛΕΙΣΙΜΑΤΟΣ'!H153/'2.ΤΙΜΕΣ ΚΛΕΙΣΙΜΑΤΟΣ'!H152)</f>
        <v>1.2601426878003795E-2</v>
      </c>
      <c r="I152" s="43">
        <f>LN('2.ΤΙΜΕΣ ΚΛΕΙΣΙΜΑΤΟΣ'!I153/'2.ΤΙΜΕΣ ΚΛΕΙΣΙΜΑΤΟΣ'!I152)</f>
        <v>-9.1177890979425337E-3</v>
      </c>
      <c r="J152" s="43">
        <f>LN('2.ΤΙΜΕΣ ΚΛΕΙΣΙΜΑΤΟΣ'!J153/'2.ΤΙΜΕΣ ΚΛΕΙΣΙΜΑΤΟΣ'!J152)</f>
        <v>-2.013490840905581E-2</v>
      </c>
      <c r="K152" s="43">
        <f>LN('2.ΤΙΜΕΣ ΚΛΕΙΣΙΜΑΤΟΣ'!K153/'2.ΤΙΜΕΣ ΚΛΕΙΣΙΜΑΤΟΣ'!K152)</f>
        <v>-1.3269445367617273E-3</v>
      </c>
      <c r="L152" s="43">
        <f>LN('2.ΤΙΜΕΣ ΚΛΕΙΣΙΜΑΤΟΣ'!L153/'2.ΤΙΜΕΣ ΚΛΕΙΣΙΜΑΤΟΣ'!L152)</f>
        <v>7.1174677688637337E-3</v>
      </c>
      <c r="M152" s="43">
        <f>LN('2.ΤΙΜΕΣ ΚΛΕΙΣΙΜΑΤΟΣ'!M153/'2.ΤΙΜΕΣ ΚΛΕΙΣΙΜΑΤΟΣ'!M152)</f>
        <v>-2.5891413932741591E-2</v>
      </c>
      <c r="N152" s="43">
        <f>LN('2.ΤΙΜΕΣ ΚΛΕΙΣΙΜΑΤΟΣ'!N153/'2.ΤΙΜΕΣ ΚΛΕΙΣΙΜΑΤΟΣ'!N152)</f>
        <v>0</v>
      </c>
      <c r="O152" s="43">
        <f>LN('2.ΤΙΜΕΣ ΚΛΕΙΣΙΜΑΤΟΣ'!O153/'2.ΤΙΜΕΣ ΚΛΕΙΣΙΜΑΤΟΣ'!O152)</f>
        <v>-1.6613800662655446E-2</v>
      </c>
      <c r="P152" s="43">
        <f>LN('2.ΤΙΜΕΣ ΚΛΕΙΣΙΜΑΤΟΣ'!P153/'2.ΤΙΜΕΣ ΚΛΕΙΣΙΜΑΤΟΣ'!P152)</f>
        <v>-4.4020614006377639E-3</v>
      </c>
      <c r="Q152" s="43">
        <f>LN('2.ΤΙΜΕΣ ΚΛΕΙΣΙΜΑΤΟΣ'!Q153/'2.ΤΙΜΕΣ ΚΛΕΙΣΙΜΑΤΟΣ'!Q152)</f>
        <v>-1.7664836179805334E-2</v>
      </c>
      <c r="R152" s="43">
        <f>LN('2.ΤΙΜΕΣ ΚΛΕΙΣΙΜΑΤΟΣ'!R153/'2.ΤΙΜΕΣ ΚΛΕΙΣΙΜΑΤΟΣ'!R152)</f>
        <v>-3.2240058573422131E-2</v>
      </c>
      <c r="S152" s="43">
        <f>LN('2.ΤΙΜΕΣ ΚΛΕΙΣΙΜΑΤΟΣ'!S153/'2.ΤΙΜΕΣ ΚΛΕΙΣΙΜΑΤΟΣ'!S152)</f>
        <v>5.0062682781442224E-3</v>
      </c>
      <c r="T152" s="43">
        <f>LN('2.ΤΙΜΕΣ ΚΛΕΙΣΙΜΑΤΟΣ'!T153/'2.ΤΙΜΕΣ ΚΛΕΙΣΙΜΑΤΟΣ'!T152)</f>
        <v>-2.0704673361691281E-2</v>
      </c>
      <c r="U152" s="43">
        <f>LN('2.ΤΙΜΕΣ ΚΛΕΙΣΙΜΑΤΟΣ'!U153/'2.ΤΙΜΕΣ ΚΛΕΙΣΙΜΑΤΟΣ'!U152)</f>
        <v>-4.6729056993924821E-3</v>
      </c>
      <c r="V152" s="43">
        <f>LN('2.ΤΙΜΕΣ ΚΛΕΙΣΙΜΑΤΟΣ'!V153/'2.ΤΙΜΕΣ ΚΛΕΙΣΙΜΑΤΟΣ'!V152)</f>
        <v>6.5430985889358868E-3</v>
      </c>
      <c r="W152" s="43">
        <f>LN('2.ΤΙΜΕΣ ΚΛΕΙΣΙΜΑΤΟΣ'!W153/'2.ΤΙΜΕΣ ΚΛΕΙΣΙΜΑΤΟΣ'!W152)</f>
        <v>-4.9261183360560009E-3</v>
      </c>
      <c r="X152" s="43">
        <f>LN('2.ΤΙΜΕΣ ΚΛΕΙΣΙΜΑΤΟΣ'!X153/'2.ΤΙΜΕΣ ΚΛΕΙΣΙΜΑΤΟΣ'!X152)</f>
        <v>-2.8839241329049821E-3</v>
      </c>
      <c r="Y152" s="43">
        <f>LN('2.ΤΙΜΕΣ ΚΛΕΙΣΙΜΑΤΟΣ'!Y153/'2.ΤΙΜΕΣ ΚΛΕΙΣΙΜΑΤΟΣ'!Y152)</f>
        <v>-7.7220460939103897E-3</v>
      </c>
      <c r="Z152" s="43">
        <f>LN('2.ΤΙΜΕΣ ΚΛΕΙΣΙΜΑΤΟΣ'!Z153/'2.ΤΙΜΕΣ ΚΛΕΙΣΙΜΑΤΟΣ'!Z152)</f>
        <v>-1.1131840368844294E-2</v>
      </c>
      <c r="AA152" s="43">
        <f>LN('2.ΤΙΜΕΣ ΚΛΕΙΣΙΜΑΤΟΣ'!AA153/'2.ΤΙΜΕΣ ΚΛΕΙΣΙΜΑΤΟΣ'!AA152)</f>
        <v>-1.744230266334237E-2</v>
      </c>
      <c r="AB152" s="43">
        <f>LN('2.ΤΙΜΕΣ ΚΛΕΙΣΙΜΑΤΟΣ'!AB153/'2.ΤΙΜΕΣ ΚΛΕΙΣΙΜΑΤΟΣ'!AB152)</f>
        <v>-3.6496390875495042E-3</v>
      </c>
      <c r="AC152" s="43">
        <f>LN('2.ΤΙΜΕΣ ΚΛΕΙΣΙΜΑΤΟΣ'!AC153/'2.ΤΙΜΕΣ ΚΛΕΙΣΙΜΑΤΟΣ'!AC152)</f>
        <v>0</v>
      </c>
      <c r="AD152" s="43">
        <f>LN('2.ΤΙΜΕΣ ΚΛΕΙΣΙΜΑΤΟΣ'!AD153/'2.ΤΙΜΕΣ ΚΛΕΙΣΙΜΑΤΟΣ'!AD152)</f>
        <v>-2.9764101906453861E-2</v>
      </c>
      <c r="AE152" s="43">
        <f>LN('2.ΤΙΜΕΣ ΚΛΕΙΣΙΜΑΤΟΣ'!AE153/'2.ΤΙΜΕΣ ΚΛΕΙΣΙΜΑΤΟΣ'!AE152)</f>
        <v>-1.5267472130788421E-2</v>
      </c>
      <c r="AF152" s="43">
        <f>LN('2.ΤΙΜΕΣ ΚΛΕΙΣΙΜΑΤΟΣ'!AF153/'2.ΤΙΜΕΣ ΚΛΕΙΣΙΜΑΤΟΣ'!AF152)</f>
        <v>-3.9936853189258811E-2</v>
      </c>
      <c r="AG152" s="43">
        <f>LN('2.ΤΙΜΕΣ ΚΛΕΙΣΙΜΑΤΟΣ'!AG153/'2.ΤΙΜΕΣ ΚΛΕΙΣΙΜΑΤΟΣ'!AG152)</f>
        <v>-3.3021868304946425E-2</v>
      </c>
      <c r="AH152" s="43">
        <f>LN('2.ΤΙΜΕΣ ΚΛΕΙΣΙΜΑΤΟΣ'!AH153/'2.ΤΙΜΕΣ ΚΛΕΙΣΙΜΑΤΟΣ'!AH152)</f>
        <v>-1.749315744751723E-2</v>
      </c>
      <c r="AI152" s="43">
        <f>LN('2.ΤΙΜΕΣ ΚΛΕΙΣΙΜΑΤΟΣ'!AI153/'2.ΤΙΜΕΣ ΚΛΕΙΣΙΜΑΤΟΣ'!AI152)</f>
        <v>0</v>
      </c>
      <c r="AJ152" s="43">
        <f>LN('2.ΤΙΜΕΣ ΚΛΕΙΣΙΜΑΤΟΣ'!AJ153/'2.ΤΙΜΕΣ ΚΛΕΙΣΙΜΑΤΟΣ'!AJ152)</f>
        <v>-3.3336420267591836E-2</v>
      </c>
      <c r="AK152" s="43">
        <f>LN('2.ΤΙΜΕΣ ΚΛΕΙΣΙΜΑΤΟΣ'!AK153/'2.ΤΙΜΕΣ ΚΛΕΙΣΙΜΑΤΟΣ'!AK152)</f>
        <v>-4.7732787526577709E-3</v>
      </c>
      <c r="AL152" s="43">
        <f>LN('2.ΤΙΜΕΣ ΚΛΕΙΣΙΜΑΤΟΣ'!AL153/'2.ΤΙΜΕΣ ΚΛΕΙΣΙΜΑΤΟΣ'!AL152)</f>
        <v>-4.9271049006782676E-2</v>
      </c>
      <c r="AM152" s="43">
        <f>LN('2.ΤΙΜΕΣ ΚΛΕΙΣΙΜΑΤΟΣ'!AM153/'2.ΤΙΜΕΣ ΚΛΕΙΣΙΜΑΤΟΣ'!AM152)</f>
        <v>-1.0723963362975724E-2</v>
      </c>
      <c r="AN152" s="43">
        <f>LN('2.ΤΙΜΕΣ ΚΛΕΙΣΙΜΑΤΟΣ'!AN153/'2.ΤΙΜΕΣ ΚΛΕΙΣΙΜΑΤΟΣ'!AN152)</f>
        <v>-3.8540415307776667E-2</v>
      </c>
      <c r="AO152" s="43">
        <f>LN('2.ΤΙΜΕΣ ΚΛΕΙΣΙΜΑΤΟΣ'!AO153/'2.ΤΙΜΕΣ ΚΛΕΙΣΙΜΑΤΟΣ'!AO152)</f>
        <v>-5.9880418446225572E-3</v>
      </c>
      <c r="AP152" s="43">
        <f>LN('2.ΤΙΜΕΣ ΚΛΕΙΣΙΜΑΤΟΣ'!AP153/'2.ΤΙΜΕΣ ΚΛΕΙΣΙΜΑΤΟΣ'!AP152)</f>
        <v>0</v>
      </c>
      <c r="AQ152" s="43">
        <f>LN('2.ΤΙΜΕΣ ΚΛΕΙΣΙΜΑΤΟΣ'!AQ153/'2.ΤΙΜΕΣ ΚΛΕΙΣΙΜΑΤΟΣ'!AQ152)</f>
        <v>-2.8479471321868687E-2</v>
      </c>
      <c r="AR152" s="43">
        <f>LN('2.ΤΙΜΕΣ ΚΛΕΙΣΙΜΑΤΟΣ'!AR153/'2.ΤΙΜΕΣ ΚΛΕΙΣΙΜΑΤΟΣ'!AR152)</f>
        <v>-8.8417905814608989E-3</v>
      </c>
      <c r="AS152" s="43">
        <f>LN('2.ΤΙΜΕΣ ΚΛΕΙΣΙΜΑΤΟΣ'!AS153/'2.ΤΙΜΕΣ ΚΛΕΙΣΙΜΑΤΟΣ'!AS152)</f>
        <v>-4.2559614418795889E-2</v>
      </c>
      <c r="AT152" s="43">
        <f>LN('2.ΤΙΜΕΣ ΚΛΕΙΣΙΜΑΤΟΣ'!AT153/'2.ΤΙΜΕΣ ΚΛΕΙΣΙΜΑΤΟΣ'!AT152)</f>
        <v>-3.868514231123741E-2</v>
      </c>
      <c r="AU152" s="43">
        <f>LN('2.ΤΙΜΕΣ ΚΛΕΙΣΙΜΑΤΟΣ'!AU153/'2.ΤΙΜΕΣ ΚΛΕΙΣΙΜΑΤΟΣ'!AU152)</f>
        <v>-6.7443297084083349E-3</v>
      </c>
    </row>
    <row r="153" spans="1:47">
      <c r="A153" s="41">
        <v>43775</v>
      </c>
      <c r="B153" s="43">
        <f>LN('2.ΤΙΜΕΣ ΚΛΕΙΣΙΜΑΤΟΣ'!B154/'2.ΤΙΜΕΣ ΚΛΕΙΣΙΜΑΤΟΣ'!B153)</f>
        <v>0</v>
      </c>
      <c r="C153" s="43">
        <f>LN('2.ΤΙΜΕΣ ΚΛΕΙΣΙΜΑΤΟΣ'!C154/'2.ΤΙΜΕΣ ΚΛΕΙΣΙΜΑΤΟΣ'!C153)</f>
        <v>-6.6201050896061283E-3</v>
      </c>
      <c r="D153" s="43">
        <f>LN('2.ΤΙΜΕΣ ΚΛΕΙΣΙΜΑΤΟΣ'!D154/'2.ΤΙΜΕΣ ΚΛΕΙΣΙΜΑΤΟΣ'!D153)</f>
        <v>0</v>
      </c>
      <c r="E153" s="43">
        <f>LN('2.ΤΙΜΕΣ ΚΛΕΙΣΙΜΑΤΟΣ'!E154/'2.ΤΙΜΕΣ ΚΛΕΙΣΙΜΑΤΟΣ'!E153)</f>
        <v>-2.133713738813121E-2</v>
      </c>
      <c r="F153" s="43">
        <f>LN('2.ΤΙΜΕΣ ΚΛΕΙΣΙΜΑΤΟΣ'!F154/'2.ΤΙΜΕΣ ΚΛΕΙΣΙΜΑΤΟΣ'!F153)</f>
        <v>1.2753796062570415E-2</v>
      </c>
      <c r="G153" s="43">
        <f>LN('2.ΤΙΜΕΣ ΚΛΕΙΣΙΜΑΤΟΣ'!G154/'2.ΤΙΜΕΣ ΚΛΕΙΣΙΜΑΤΟΣ'!G153)</f>
        <v>-5.2946772973786138E-2</v>
      </c>
      <c r="H153" s="43">
        <f>LN('2.ΤΙΜΕΣ ΚΛΕΙΣΙΜΑΤΟΣ'!H154/'2.ΤΙΜΕΣ ΚΛΕΙΣΙΜΑΤΟΣ'!H153)</f>
        <v>-1.6231194928582552E-2</v>
      </c>
      <c r="I153" s="43">
        <f>LN('2.ΤΙΜΕΣ ΚΛΕΙΣΙΜΑΤΟΣ'!I154/'2.ΤΙΜΕΣ ΚΛΕΙΣΙΜΑΤΟΣ'!I153)</f>
        <v>-4.6879275563312436E-2</v>
      </c>
      <c r="J153" s="43">
        <f>LN('2.ΤΙΜΕΣ ΚΛΕΙΣΙΜΑΤΟΣ'!J154/'2.ΤΙΜΕΣ ΚΛΕΙΣΙΜΑΤΟΣ'!J153)</f>
        <v>-5.0401631377068823E-2</v>
      </c>
      <c r="K153" s="43">
        <f>LN('2.ΤΙΜΕΣ ΚΛΕΙΣΙΜΑΤΟΣ'!K154/'2.ΤΙΜΕΣ ΚΛΕΙΣΙΜΑΤΟΣ'!K153)</f>
        <v>-1.2619869066354447E-2</v>
      </c>
      <c r="L153" s="43">
        <f>LN('2.ΤΙΜΕΣ ΚΛΕΙΣΙΜΑΤΟΣ'!L154/'2.ΤΙΜΕΣ ΚΛΕΙΣΙΜΑΤΟΣ'!L153)</f>
        <v>-7.1174677688638785E-3</v>
      </c>
      <c r="M153" s="43">
        <f>LN('2.ΤΙΜΕΣ ΚΛΕΙΣΙΜΑΤΟΣ'!M154/'2.ΤΙΜΕΣ ΚΛΕΙΣΙΜΑΤΟΣ'!M153)</f>
        <v>-1.7641030803901083E-2</v>
      </c>
      <c r="N153" s="43">
        <f>LN('2.ΤΙΜΕΣ ΚΛΕΙΣΙΜΑΤΟΣ'!N154/'2.ΤΙΜΕΣ ΚΛΕΙΣΙΜΑΤΟΣ'!N153)</f>
        <v>-6.8651758248627834E-3</v>
      </c>
      <c r="O153" s="43">
        <f>LN('2.ΤΙΜΕΣ ΚΛΕΙΣΙΜΑΤΟΣ'!O154/'2.ΤΙΜΕΣ ΚΛΕΙΣΙΜΑΤΟΣ'!O153)</f>
        <v>-3.8734715957966636E-3</v>
      </c>
      <c r="P153" s="43">
        <f>LN('2.ΤΙΜΕΣ ΚΛΕΙΣΙΜΑΤΟΣ'!P154/'2.ΤΙΜΕΣ ΚΛΕΙΣΙΜΑΤΟΣ'!P153)</f>
        <v>-1.1834457647002796E-2</v>
      </c>
      <c r="Q153" s="43">
        <f>LN('2.ΤΙΜΕΣ ΚΛΕΙΣΙΜΑΤΟΣ'!Q154/'2.ΤΙΜΕΣ ΚΛΕΙΣΙΜΑΤΟΣ'!Q153)</f>
        <v>-4.6614315224759444E-2</v>
      </c>
      <c r="R153" s="43">
        <f>LN('2.ΤΙΜΕΣ ΚΛΕΙΣΙΜΑΤΟΣ'!R154/'2.ΤΙΜΕΣ ΚΛΕΙΣΙΜΑΤΟΣ'!R153)</f>
        <v>5.2287700827992759E-3</v>
      </c>
      <c r="S153" s="43">
        <f>LN('2.ΤΙΜΕΣ ΚΛΕΙΣΙΜΑΤΟΣ'!S154/'2.ΤΙΜΕΣ ΚΛΕΙΣΙΜΑΤΟΣ'!S153)</f>
        <v>-1.2492194004319278E-3</v>
      </c>
      <c r="T153" s="43">
        <f>LN('2.ΤΙΜΕΣ ΚΛΕΙΣΙΜΑΤΟΣ'!T154/'2.ΤΙΜΕΣ ΚΛΕΙΣΙΜΑΤΟΣ'!T153)</f>
        <v>-6.9979291876445544E-3</v>
      </c>
      <c r="U153" s="43">
        <f>LN('2.ΤΙΜΕΣ ΚΛΕΙΣΙΜΑΤΟΣ'!U154/'2.ΤΙΜΕΣ ΚΛΕΙΣΙΜΑΤΟΣ'!U153)</f>
        <v>0</v>
      </c>
      <c r="V153" s="43">
        <f>LN('2.ΤΙΜΕΣ ΚΛΕΙΣΙΜΑΤΟΣ'!V154/'2.ΤΙΜΕΣ ΚΛΕΙΣΙΜΑΤΟΣ'!V153)</f>
        <v>0</v>
      </c>
      <c r="W153" s="43">
        <f>LN('2.ΤΙΜΕΣ ΚΛΕΙΣΙΜΑΤΟΣ'!W154/'2.ΤΙΜΕΣ ΚΛΕΙΣΙΜΑΤΟΣ'!W153)</f>
        <v>-1.1173300598125189E-2</v>
      </c>
      <c r="X153" s="43">
        <f>LN('2.ΤΙΜΕΣ ΚΛΕΙΣΙΜΑΤΟΣ'!X154/'2.ΤΙΜΕΣ ΚΛΕΙΣΙΜΑΤΟΣ'!X153)</f>
        <v>-8.4107224348628461E-3</v>
      </c>
      <c r="Y153" s="43">
        <f>LN('2.ΤΙΜΕΣ ΚΛΕΙΣΙΜΑΤΟΣ'!Y154/'2.ΤΙΜΕΣ ΚΛΕΙΣΙΜΑΤΟΣ'!Y153)</f>
        <v>-1.675081042481524E-2</v>
      </c>
      <c r="Z153" s="43">
        <f>LN('2.ΤΙΜΕΣ ΚΛΕΙΣΙΜΑΤΟΣ'!Z154/'2.ΤΙΜΕΣ ΚΛΕΙΣΙΜΑΤΟΣ'!Z153)</f>
        <v>0</v>
      </c>
      <c r="AA153" s="43">
        <f>LN('2.ΤΙΜΕΣ ΚΛΕΙΣΙΜΑΤΟΣ'!AA154/'2.ΤΙΜΕΣ ΚΛΕΙΣΙΜΑΤΟΣ'!AA153)</f>
        <v>1.1661939747842957E-2</v>
      </c>
      <c r="AB153" s="43">
        <f>LN('2.ΤΙΜΕΣ ΚΛΕΙΣΙΜΑΤΟΣ'!AB154/'2.ΤΙΜΕΣ ΚΛΕΙΣΙΜΑΤΟΣ'!AB153)</f>
        <v>3.6496390875495523E-3</v>
      </c>
      <c r="AC153" s="43">
        <f>LN('2.ΤΙΜΕΣ ΚΛΕΙΣΙΜΑΤΟΣ'!AC154/'2.ΤΙΜΕΣ ΚΛΕΙΣΙΜΑΤΟΣ'!AC153)</f>
        <v>-8.1411575836998849E-3</v>
      </c>
      <c r="AD153" s="43">
        <f>LN('2.ΤΙΜΕΣ ΚΛΕΙΣΙΜΑΤΟΣ'!AD154/'2.ΤΙΜΕΣ ΚΛΕΙΣΙΜΑΤΟΣ'!AD153)</f>
        <v>4.5214847188458371E-3</v>
      </c>
      <c r="AE153" s="43">
        <f>LN('2.ΤΙΜΕΣ ΚΛΕΙΣΙΜΑΤΟΣ'!AE154/'2.ΤΙΜΕΣ ΚΛΕΙΣΙΜΑΤΟΣ'!AE153)</f>
        <v>3.8387763071656669E-3</v>
      </c>
      <c r="AF153" s="43">
        <f>LN('2.ΤΙΜΕΣ ΚΛΕΙΣΙΜΑΤΟΣ'!AF154/'2.ΤΙΜΕΣ ΚΛΕΙΣΙΜΑΤΟΣ'!AF153)</f>
        <v>-2.3558215517049161E-2</v>
      </c>
      <c r="AG153" s="43">
        <f>LN('2.ΤΙΜΕΣ ΚΛΕΙΣΙΜΑΤΟΣ'!AG154/'2.ΤΙΜΕΣ ΚΛΕΙΣΙΜΑΤΟΣ'!AG153)</f>
        <v>-2.1819047394639725E-2</v>
      </c>
      <c r="AH153" s="43">
        <f>LN('2.ΤΙΜΕΣ ΚΛΕΙΣΙΜΑΤΟΣ'!AH154/'2.ΤΙΜΕΣ ΚΛΕΙΣΙΜΑΤΟΣ'!AH153)</f>
        <v>9.7561749453646558E-3</v>
      </c>
      <c r="AI153" s="43">
        <f>LN('2.ΤΙΜΕΣ ΚΛΕΙΣΙΜΑΤΟΣ'!AI154/'2.ΤΙΜΕΣ ΚΛΕΙΣΙΜΑΤΟΣ'!AI153)</f>
        <v>0</v>
      </c>
      <c r="AJ153" s="43">
        <f>LN('2.ΤΙΜΕΣ ΚΛΕΙΣΙΜΑΤΟΣ'!AJ154/'2.ΤΙΜΕΣ ΚΛΕΙΣΙΜΑΤΟΣ'!AJ153)</f>
        <v>0</v>
      </c>
      <c r="AK153" s="43">
        <f>LN('2.ΤΙΜΕΣ ΚΛΕΙΣΙΜΑΤΟΣ'!AK154/'2.ΤΙΜΕΣ ΚΛΕΙΣΙΜΑΤΟΣ'!AK153)</f>
        <v>-3.9029343905735342E-2</v>
      </c>
      <c r="AL153" s="43">
        <f>LN('2.ΤΙΜΕΣ ΚΛΕΙΣΙΜΑΤΟΣ'!AL154/'2.ΤΙΜΕΣ ΚΛΕΙΣΙΜΑΤΟΣ'!AL153)</f>
        <v>0</v>
      </c>
      <c r="AM153" s="43">
        <f>LN('2.ΤΙΜΕΣ ΚΛΕΙΣΙΜΑΤΟΣ'!AM154/'2.ΤΙΜΕΣ ΚΛΕΙΣΙΜΑΤΟΣ'!AM153)</f>
        <v>-2.7324104274554246E-2</v>
      </c>
      <c r="AN153" s="43">
        <f>LN('2.ΤΙΜΕΣ ΚΛΕΙΣΙΜΑΤΟΣ'!AN154/'2.ΤΙΜΕΣ ΚΛΕΙΣΙΜΑΤΟΣ'!AN153)</f>
        <v>-6.0747419139607566E-2</v>
      </c>
      <c r="AO153" s="43">
        <f>LN('2.ΤΙΜΕΣ ΚΛΕΙΣΙΜΑΤΟΣ'!AO154/'2.ΤΙΜΕΣ ΚΛΕΙΣΙΜΑΤΟΣ'!AO153)</f>
        <v>2.9985029962566329E-3</v>
      </c>
      <c r="AP153" s="43">
        <f>LN('2.ΤΙΜΕΣ ΚΛΕΙΣΙΜΑΤΟΣ'!AP154/'2.ΤΙΜΕΣ ΚΛΕΙΣΙΜΑΤΟΣ'!AP153)</f>
        <v>0</v>
      </c>
      <c r="AQ153" s="43">
        <f>LN('2.ΤΙΜΕΣ ΚΛΕΙΣΙΜΑΤΟΣ'!AQ154/'2.ΤΙΜΕΣ ΚΛΕΙΣΙΜΑΤΟΣ'!AQ153)</f>
        <v>-2.8170876966696335E-2</v>
      </c>
      <c r="AR153" s="43">
        <f>LN('2.ΤΙΜΕΣ ΚΛΕΙΣΙΜΑΤΟΣ'!AR154/'2.ΤΙΜΕΣ ΚΛΕΙΣΙΜΑΤΟΣ'!AR153)</f>
        <v>-5.3428444104954695E-3</v>
      </c>
      <c r="AS153" s="43">
        <f>LN('2.ΤΙΜΕΣ ΚΛΕΙΣΙΜΑΤΟΣ'!AS154/'2.ΤΙΜΕΣ ΚΛΕΙΣΙΜΑΤΟΣ'!AS153)</f>
        <v>-2.9027596579614626E-3</v>
      </c>
      <c r="AT153" s="43">
        <f>LN('2.ΤΙΜΕΣ ΚΛΕΙΣΙΜΑΤΟΣ'!AT154/'2.ΤΙΜΕΣ ΚΛΕΙΣΙΜΑΤΟΣ'!AT153)</f>
        <v>-5.4840915699586129E-2</v>
      </c>
      <c r="AU153" s="43">
        <f>LN('2.ΤΙΜΕΣ ΚΛΕΙΣΙΜΑΤΟΣ'!AU154/'2.ΤΙΜΕΣ ΚΛΕΙΣΙΜΑΤΟΣ'!AU153)</f>
        <v>-1.5613507039367187E-2</v>
      </c>
    </row>
    <row r="154" spans="1:47">
      <c r="A154" s="41">
        <v>43776</v>
      </c>
      <c r="B154" s="43">
        <f>LN('2.ΤΙΜΕΣ ΚΛΕΙΣΙΜΑΤΟΣ'!B155/'2.ΤΙΜΕΣ ΚΛΕΙΣΙΜΑΤΟΣ'!B154)</f>
        <v>4.0065615424587208E-3</v>
      </c>
      <c r="C154" s="43">
        <f>LN('2.ΤΙΜΕΣ ΚΛΕΙΣΙΜΑΤΟΣ'!C155/'2.ΤΙΜΕΣ ΚΛΕΙΣΙΜΑΤΟΣ'!C154)</f>
        <v>-5.9215569034373212E-3</v>
      </c>
      <c r="D154" s="43">
        <f>LN('2.ΤΙΜΕΣ ΚΛΕΙΣΙΜΑΤΟΣ'!D155/'2.ΤΙΜΕΣ ΚΛΕΙΣΙΜΑΤΟΣ'!D154)</f>
        <v>1.4048828804890235E-2</v>
      </c>
      <c r="E154" s="43">
        <f>LN('2.ΤΙΜΕΣ ΚΛΕΙΣΙΜΑΤΟΣ'!E155/'2.ΤΙΜΕΣ ΚΛΕΙΣΙΜΑΤΟΣ'!E154)</f>
        <v>2.853340425872606E-2</v>
      </c>
      <c r="F154" s="43">
        <f>LN('2.ΤΙΜΕΣ ΚΛΕΙΣΙΜΑΤΟΣ'!F155/'2.ΤΙΜΕΣ ΚΛΕΙΣΙΜΑΤΟΣ'!F154)</f>
        <v>0</v>
      </c>
      <c r="G154" s="43">
        <f>LN('2.ΤΙΜΕΣ ΚΛΕΙΣΙΜΑΤΟΣ'!G155/'2.ΤΙΜΕΣ ΚΛΕΙΣΙΜΑΤΟΣ'!G154)</f>
        <v>5.0702103119962316E-2</v>
      </c>
      <c r="H154" s="43">
        <f>LN('2.ΤΙΜΕΣ ΚΛΕΙΣΙΜΑΤΟΣ'!H155/'2.ΤΙΜΕΣ ΚΛΕΙΣΙΜΑΤΟΣ'!H154)</f>
        <v>-2.7309985112316283E-3</v>
      </c>
      <c r="I154" s="43">
        <f>LN('2.ΤΙΜΕΣ ΚΛΕΙΣΙΜΑΤΟΣ'!I155/'2.ΤΙΜΕΣ ΚΛΕΙΣΙΜΑΤΟΣ'!I154)</f>
        <v>4.2559614418796111E-2</v>
      </c>
      <c r="J154" s="43">
        <f>LN('2.ΤΙΜΕΣ ΚΛΕΙΣΙΜΑΤΟΣ'!J155/'2.ΤΙΜΕΣ ΚΛΕΙΣΙΜΑΤΟΣ'!J154)</f>
        <v>2.4649135274654076E-2</v>
      </c>
      <c r="K154" s="43">
        <f>LN('2.ΤΙΜΕΣ ΚΛΕΙΣΙΜΑΤΟΣ'!K155/'2.ΤΙΜΕΣ ΚΛΕΙΣΙΜΑΤΟΣ'!K154)</f>
        <v>2.8347650463998431E-3</v>
      </c>
      <c r="L154" s="43">
        <f>LN('2.ΤΙΜΕΣ ΚΛΕΙΣΙΜΑΤΟΣ'!L155/'2.ΤΙΜΕΣ ΚΛΕΙΣΙΜΑΤΟΣ'!L154)</f>
        <v>2.5477720787985617E-3</v>
      </c>
      <c r="M154" s="43">
        <f>LN('2.ΤΙΜΕΣ ΚΛΕΙΣΙΜΑΤΟΣ'!M155/'2.ΤΙΜΕΣ ΚΛΕΙΣΙΜΑΤΟΣ'!M154)</f>
        <v>2.2222231367175172E-3</v>
      </c>
      <c r="N154" s="43">
        <f>LN('2.ΤΙΜΕΣ ΚΛΕΙΣΙΜΑΤΟΣ'!N155/'2.ΤΙΜΕΣ ΚΛΕΙΣΙΜΑΤΟΣ'!N154)</f>
        <v>2.8078075445229483E-3</v>
      </c>
      <c r="O154" s="43">
        <f>LN('2.ΤΙΜΕΣ ΚΛΕΙΣΙΜΑΤΟΣ'!O155/'2.ΤΙΜΕΣ ΚΛΕΙΣΙΜΑΤΟΣ'!O154)</f>
        <v>-6.4893154397498813E-3</v>
      </c>
      <c r="P154" s="43">
        <f>LN('2.ΤΙΜΕΣ ΚΛΕΙΣΙΜΑΤΟΣ'!P155/'2.ΤΙΜΕΣ ΚΛΕΙΣΙΜΑΤΟΣ'!P154)</f>
        <v>-1.4892035514677455E-3</v>
      </c>
      <c r="Q154" s="43">
        <f>LN('2.ΤΙΜΕΣ ΚΛΕΙΣΙΜΑΤΟΣ'!Q155/'2.ΤΙΜΕΣ ΚΛΕΙΣΙΜΑΤΟΣ'!Q154)</f>
        <v>3.5997095383887796E-2</v>
      </c>
      <c r="R154" s="43">
        <f>LN('2.ΤΙΜΕΣ ΚΛΕΙΣΙΜΑΤΟΣ'!R155/'2.ΤΙΜΕΣ ΚΛΕΙΣΙΜΑΤΟΣ'!R154)</f>
        <v>1.1665718815962635E-2</v>
      </c>
      <c r="S154" s="43">
        <f>LN('2.ΤΙΜΕΣ ΚΛΕΙΣΙΜΑΤΟΣ'!S155/'2.ΤΙΜΕΣ ΚΛΕΙΣΙΜΑΤΟΣ'!S154)</f>
        <v>-2.0202707317519466E-2</v>
      </c>
      <c r="T154" s="43">
        <f>LN('2.ΤΙΜΕΣ ΚΛΕΙΣΙΜΑΤΟΣ'!T155/'2.ΤΙΜΕΣ ΚΛΕΙΣΙΜΑΤΟΣ'!T154)</f>
        <v>1.3947227480850333E-2</v>
      </c>
      <c r="U154" s="43">
        <f>LN('2.ΤΙΜΕΣ ΚΛΕΙΣΙΜΑΤΟΣ'!U155/'2.ΤΙΜΕΣ ΚΛΕΙΣΙΜΑΤΟΣ'!U154)</f>
        <v>-2.3446669592541345E-3</v>
      </c>
      <c r="V154" s="43">
        <f>LN('2.ΤΙΜΕΣ ΚΛΕΙΣΙΜΑΤΟΣ'!V155/'2.ΤΙΜΕΣ ΚΛΕΙΣΙΜΑΤΟΣ'!V154)</f>
        <v>0</v>
      </c>
      <c r="W154" s="43">
        <f>LN('2.ΤΙΜΕΣ ΚΛΕΙΣΙΜΑΤΟΣ'!W155/'2.ΤΙΜΕΣ ΚΛΕΙΣΙΜΑΤΟΣ'!W154)</f>
        <v>1.732716617250353E-2</v>
      </c>
      <c r="X154" s="43">
        <f>LN('2.ΤΙΜΕΣ ΚΛΕΙΣΙΜΑΤΟΣ'!X155/'2.ΤΙΜΕΣ ΚΛΕΙΣΙΜΑΤΟΣ'!X154)</f>
        <v>1.1294646567767883E-2</v>
      </c>
      <c r="Y154" s="43">
        <f>LN('2.ΤΙΜΕΣ ΚΛΕΙΣΙΜΑΤΟΣ'!Y155/'2.ΤΙΜΕΣ ΚΛΕΙΣΙΜΑΤΟΣ'!Y154)</f>
        <v>5.6148378843287597E-3</v>
      </c>
      <c r="Z154" s="43">
        <f>LN('2.ΤΙΜΕΣ ΚΛΕΙΣΙΜΑΤΟΣ'!Z155/'2.ΤΙΜΕΣ ΚΛΕΙΣΙΜΑΤΟΣ'!Z154)</f>
        <v>7.4349784875179905E-3</v>
      </c>
      <c r="AA154" s="43">
        <f>LN('2.ΤΙΜΕΣ ΚΛΕΙΣΙΜΑΤΟΣ'!AA155/'2.ΤΙΜΕΣ ΚΛΕΙΣΙΜΑΤΟΣ'!AA154)</f>
        <v>0</v>
      </c>
      <c r="AB154" s="43">
        <f>LN('2.ΤΙΜΕΣ ΚΛΕΙΣΙΜΑΤΟΣ'!AB155/'2.ΤΙΜΕΣ ΚΛΕΙΣΙΜΑΤΟΣ'!AB154)</f>
        <v>1.8198367169858993E-3</v>
      </c>
      <c r="AC154" s="43">
        <f>LN('2.ΤΙΜΕΣ ΚΛΕΙΣΙΜΑΤΟΣ'!AC155/'2.ΤΙΜΕΣ ΚΛΕΙΣΙΜΑΤΟΣ'!AC154)</f>
        <v>-1.2337373759840819E-2</v>
      </c>
      <c r="AD154" s="43">
        <f>LN('2.ΤΙΜΕΣ ΚΛΕΙΣΙΜΑΤΟΣ'!AD155/'2.ΤΙΜΕΣ ΚΛΕΙΣΙΜΑΤΟΣ'!AD154)</f>
        <v>1.5026298845350965E-3</v>
      </c>
      <c r="AE154" s="43">
        <f>LN('2.ΤΙΜΕΣ ΚΛΕΙΣΙΜΑΤΟΣ'!AE155/'2.ΤΙΜΕΣ ΚΛΕΙΣΙΜΑΤΟΣ'!AE154)</f>
        <v>0</v>
      </c>
      <c r="AF154" s="43">
        <f>LN('2.ΤΙΜΕΣ ΚΛΕΙΣΙΜΑΤΟΣ'!AF155/'2.ΤΙΜΕΣ ΚΛΕΙΣΙΜΑΤΟΣ'!AF154)</f>
        <v>3.5132418798185835E-2</v>
      </c>
      <c r="AG154" s="43">
        <f>LN('2.ΤΙΜΕΣ ΚΛΕΙΣΙΜΑΤΟΣ'!AG155/'2.ΤΙΜΕΣ ΚΛΕΙΣΙΜΑΤΟΣ'!AG154)</f>
        <v>2.8987536873252406E-2</v>
      </c>
      <c r="AH154" s="43">
        <f>LN('2.ΤΙΜΕΣ ΚΛΕΙΣΙΜΑΤΟΣ'!AH155/'2.ΤΙΜΕΣ ΚΛΕΙΣΙΜΑΤΟΣ'!AH154)</f>
        <v>-3.8910554929665647E-3</v>
      </c>
      <c r="AI154" s="43">
        <f>LN('2.ΤΙΜΕΣ ΚΛΕΙΣΙΜΑΤΟΣ'!AI155/'2.ΤΙΜΕΣ ΚΛΕΙΣΙΜΑΤΟΣ'!AI154)</f>
        <v>3.8915416249673623E-2</v>
      </c>
      <c r="AJ154" s="43">
        <f>LN('2.ΤΙΜΕΣ ΚΛΕΙΣΙΜΑΤΟΣ'!AJ155/'2.ΤΙΜΕΣ ΚΛΕΙΣΙΜΑΤΟΣ'!AJ154)</f>
        <v>-4.2462908814509849E-3</v>
      </c>
      <c r="AK154" s="43">
        <f>LN('2.ΤΙΜΕΣ ΚΛΕΙΣΙΜΑΤΟΣ'!AK155/'2.ΤΙΜΕΣ ΚΛΕΙΣΙΜΑΤΟΣ'!AK154)</f>
        <v>1.9705071079332337E-2</v>
      </c>
      <c r="AL154" s="43">
        <f>LN('2.ΤΙΜΕΣ ΚΛΕΙΣΙΜΑΤΟΣ'!AL155/'2.ΤΙΜΕΣ ΚΛΕΙΣΙΜΑΤΟΣ'!AL154)</f>
        <v>-1.0152371464017962E-2</v>
      </c>
      <c r="AM154" s="43">
        <f>LN('2.ΤΙΜΕΣ ΚΛΕΙΣΙΜΑΤΟΣ'!AM155/'2.ΤΙΜΕΣ ΚΛΕΙΣΙΜΑΤΟΣ'!AM154)</f>
        <v>8.2759093038598814E-3</v>
      </c>
      <c r="AN154" s="43">
        <f>LN('2.ΤΙΜΕΣ ΚΛΕΙΣΙΜΑΤΟΣ'!AN155/'2.ΤΙΜΕΣ ΚΛΕΙΣΙΜΑΤΟΣ'!AN154)</f>
        <v>8.7880866654007808E-2</v>
      </c>
      <c r="AO154" s="43">
        <f>LN('2.ΤΙΜΕΣ ΚΛΕΙΣΙΜΑΤΟΣ'!AO155/'2.ΤΙΜΕΣ ΚΛΕΙΣΙΜΑΤΟΣ'!AO154)</f>
        <v>5.9701669865037544E-3</v>
      </c>
      <c r="AP154" s="43">
        <f>LN('2.ΤΙΜΕΣ ΚΛΕΙΣΙΜΑΤΟΣ'!AP155/'2.ΤΙΜΕΣ ΚΛΕΙΣΙΜΑΤΟΣ'!AP154)</f>
        <v>-2.781642961876914E-3</v>
      </c>
      <c r="AQ154" s="43">
        <f>LN('2.ΤΙΜΕΣ ΚΛΕΙΣΙΜΑΤΟΣ'!AQ155/'2.ΤΙΜΕΣ ΚΛΕΙΣΙΜΑΤΟΣ'!AQ154)</f>
        <v>-3.4344624486348191E-3</v>
      </c>
      <c r="AR154" s="43">
        <f>LN('2.ΤΙΜΕΣ ΚΛΕΙΣΙΜΑΤΟΣ'!AR155/'2.ΤΙΜΕΣ ΚΛΕΙΣΙΜΑΤΟΣ'!AR154)</f>
        <v>1.4184634991956381E-2</v>
      </c>
      <c r="AS154" s="43">
        <f>LN('2.ΤΙΜΕΣ ΚΛΕΙΣΙΜΑΤΟΣ'!AS155/'2.ΤΙΜΕΣ ΚΛΕΙΣΙΜΑΤΟΣ'!AS154)</f>
        <v>1.4430264829028837E-2</v>
      </c>
      <c r="AT154" s="43">
        <f>LN('2.ΤΙΜΕΣ ΚΛΕΙΣΙΜΑΤΟΣ'!AT155/'2.ΤΙΜΕΣ ΚΛΕΙΣΙΜΑΤΟΣ'!AT154)</f>
        <v>4.8899852941917702E-3</v>
      </c>
      <c r="AU154" s="43">
        <f>LN('2.ΤΙΜΕΣ ΚΛΕΙΣΙΜΑΤΟΣ'!AU155/'2.ΤΙΜΕΣ ΚΛΕΙΣΙΜΑΤΟΣ'!AU154)</f>
        <v>1.1172396005099391E-2</v>
      </c>
    </row>
    <row r="155" spans="1:47">
      <c r="A155" s="41">
        <v>43777</v>
      </c>
      <c r="B155" s="43">
        <f>LN('2.ΤΙΜΕΣ ΚΛΕΙΣΙΜΑΤΟΣ'!B156/'2.ΤΙΜΕΣ ΚΛΕΙΣΙΜΑΤΟΣ'!B155)</f>
        <v>-1.091107582334568E-3</v>
      </c>
      <c r="C155" s="43">
        <f>LN('2.ΤΙΜΕΣ ΚΛΕΙΣΙΜΑΤΟΣ'!C156/'2.ΤΙΜΕΣ ΚΛΕΙΣΙΜΑΤΟΣ'!C155)</f>
        <v>-5.2102834654069877E-3</v>
      </c>
      <c r="D155" s="43">
        <f>LN('2.ΤΙΜΕΣ ΚΛΕΙΣΙΜΑΤΟΣ'!D156/'2.ΤΙΜΕΣ ΚΛΕΙΣΙΜΑΤΟΣ'!D155)</f>
        <v>1.5488670554738794E-3</v>
      </c>
      <c r="E155" s="43">
        <f>LN('2.ΤΙΜΕΣ ΚΛΕΙΣΙΜΑΤΟΣ'!E156/'2.ΤΙΜΕΣ ΚΛΕΙΣΙΜΑΤΟΣ'!E155)</f>
        <v>7.1448504000628972E-3</v>
      </c>
      <c r="F155" s="43">
        <f>LN('2.ΤΙΜΕΣ ΚΛΕΙΣΙΜΑΤΟΣ'!F156/'2.ΤΙΜΕΣ ΚΛΕΙΣΙΜΑΤΟΣ'!F155)</f>
        <v>-1.0422792676094837E-2</v>
      </c>
      <c r="G155" s="43">
        <f>LN('2.ΤΙΜΕΣ ΚΛΕΙΣΙΜΑΤΟΣ'!G156/'2.ΤΙΜΕΣ ΚΛΕΙΣΙΜΑΤΟΣ'!G155)</f>
        <v>-1.1299555253933394E-2</v>
      </c>
      <c r="H155" s="43">
        <f>LN('2.ΤΙΜΕΣ ΚΛΕΙΣΙΜΑΤΟΣ'!H156/'2.ΤΙΜΕΣ ΚΛΕΙΣΙΜΑΤΟΣ'!H155)</f>
        <v>-4.5683039703799709E-3</v>
      </c>
      <c r="I155" s="43">
        <f>LN('2.ΤΙΜΕΣ ΚΛΕΙΣΙΜΑΤΟΣ'!I156/'2.ΤΙΜΕΣ ΚΛΕΙΣΙΜΑΤΟΣ'!I155)</f>
        <v>-3.6928968911967883E-2</v>
      </c>
      <c r="J155" s="43">
        <f>LN('2.ΤΙΜΕΣ ΚΛΕΙΣΙΜΑΤΟΣ'!J156/'2.ΤΙΜΕΣ ΚΛΕΙΣΙΜΑΤΟΣ'!J155)</f>
        <v>-3.0728181351036374E-2</v>
      </c>
      <c r="K155" s="43">
        <f>LN('2.ΤΙΜΕΣ ΚΛΕΙΣΙΜΑΤΟΣ'!K156/'2.ΤΙΜΕΣ ΚΛΕΙΣΙΜΑΤΟΣ'!K155)</f>
        <v>1.3399838229238852E-3</v>
      </c>
      <c r="L155" s="43">
        <f>LN('2.ΤΙΜΕΣ ΚΛΕΙΣΙΜΑΤΟΣ'!L156/'2.ΤΙΜΕΣ ΚΛΕΙΣΙΜΑΤΟΣ'!L155)</f>
        <v>-1.5278841780530644E-3</v>
      </c>
      <c r="M155" s="43">
        <f>LN('2.ΤΙΜΕΣ ΚΛΕΙΣΙΜΑΤΟΣ'!M156/'2.ΤΙΜΕΣ ΚΛΕΙΣΙΜΑΤΟΣ'!M155)</f>
        <v>2.6288479904087364E-2</v>
      </c>
      <c r="N155" s="43">
        <f>LN('2.ΤΙΜΕΣ ΚΛΕΙΣΙΜΑΤΟΣ'!N156/'2.ΤΙΜΕΣ ΚΛΕΙΣΙΜΑΤΟΣ'!N155)</f>
        <v>-1.4029182996843179E-3</v>
      </c>
      <c r="O155" s="43">
        <f>LN('2.ΤΙΜΕΣ ΚΛΕΙΣΙΜΑΤΟΣ'!O156/'2.ΤΙΜΕΣ ΚΛΕΙΣΙΜΑΤΟΣ'!O155)</f>
        <v>0</v>
      </c>
      <c r="P155" s="43">
        <f>LN('2.ΤΙΜΕΣ ΚΛΕΙΣΙΜΑΤΟΣ'!P156/'2.ΤΙΜΕΣ ΚΛΕΙΣΙΜΑΤΟΣ'!P155)</f>
        <v>4.4609739406252661E-3</v>
      </c>
      <c r="Q155" s="43">
        <f>LN('2.ΤΙΜΕΣ ΚΛΕΙΣΙΜΑΤΟΣ'!Q156/'2.ΤΙΜΕΣ ΚΛΕΙΣΙΜΑΤΟΣ'!Q155)</f>
        <v>-6.6934654185887175E-3</v>
      </c>
      <c r="R155" s="43">
        <f>LN('2.ΤΙΜΕΣ ΚΛΕΙΣΙΜΑΤΟΣ'!R156/'2.ΤΙΜΕΣ ΚΛΕΙΣΙΜΑΤΟΣ'!R155)</f>
        <v>-1.1014040721866604E-2</v>
      </c>
      <c r="S155" s="43">
        <f>LN('2.ΤΙΜΕΣ ΚΛΕΙΣΙΜΑΤΟΣ'!S156/'2.ΤΙΜΕΣ ΚΛΕΙΣΙΜΑΤΟΣ'!S155)</f>
        <v>1.2746974320005163E-3</v>
      </c>
      <c r="T155" s="43">
        <f>LN('2.ΤΙΜΕΣ ΚΛΕΙΣΙΜΑΤΟΣ'!T156/'2.ΤΙΜΕΣ ΚΛΕΙΣΙΜΑΤΟΣ'!T155)</f>
        <v>-1.1142176553241848E-2</v>
      </c>
      <c r="U155" s="43">
        <f>LN('2.ΤΙΜΕΣ ΚΛΕΙΣΙΜΑΤΟΣ'!U156/'2.ΤΙΜΕΣ ΚΛΕΙΣΙΜΑΤΟΣ'!U155)</f>
        <v>-1.1806512586988952E-2</v>
      </c>
      <c r="V155" s="43">
        <f>LN('2.ΤΙΜΕΣ ΚΛΕΙΣΙΜΑΤΟΣ'!V156/'2.ΤΙΜΕΣ ΚΛΕΙΣΙΜΑΤΟΣ'!V155)</f>
        <v>0</v>
      </c>
      <c r="W155" s="43">
        <f>LN('2.ΤΙΜΕΣ ΚΛΕΙΣΙΜΑΤΟΣ'!W156/'2.ΤΙΜΕΣ ΚΛΕΙΣΙΜΑΤΟΣ'!W155)</f>
        <v>0</v>
      </c>
      <c r="X155" s="43">
        <f>LN('2.ΤΙΜΕΣ ΚΛΕΙΣΙΜΑΤΟΣ'!X156/'2.ΤΙΜΕΣ ΚΛΕΙΣΙΜΑΤΟΣ'!X155)</f>
        <v>-5.6313772385065287E-3</v>
      </c>
      <c r="Y155" s="43">
        <f>LN('2.ΤΙΜΕΣ ΚΛΕΙΣΙΜΑΤΟΣ'!Y156/'2.ΤΙΜΕΣ ΚΛΕΙΣΙΜΑΤΟΣ'!Y155)</f>
        <v>-1.3528954940319452E-2</v>
      </c>
      <c r="Z155" s="43">
        <f>LN('2.ΤΙΜΕΣ ΚΛΕΙΣΙΜΑΤΟΣ'!Z156/'2.ΤΙΜΕΣ ΚΛΕΙΣΙΜΑΤΟΣ'!Z155)</f>
        <v>0</v>
      </c>
      <c r="AA155" s="43">
        <f>LN('2.ΤΙΜΕΣ ΚΛΕΙΣΙΜΑΤΟΣ'!AA156/'2.ΤΙΜΕΣ ΚΛΕΙΣΙΜΑΤΟΣ'!AA155)</f>
        <v>-1.1661939747842975E-2</v>
      </c>
      <c r="AB155" s="43">
        <f>LN('2.ΤΙΜΕΣ ΚΛΕΙΣΙΜΑΤΟΣ'!AB156/'2.ΤΙΜΕΣ ΚΛΕΙΣΙΜΑΤΟΣ'!AB155)</f>
        <v>3.6297680505787311E-3</v>
      </c>
      <c r="AC155" s="43">
        <f>LN('2.ΤΙΜΕΣ ΚΛΕΙΣΙΜΑΤΟΣ'!AC156/'2.ΤΙΜΕΣ ΚΛΕΙΣΙΜΑΤΟΣ'!AC155)</f>
        <v>-6.9204428445737952E-3</v>
      </c>
      <c r="AD155" s="43">
        <f>LN('2.ΤΙΜΕΣ ΚΛΕΙΣΙΜΑΤΟΣ'!AD156/'2.ΤΙΜΕΣ ΚΛΕΙΣΙΜΑΤΟΣ'!AD155)</f>
        <v>-1.6654434905137235E-2</v>
      </c>
      <c r="AE155" s="43">
        <f>LN('2.ΤΙΜΕΣ ΚΛΕΙΣΙΜΑΤΟΣ'!AE156/'2.ΤΙΜΕΣ ΚΛΕΙΣΙΜΑΤΟΣ'!AE155)</f>
        <v>7.6336248550712051E-3</v>
      </c>
      <c r="AF155" s="43">
        <f>LN('2.ΤΙΜΕΣ ΚΛΕΙΣΙΜΑΤΟΣ'!AF156/'2.ΤΙΜΕΣ ΚΛΕΙΣΙΜΑΤΟΣ'!AF155)</f>
        <v>-2.564243061333767E-2</v>
      </c>
      <c r="AG155" s="43">
        <f>LN('2.ΤΙΜΕΣ ΚΛΕΙΣΙΜΑΤΟΣ'!AG156/'2.ΤΙΜΕΣ ΚΛΕΙΣΙΜΑΤΟΣ'!AG155)</f>
        <v>-4.7732787526576599E-3</v>
      </c>
      <c r="AH155" s="43">
        <f>LN('2.ΤΙΜΕΣ ΚΛΕΙΣΙΜΑΤΟΣ'!AH156/'2.ΤΙΜΕΣ ΚΛΕΙΣΙΜΑΤΟΣ'!AH155)</f>
        <v>-1.9512201312618048E-3</v>
      </c>
      <c r="AI155" s="43">
        <f>LN('2.ΤΙΜΕΣ ΚΛΕΙΣΙΜΑΤΟΣ'!AI156/'2.ΤΙΜΕΣ ΚΛΕΙΣΙΜΑΤΟΣ'!AI155)</f>
        <v>7.6045993852192125E-3</v>
      </c>
      <c r="AJ155" s="43">
        <f>LN('2.ΤΙΜΕΣ ΚΛΕΙΣΙΜΑΤΟΣ'!AJ156/'2.ΤΙΜΕΣ ΚΛΕΙΣΙΜΑΤΟΣ'!AJ155)</f>
        <v>-1.7167803622365446E-2</v>
      </c>
      <c r="AK155" s="43">
        <f>LN('2.ΤΙΜΕΣ ΚΛΕΙΣΙΜΑΤΟΣ'!AK156/'2.ΤΙΜΕΣ ΚΛΕΙΣΙΜΑΤΟΣ'!AK155)</f>
        <v>-4.8899852941916809E-3</v>
      </c>
      <c r="AL155" s="43">
        <f>LN('2.ΤΙΜΕΣ ΚΛΕΙΣΙΜΑΤΟΣ'!AL156/'2.ΤΙΜΕΣ ΚΛΕΙΣΙΜΑΤΟΣ'!AL155)</f>
        <v>-8.5157808340306951E-2</v>
      </c>
      <c r="AM155" s="43">
        <f>LN('2.ΤΙΜΕΣ ΚΛΕΙΣΙΜΑΤΟΣ'!AM156/'2.ΤΙΜΕΣ ΚΛΕΙΣΙΜΑΤΟΣ'!AM155)</f>
        <v>2.7434859457508339E-3</v>
      </c>
      <c r="AN155" s="43">
        <f>LN('2.ΤΙΜΕΣ ΚΛΕΙΣΙΜΑΤΟΣ'!AN156/'2.ΤΙΜΕΣ ΚΛΕΙΣΙΜΑΤΟΣ'!AN155)</f>
        <v>-1.5414563401186731E-2</v>
      </c>
      <c r="AO155" s="43">
        <f>LN('2.ΤΙΜΕΣ ΚΛΕΙΣΙΜΑΤΟΣ'!AO156/'2.ΤΙΜΕΣ ΚΛΕΙΣΙΜΑΤΟΣ'!AO155)</f>
        <v>-5.970166986503796E-3</v>
      </c>
      <c r="AP155" s="43">
        <f>LN('2.ΤΙΜΕΣ ΚΛΕΙΣΙΜΑΤΟΣ'!AP156/'2.ΤΙΜΕΣ ΚΛΕΙΣΙΜΑΤΟΣ'!AP155)</f>
        <v>5.5555698446019637E-3</v>
      </c>
      <c r="AQ155" s="43">
        <f>LN('2.ΤΙΜΕΣ ΚΛΕΙΣΙΜΑΤΟΣ'!AQ156/'2.ΤΙΜΕΣ ΚΛΕΙΣΙΜΑΤΟΣ'!AQ155)</f>
        <v>-5.750447128437826E-3</v>
      </c>
      <c r="AR155" s="43">
        <f>LN('2.ΤΙΜΕΣ ΚΛΕΙΣΙΜΑΤΟΣ'!AR156/'2.ΤΙΜΕΣ ΚΛΕΙΣΙΜΑΤΟΣ'!AR155)</f>
        <v>0</v>
      </c>
      <c r="AS155" s="43">
        <f>LN('2.ΤΙΜΕΣ ΚΛΕΙΣΙΜΑΤΟΣ'!AS156/'2.ΤΙΜΕΣ ΚΛΕΙΣΙΜΑΤΟΣ'!AS155)</f>
        <v>2.5461064198273091E-2</v>
      </c>
      <c r="AT155" s="43">
        <f>LN('2.ΤΙΜΕΣ ΚΛΕΙΣΙΜΑΤΟΣ'!AT156/'2.ΤΙΜΕΣ ΚΛΕΙΣΙΜΑΤΟΣ'!AT155)</f>
        <v>-2.2195732391784209E-2</v>
      </c>
      <c r="AU155" s="43">
        <f>LN('2.ΤΙΜΕΣ ΚΛΕΙΣΙΜΑΤΟΣ'!AU156/'2.ΤΙΜΕΣ ΚΛΕΙΣΙΜΑΤΟΣ'!AU155)</f>
        <v>-5.5127694164245761E-3</v>
      </c>
    </row>
    <row r="156" spans="1:47">
      <c r="A156" s="41">
        <v>43780</v>
      </c>
      <c r="B156" s="43">
        <f>LN('2.ΤΙΜΕΣ ΚΛΕΙΣΙΜΑΤΟΣ'!B157/'2.ΤΙΜΕΣ ΚΛΕΙΣΙΜΑΤΟΣ'!B156)</f>
        <v>-6.9381326339015125E-3</v>
      </c>
      <c r="C156" s="43">
        <f>LN('2.ΤΙΜΕΣ ΚΛΕΙΣΙΜΑΤΟΣ'!C157/'2.ΤΙΜΕΣ ΚΛΕΙΣΙΜΑΤΟΣ'!C156)</f>
        <v>2.9806281381377199E-3</v>
      </c>
      <c r="D156" s="43">
        <f>LN('2.ΤΙΜΕΣ ΚΛΕΙΣΙΜΑΤΟΣ'!D157/'2.ΤΙΜΕΣ ΚΛΕΙΣΙΜΑΤΟΣ'!D156)</f>
        <v>-3.1001368220642807E-3</v>
      </c>
      <c r="E156" s="43">
        <f>LN('2.ΤΙΜΕΣ ΚΛΕΙΣΙΜΑΤΟΣ'!E157/'2.ΤΙΜΕΣ ΚΛΕΙΣΙΜΑΤΟΣ'!E156)</f>
        <v>-1.0459770562685385E-2</v>
      </c>
      <c r="F156" s="43">
        <f>LN('2.ΤΙΜΕΣ ΚΛΕΙΣΙΜΑΤΟΣ'!F157/'2.ΤΙΜΕΣ ΚΛΕΙΣΙΜΑΤΟΣ'!F156)</f>
        <v>-1.288828619235223E-2</v>
      </c>
      <c r="G156" s="43">
        <f>LN('2.ΤΙΜΕΣ ΚΛΕΙΣΙΜΑΤΟΣ'!G157/'2.ΤΙΜΕΣ ΚΛΕΙΣΙΜΑΤΟΣ'!G156)</f>
        <v>-1.1428695823622744E-2</v>
      </c>
      <c r="H156" s="43">
        <f>LN('2.ΤΙΜΕΣ ΚΛΕΙΣΙΜΑΤΟΣ'!H157/'2.ΤΙΜΕΣ ΚΛΕΙΣΙΜΑΤΟΣ'!H156)</f>
        <v>-1.7552413674151817E-2</v>
      </c>
      <c r="I156" s="43">
        <f>LN('2.ΤΙΜΕΣ ΚΛΕΙΣΙΜΑΤΟΣ'!I157/'2.ΤΙΜΕΣ ΚΛΕΙΣΙΜΑΤΟΣ'!I156)</f>
        <v>-2.328989108108686E-2</v>
      </c>
      <c r="J156" s="43">
        <f>LN('2.ΤΙΜΕΣ ΚΛΕΙΣΙΜΑΤΟΣ'!J157/'2.ΤΙΜΕΣ ΚΛΕΙΣΙΜΑΤΟΣ'!J156)</f>
        <v>-1.1544139746865311E-2</v>
      </c>
      <c r="K156" s="43">
        <f>LN('2.ΤΙΜΕΣ ΚΛΕΙΣΙΜΑΤΟΣ'!K157/'2.ΤΙΜΕΣ ΚΛΕΙΣΙΜΑΤΟΣ'!K156)</f>
        <v>-5.5203422546814783E-3</v>
      </c>
      <c r="L156" s="43">
        <f>LN('2.ΤΙΜΕΣ ΚΛΕΙΣΙΜΑΤΟΣ'!L157/'2.ΤΙΜΕΣ ΚΛΕΙΣΙΜΑΤΟΣ'!L156)</f>
        <v>-4.0858075225804046E-3</v>
      </c>
      <c r="M156" s="43">
        <f>LN('2.ΤΙΜΕΣ ΚΛΕΙΣΙΜΑΤΟΣ'!M157/'2.ΤΙΜΕΣ ΚΛΕΙΣΙΜΑΤΟΣ'!M156)</f>
        <v>-1.0816658707410232E-3</v>
      </c>
      <c r="N156" s="43">
        <f>LN('2.ΤΙΜΕΣ ΚΛΕΙΣΙΜΑΤΟΣ'!N157/'2.ΤΙΜΕΣ ΚΛΕΙΣΙΜΑΤΟΣ'!N156)</f>
        <v>-1.5278271441792578E-2</v>
      </c>
      <c r="O156" s="43">
        <f>LN('2.ΤΙΜΕΣ ΚΛΕΙΣΙΜΑΤΟΣ'!O157/'2.ΤΙΜΕΣ ΚΛΕΙΣΙΜΑΤΟΣ'!O156)</f>
        <v>-2.6386755173194887E-2</v>
      </c>
      <c r="P156" s="43">
        <f>LN('2.ΤΙΜΕΣ ΚΛΕΙΣΙΜΑΤΟΣ'!P157/'2.ΤΙΜΕΣ ΚΛΕΙΣΙΜΑΤΟΣ'!P156)</f>
        <v>-1.7964554975298884E-2</v>
      </c>
      <c r="Q156" s="43">
        <f>LN('2.ΤΙΜΕΣ ΚΛΕΙΣΙΜΑΤΟΣ'!Q157/'2.ΤΙΜΕΣ ΚΛΕΙΣΙΜΑΤΟΣ'!Q156)</f>
        <v>-3.9032685163418193E-2</v>
      </c>
      <c r="R156" s="43">
        <f>LN('2.ΤΙΜΕΣ ΚΛΕΙΣΙΜΑΤΟΣ'!R157/'2.ΤΙΜΕΣ ΚΛΕΙΣΙΜΑΤΟΣ'!R156)</f>
        <v>-1.9563097207608311E-3</v>
      </c>
      <c r="S156" s="43">
        <f>LN('2.ΤΙΜΕΣ ΚΛΕΙΣΙΜΑΤΟΣ'!S157/'2.ΤΙΜΕΣ ΚΛΕΙΣΙΜΑΤΟΣ'!S156)</f>
        <v>5.0826030634658096E-3</v>
      </c>
      <c r="T156" s="43">
        <f>LN('2.ΤΙΜΕΣ ΚΛΕΙΣΙΜΑΤΟΣ'!T157/'2.ΤΙΜΕΣ ΚΛΕΙΣΙΜΑΤΟΣ'!T156)</f>
        <v>-7.0274358074568621E-3</v>
      </c>
      <c r="U156" s="43">
        <f>LN('2.ΤΙΜΕΣ ΚΛΕΙΣΙΜΑΤΟΣ'!U157/'2.ΤΙΜΕΣ ΚΛΕΙΣΙΜΑΤΟΣ'!U156)</f>
        <v>-1.1947573421118062E-2</v>
      </c>
      <c r="V156" s="43">
        <f>LN('2.ΤΙΜΕΣ ΚΛΕΙΣΙΜΑΤΟΣ'!V157/'2.ΤΙΜΕΣ ΚΛΕΙΣΙΜΑΤΟΣ'!V156)</f>
        <v>1.0810916104215676E-2</v>
      </c>
      <c r="W156" s="43">
        <f>LN('2.ΤΙΜΕΣ ΚΛΕΙΣΙΜΑΤΟΣ'!W157/'2.ΤΙΜΕΣ ΚΛΕΙΣΙΜΑΤΟΣ'!W156)</f>
        <v>-1.4833399294101175E-2</v>
      </c>
      <c r="X156" s="43">
        <f>LN('2.ΤΙΜΕΣ ΚΛΕΙΣΙΜΑΤΟΣ'!X157/'2.ΤΙΜΕΣ ΚΛΕΙΣΙΜΑΤΟΣ'!X156)</f>
        <v>-8.5799988288745837E-3</v>
      </c>
      <c r="Y156" s="43">
        <f>LN('2.ΤΙΜΕΣ ΚΛΕΙΣΙΜΑΤΟΣ'!Y157/'2.ΤΙΜΕΣ ΚΛΕΙΣΙΜΑΤΟΣ'!Y156)</f>
        <v>-7.9772502806441312E-3</v>
      </c>
      <c r="Z156" s="43">
        <f>LN('2.ΤΙΜΕΣ ΚΛΕΙΣΙΜΑΤΟΣ'!Z157/'2.ΤΙΜΕΣ ΚΛΕΙΣΙΜΑΤΟΣ'!Z156)</f>
        <v>0</v>
      </c>
      <c r="AA156" s="43">
        <f>LN('2.ΤΙΜΕΣ ΚΛΕΙΣΙΜΑΤΟΣ'!AA157/'2.ΤΙΜΕΣ ΚΛΕΙΣΙΜΑΤΟΣ'!AA156)</f>
        <v>0</v>
      </c>
      <c r="AB156" s="43">
        <f>LN('2.ΤΙΜΕΣ ΚΛΕΙΣΙΜΑΤΟΣ'!AB157/'2.ΤΙΜΕΣ ΚΛΕΙΣΙΜΑΤΟΣ'!AB156)</f>
        <v>-2.0128767430613651E-2</v>
      </c>
      <c r="AC156" s="43">
        <f>LN('2.ΤΙΜΕΣ ΚΛΕΙΣΙΜΑΤΟΣ'!AC157/'2.ΤΙΜΕΣ ΚΛΕΙΣΙΜΑΤΟΣ'!AC156)</f>
        <v>0</v>
      </c>
      <c r="AD156" s="43">
        <f>LN('2.ΤΙΜΕΣ ΚΛΕΙΣΙΜΑΤΟΣ'!AD157/'2.ΤΙΜΕΣ ΚΛΕΙΣΙΜΑΤΟΣ'!AD156)</f>
        <v>-3.0581063588208846E-3</v>
      </c>
      <c r="AE156" s="43">
        <f>LN('2.ΤΙΜΕΣ ΚΛΕΙΣΙΜΑΤΟΣ'!AE157/'2.ΤΙΜΕΣ ΚΛΕΙΣΙΜΑΤΟΣ'!AE156)</f>
        <v>-1.5325970478226821E-2</v>
      </c>
      <c r="AF156" s="43">
        <f>LN('2.ΤΙΜΕΣ ΚΛΕΙΣΙΜΑΤΟΣ'!AF157/'2.ΤΙΜΕΣ ΚΛΕΙΣΙΜΑΤΟΣ'!AF156)</f>
        <v>-2.0274993861410781E-2</v>
      </c>
      <c r="AG156" s="43">
        <f>LN('2.ΤΙΜΕΣ ΚΛΕΙΣΙΜΑΤΟΣ'!AG157/'2.ΤΙΜΕΣ ΚΛΕΙΣΙΜΑΤΟΣ'!AG156)</f>
        <v>-1.9324272826402814E-2</v>
      </c>
      <c r="AH156" s="43">
        <f>LN('2.ΤΙΜΕΣ ΚΛΕΙΣΙΜΑΤΟΣ'!AH157/'2.ΤΙΜΕΣ ΚΛΕΙΣΙΜΑΤΟΣ'!AH156)</f>
        <v>-1.3766195764147959E-2</v>
      </c>
      <c r="AI156" s="43">
        <f>LN('2.ΤΙΜΕΣ ΚΛΕΙΣΙΜΑΤΟΣ'!AI157/'2.ΤΙΜΕΣ ΚΛΕΙΣΙΜΑΤΟΣ'!AI156)</f>
        <v>2.2472855852058576E-2</v>
      </c>
      <c r="AJ156" s="43">
        <f>LN('2.ΤΙΜΕΣ ΚΛΕΙΣΙΜΑΤΟΣ'!AJ157/'2.ΤΙΜΕΣ ΚΛΕΙΣΙΜΑΤΟΣ'!AJ156)</f>
        <v>-2.188271124950782E-2</v>
      </c>
      <c r="AK156" s="43">
        <f>LN('2.ΤΙΜΕΣ ΚΛΕΙΣΙΜΑΤΟΣ'!AK157/'2.ΤΙΜΕΣ ΚΛΕΙΣΙΜΑΤΟΣ'!AK156)</f>
        <v>-4.9140148024291522E-3</v>
      </c>
      <c r="AL156" s="43">
        <f>LN('2.ΤΙΜΕΣ ΚΛΕΙΣΙΜΑΤΟΣ'!AL157/'2.ΤΙΜΕΣ ΚΛΕΙΣΙΜΑΤΟΣ'!AL156)</f>
        <v>1.1049836186584935E-2</v>
      </c>
      <c r="AM156" s="43">
        <f>LN('2.ΤΙΜΕΣ ΚΛΕΙΣΙΜΑΤΟΣ'!AM157/'2.ΤΙΜΕΣ ΚΛΕΙΣΙΜΑΤΟΣ'!AM156)</f>
        <v>2.7359798188748455E-3</v>
      </c>
      <c r="AN156" s="43">
        <f>LN('2.ΤΙΜΕΣ ΚΛΕΙΣΙΜΑΤΟΣ'!AN157/'2.ΤΙΜΕΣ ΚΛΕΙΣΙΜΑΤΟΣ'!AN156)</f>
        <v>-2.7560799578871358E-2</v>
      </c>
      <c r="AO156" s="43">
        <f>LN('2.ΤΙΜΕΣ ΚΛΕΙΣΙΜΑΤΟΣ'!AO157/'2.ΤΙΜΕΣ ΚΛΕΙΣΙΜΑΤΟΣ'!AO156)</f>
        <v>-1.204833851617448E-2</v>
      </c>
      <c r="AP156" s="43">
        <f>LN('2.ΤΙΜΕΣ ΚΛΕΙΣΙΜΑΤΟΣ'!AP157/'2.ΤΙΜΕΣ ΚΛΕΙΣΙΜΑΤΟΣ'!AP156)</f>
        <v>8.2759093038598814E-3</v>
      </c>
      <c r="AQ156" s="43">
        <f>LN('2.ΤΙΜΕΣ ΚΛΕΙΣΙΜΑΤΟΣ'!AQ157/'2.ΤΙΜΕΣ ΚΛΕΙΣΙΜΑΤΟΣ'!AQ156)</f>
        <v>-1.0434877292579619E-2</v>
      </c>
      <c r="AR156" s="43">
        <f>LN('2.ΤΙΜΕΣ ΚΛΕΙΣΙΜΑΤΟΣ'!AR157/'2.ΤΙΜΕΣ ΚΛΕΙΣΙΜΑΤΟΣ'!AR156)</f>
        <v>-2.8573372444056114E-2</v>
      </c>
      <c r="AS156" s="43">
        <f>LN('2.ΤΙΜΕΣ ΚΛΕΙΣΙΜΑΤΟΣ'!AS157/'2.ΤΙΜΕΣ ΚΛΕΙΣΙΜΑΤΟΣ'!AS156)</f>
        <v>8.3449719321804679E-3</v>
      </c>
      <c r="AT156" s="43">
        <f>LN('2.ΤΙΜΕΣ ΚΛΕΙΣΙΜΑΤΟΣ'!AT157/'2.ΤΙΜΕΣ ΚΛΕΙΣΙΜΑΤΟΣ'!AT156)</f>
        <v>-3.8124057841738328E-2</v>
      </c>
      <c r="AU156" s="43">
        <f>LN('2.ΤΙΜΕΣ ΚΛΕΙΣΙΜΑΤΟΣ'!AU157/'2.ΤΙΜΕΣ ΚΛΕΙΣΙΜΑΤΟΣ'!AU156)</f>
        <v>-1.0194147364640076E-2</v>
      </c>
    </row>
    <row r="157" spans="1:47">
      <c r="A157" s="41">
        <v>43781</v>
      </c>
      <c r="B157" s="43">
        <f>LN('2.ΤΙΜΕΣ ΚΛΕΙΣΙΜΑΤΟΣ'!B158/'2.ΤΙΜΕΣ ΚΛΕΙΣΙΜΑΤΟΣ'!B157)</f>
        <v>8.7559844342689538E-3</v>
      </c>
      <c r="C157" s="43">
        <f>LN('2.ΤΙΜΕΣ ΚΛΕΙΣΙΜΑΤΟΣ'!C158/'2.ΤΙΜΕΣ ΚΛΕΙΣΙΜΑΤΟΣ'!C157)</f>
        <v>7.437709528446807E-4</v>
      </c>
      <c r="D157" s="43">
        <f>LN('2.ΤΙΜΕΣ ΚΛΕΙΣΙΜΑΤΟΣ'!D158/'2.ΤΙΜΕΣ ΚΛΕΙΣΙΜΑΤΟΣ'!D157)</f>
        <v>3.1001368220643128E-3</v>
      </c>
      <c r="E157" s="43">
        <f>LN('2.ΤΙΜΕΣ ΚΛΕΙΣΙΜΑΤΟΣ'!E158/'2.ΤΙΜΕΣ ΚΛΕΙΣΙΜΑΤΟΣ'!E157)</f>
        <v>1.6465794622897292E-2</v>
      </c>
      <c r="F157" s="43">
        <f>LN('2.ΤΙΜΕΣ ΚΛΕΙΣΙΜΑΤΟΣ'!F158/'2.ΤΙΜΕΣ ΚΛΕΙΣΙΜΑΤΟΣ'!F157)</f>
        <v>8.2208331448570746E-3</v>
      </c>
      <c r="G157" s="43">
        <f>LN('2.ΤΙΜΕΣ ΚΛΕΙΣΙΜΑΤΟΣ'!G158/'2.ΤΙΜΕΣ ΚΛΕΙΣΙΜΑΤΟΣ'!G157)</f>
        <v>4.385188252884941E-2</v>
      </c>
      <c r="H157" s="43">
        <f>LN('2.ΤΙΜΕΣ ΚΛΕΙΣΙΜΑΤΟΣ'!H158/'2.ΤΙΜΕΣ ΚΛΕΙΣΙΜΑΤΟΣ'!H157)</f>
        <v>-2.799815174746716E-3</v>
      </c>
      <c r="I157" s="43">
        <f>LN('2.ΤΙΜΕΣ ΚΛΕΙΣΙΜΑΤΟΣ'!I158/'2.ΤΙΜΕΣ ΚΛΕΙΣΙΜΑΤΟΣ'!I157)</f>
        <v>2.6093369227869732E-2</v>
      </c>
      <c r="J157" s="43">
        <f>LN('2.ΤΙΜΕΣ ΚΛΕΙΣΙΜΑΤΟΣ'!J158/'2.ΤΙΜΕΣ ΚΛΕΙΣΙΜΑΤΟΣ'!J157)</f>
        <v>3.3538641129147201E-2</v>
      </c>
      <c r="K157" s="43">
        <f>LN('2.ΤΙΜΕΣ ΚΛΕΙΣΙΜΑΤΟΣ'!K158/'2.ΤΙΜΕΣ ΚΛΕΙΣΙΜΑΤΟΣ'!K157)</f>
        <v>7.0071102954288068E-3</v>
      </c>
      <c r="L157" s="43">
        <f>LN('2.ΤΙΜΕΣ ΚΛΕΙΣΙΜΑΤΟΣ'!L158/'2.ΤΙΜΕΣ ΚΛΕΙΣΙΜΑΤΟΣ'!L157)</f>
        <v>9.1697025598525914E-3</v>
      </c>
      <c r="M157" s="43">
        <f>LN('2.ΤΙΜΕΣ ΚΛΕΙΣΙΜΑΤΟΣ'!M158/'2.ΤΙΜΕΣ ΚΛΕΙΣΙΜΑΤΟΣ'!M157)</f>
        <v>-4.3384015985982417E-3</v>
      </c>
      <c r="N157" s="43">
        <f>LN('2.ΤΙΜΕΣ ΚΛΕΙΣΙΜΑΤΟΣ'!N158/'2.ΤΙΜΕΣ ΚΛΕΙΣΙΜΑΤΟΣ'!N157)</f>
        <v>9.7880063661629439E-3</v>
      </c>
      <c r="O157" s="43">
        <f>LN('2.ΤΙΜΕΣ ΚΛΕΙΣΙΜΑΤΟΣ'!O158/'2.ΤΙΜΕΣ ΚΛΕΙΣΙΜΑΤΟΣ'!O157)</f>
        <v>1.0638398205055577E-2</v>
      </c>
      <c r="P157" s="43">
        <f>LN('2.ΤΙΜΕΣ ΚΛΕΙΣΙΜΑΤΟΣ'!P158/'2.ΤΙΜΕΣ ΚΛΕΙΣΙΜΑΤΟΣ'!P157)</f>
        <v>1.9447134935521509E-2</v>
      </c>
      <c r="Q157" s="43">
        <f>LN('2.ΤΙΜΕΣ ΚΛΕΙΣΙΜΑΤΟΣ'!Q158/'2.ΤΙΜΕΣ ΚΛΕΙΣΙΜΑΤΟΣ'!Q157)</f>
        <v>3.364546674720794E-2</v>
      </c>
      <c r="R157" s="43">
        <f>LN('2.ΤΙΜΕΣ ΚΛΕΙΣΙΜΑΤΟΣ'!R158/'2.ΤΙΜΕΣ ΚΛΕΙΣΙΜΑΤΟΣ'!R157)</f>
        <v>1.5544354437800379E-2</v>
      </c>
      <c r="S157" s="43">
        <f>LN('2.ΤΙΜΕΣ ΚΛΕΙΣΙΜΑΤΟΣ'!S158/'2.ΤΙΜΕΣ ΚΛΕΙΣΙΜΑΤΟΣ'!S157)</f>
        <v>3.7950709685515343E-3</v>
      </c>
      <c r="T157" s="43">
        <f>LN('2.ΤΙΜΕΣ ΚΛΕΙΣΙΜΑΤΟΣ'!T158/'2.ΤΙΜΕΣ ΚΛΕΙΣΙΜΑΤΟΣ'!T157)</f>
        <v>7.0274358074568759E-3</v>
      </c>
      <c r="U157" s="43">
        <f>LN('2.ΤΙΜΕΣ ΚΛΕΙΣΙΜΑΤΟΣ'!U158/'2.ΤΙΜΕΣ ΚΛΕΙΣΙΜΑΤΟΣ'!U157)</f>
        <v>2.8437935320533625E-2</v>
      </c>
      <c r="V157" s="43">
        <f>LN('2.ΤΙΜΕΣ ΚΛΕΙΣΙΜΑΤΟΣ'!V158/'2.ΤΙΜΕΣ ΚΛΕΙΣΙΜΑΤΟΣ'!V157)</f>
        <v>2.148228538289605E-3</v>
      </c>
      <c r="W157" s="43">
        <f>LN('2.ΤΙΜΕΣ ΚΛΕΙΣΙΜΑΤΟΣ'!W158/'2.ΤΙΜΕΣ ΚΛΕΙΣΙΜΑΤΟΣ'!W157)</f>
        <v>1.2445552322047017E-3</v>
      </c>
      <c r="X157" s="43">
        <f>LN('2.ΤΙΜΕΣ ΚΛΕΙΣΙΜΑΤΟΣ'!X158/'2.ΤΙΜΕΣ ΚΛΕΙΣΙΜΑΤΟΣ'!X157)</f>
        <v>2.9167294996134733E-3</v>
      </c>
      <c r="Y157" s="43">
        <f>LN('2.ΤΙΜΕΣ ΚΛΕΙΣΙΜΑΤΟΣ'!Y158/'2.ΤΙΜΕΣ ΚΛΕΙΣΙΜΑΤΟΣ'!Y157)</f>
        <v>1.1435107020790205E-3</v>
      </c>
      <c r="Z157" s="43">
        <f>LN('2.ΤΙΜΕΣ ΚΛΕΙΣΙΜΑΤΟΣ'!Z158/'2.ΤΙΜΕΣ ΚΛΕΙΣΙΜΑΤΟΣ'!Z157)</f>
        <v>-1.4925650216675593E-2</v>
      </c>
      <c r="AA157" s="43">
        <f>LN('2.ΤΙΜΕΣ ΚΛΕΙΣΙΜΑΤΟΣ'!AA158/'2.ΤΙΜΕΣ ΚΛΕΙΣΙΜΑΤΟΣ'!AA157)</f>
        <v>5.8479698824231204E-3</v>
      </c>
      <c r="AB157" s="43">
        <f>LN('2.ΤΙΜΕΣ ΚΛΕΙΣΙΜΑΤΟΣ'!AB158/'2.ΤΙΜΕΣ ΚΛΕΙΣΙΜΑΤΟΣ'!AB157)</f>
        <v>-1.4897854680636946E-2</v>
      </c>
      <c r="AC157" s="43">
        <f>LN('2.ΤΙΜΕΣ ΚΛΕΙΣΙΜΑΤΟΣ'!AC158/'2.ΤΙΜΕΣ ΚΛΕΙΣΙΜΑΤΟΣ'!AC157)</f>
        <v>1.7894489876550432E-2</v>
      </c>
      <c r="AD157" s="43">
        <f>LN('2.ΤΙΜΕΣ ΚΛΕΙΣΙΜΑΤΟΣ'!AD158/'2.ΤΙΜΕΣ ΚΛΕΙΣΙΜΑΤΟΣ'!AD157)</f>
        <v>6.1068892081794805E-3</v>
      </c>
      <c r="AE157" s="43">
        <f>LN('2.ΤΙΜΕΣ ΚΛΕΙΣΙΜΑΤΟΣ'!AE158/'2.ΤΙΜΕΣ ΚΛΕΙΣΙΜΑΤΟΣ'!AE157)</f>
        <v>1.1516442061559301E-2</v>
      </c>
      <c r="AF157" s="43">
        <f>LN('2.ΤΙΜΕΣ ΚΛΕΙΣΙΜΑΤΟΣ'!AF158/'2.ΤΙΜΕΣ ΚΛΕΙΣΙΜΑΤΟΣ'!AF157)</f>
        <v>2.2633485520703638E-2</v>
      </c>
      <c r="AG157" s="43">
        <f>LN('2.ΤΙΜΕΣ ΚΛΕΙΣΙΜΑΤΟΣ'!AG158/'2.ΤΙΜΕΣ ΚΛΕΙΣΙΜΑΤΟΣ'!AG157)</f>
        <v>5.2268428545756869E-2</v>
      </c>
      <c r="AH157" s="43">
        <f>LN('2.ΤΙΜΕΣ ΚΛΕΙΣΙΜΑΤΟΣ'!AH158/'2.ΤΙΜΕΣ ΚΛΕΙΣΙΜΑΤΟΣ'!AH157)</f>
        <v>2.5416812984123256E-2</v>
      </c>
      <c r="AI157" s="43">
        <f>LN('2.ΤΙΜΕΣ ΚΛΕΙΣΙΜΑΤΟΣ'!AI158/'2.ΤΙΜΕΣ ΚΛΕΙΣΙΜΑΤΟΣ'!AI157)</f>
        <v>7.38010729762246E-3</v>
      </c>
      <c r="AJ157" s="43">
        <f>LN('2.ΤΙΜΕΣ ΚΛΕΙΣΙΜΑΤΟΣ'!AJ158/'2.ΤΙΜΕΣ ΚΛΕΙΣΙΜΑΤΟΣ'!AJ157)</f>
        <v>3.4786116085415604E-2</v>
      </c>
      <c r="AK157" s="43">
        <f>LN('2.ΤΙΜΕΣ ΚΛΕΙΣΙΜΑΤΟΣ'!AK158/'2.ΤΙΜΕΣ ΚΛΕΙΣΙΜΑΤΟΣ'!AK157)</f>
        <v>-3.0002250303798789E-2</v>
      </c>
      <c r="AL157" s="43">
        <f>LN('2.ΤΙΜΕΣ ΚΛΕΙΣΙΜΑΤΟΣ'!AL158/'2.ΤΙΜΕΣ ΚΛΕΙΣΙΜΑΤΟΣ'!AL157)</f>
        <v>0</v>
      </c>
      <c r="AM157" s="43">
        <f>LN('2.ΤΙΜΕΣ ΚΛΕΙΣΙΜΑΤΟΣ'!AM158/'2.ΤΙΜΕΣ ΚΛΕΙΣΙΜΑΤΟΣ'!AM157)</f>
        <v>-2.7359798188748602E-3</v>
      </c>
      <c r="AN157" s="43">
        <f>LN('2.ΤΙΜΕΣ ΚΛΕΙΣΙΜΑΤΟΣ'!AN158/'2.ΤΙΜΕΣ ΚΛΕΙΣΙΜΑΤΟΣ'!AN157)</f>
        <v>1.9940186068644495E-3</v>
      </c>
      <c r="AO157" s="43">
        <f>LN('2.ΤΙΜΕΣ ΚΛΕΙΣΙΜΑΤΟΣ'!AO158/'2.ΤΙΜΕΣ ΚΛΕΙΣΙΜΑΤΟΣ'!AO157)</f>
        <v>-6.0790460763822263E-3</v>
      </c>
      <c r="AP157" s="43">
        <f>LN('2.ΤΙΜΕΣ ΚΛΕΙΣΙΜΑΤΟΣ'!AP158/'2.ΤΙΜΕΣ ΚΛΕΙΣΙΜΑΤΟΣ'!AP157)</f>
        <v>1.6349138001529411E-2</v>
      </c>
      <c r="AQ157" s="43">
        <f>LN('2.ΤΙΜΕΣ ΚΛΕΙΣΙΜΑΤΟΣ'!AQ158/'2.ΤΙΜΕΣ ΚΛΕΙΣΙΜΑΤΟΣ'!AQ157)</f>
        <v>8.1254074439171525E-3</v>
      </c>
      <c r="AR157" s="43">
        <f>LN('2.ΤΙΜΕΣ ΚΛΕΙΣΙΜΑΤΟΣ'!AR158/'2.ΤΙΜΕΣ ΚΛΕΙΣΙΜΑΤΟΣ'!AR157)</f>
        <v>1.7953803616595845E-2</v>
      </c>
      <c r="AS157" s="43">
        <f>LN('2.ΤΙΜΕΣ ΚΛΕΙΣΙΜΑΤΟΣ'!AS158/'2.ΤΙΜΕΣ ΚΛΕΙΣΙΜΑΤΟΣ'!AS157)</f>
        <v>8.2759093038598814E-3</v>
      </c>
      <c r="AT157" s="43">
        <f>LN('2.ΤΙΜΕΣ ΚΛΕΙΣΙΜΑΤΟΣ'!AT158/'2.ΤΙΜΕΣ ΚΛΕΙΣΙΜΑΤΟΣ'!AT157)</f>
        <v>5.5429804939330821E-2</v>
      </c>
      <c r="AU157" s="43">
        <f>LN('2.ΤΙΜΕΣ ΚΛΕΙΣΙΜΑΤΟΣ'!AU158/'2.ΤΙΜΕΣ ΚΛΕΙΣΙΜΑΤΟΣ'!AU157)</f>
        <v>1.2262113697130662E-2</v>
      </c>
    </row>
    <row r="158" spans="1:47">
      <c r="A158" s="41">
        <v>43782</v>
      </c>
      <c r="B158" s="43">
        <f>LN('2.ΤΙΜΕΣ ΚΛΕΙΣΙΜΑΤΟΣ'!B159/'2.ΤΙΜΕΣ ΚΛΕΙΣΙΜΑΤΟΣ'!B158)</f>
        <v>4.9602799833527708E-2</v>
      </c>
      <c r="C158" s="43">
        <f>LN('2.ΤΙΜΕΣ ΚΛΕΙΣΙΜΑΤΟΣ'!C159/'2.ΤΙΜΕΣ ΚΛΕΙΣΙΜΑΤΟΣ'!C158)</f>
        <v>-7.437709528446524E-4</v>
      </c>
      <c r="D158" s="43">
        <f>LN('2.ΤΙΜΕΣ ΚΛΕΙΣΙΜΑΤΟΣ'!D159/'2.ΤΙΜΕΣ ΚΛΕΙΣΙΜΑΤΟΣ'!D158)</f>
        <v>-1.4026932670236658E-2</v>
      </c>
      <c r="E158" s="43">
        <f>LN('2.ΤΙΜΕΣ ΚΛΕΙΣΙΜΑΤΟΣ'!E159/'2.ΤΙΜΕΣ ΚΛΕΙΣΙΜΑΤΟΣ'!E158)</f>
        <v>-2.1798373754208364E-3</v>
      </c>
      <c r="F158" s="43">
        <f>LN('2.ΤΙΜΕΣ ΚΛΕΙΣΙΜΑΤΟΣ'!F159/'2.ΤΙΜΕΣ ΚΛΕΙΣΙΜΑΤΟΣ'!F158)</f>
        <v>2.3364496610195056E-3</v>
      </c>
      <c r="G158" s="43">
        <f>LN('2.ΤΙΜΕΣ ΚΛΕΙΣΙΜΑΤΟΣ'!G159/'2.ΤΙΜΕΣ ΚΛΕΙΣΙΜΑΤΟΣ'!G158)</f>
        <v>1.0995053334168679E-3</v>
      </c>
      <c r="H158" s="43">
        <f>LN('2.ΤΙΜΕΣ ΚΛΕΙΣΙΜΑΤΟΣ'!H159/'2.ΤΙΜΕΣ ΚΛΕΙΣΙΜΑΤΟΣ'!H158)</f>
        <v>1.1152531950475107E-2</v>
      </c>
      <c r="I158" s="43">
        <f>LN('2.ΤΙΜΕΣ ΚΛΕΙΣΙΜΑΤΟΣ'!I159/'2.ΤΙΜΕΣ ΚΛΕΙΣΙΜΑΤΟΣ'!I158)</f>
        <v>1.0582109330536788E-2</v>
      </c>
      <c r="J158" s="43">
        <f>LN('2.ΤΙΜΕΣ ΚΛΕΙΣΙΜΑΤΟΣ'!J159/'2.ΤΙΜΕΣ ΚΛΕΙΣΙΜΑΤΟΣ'!J158)</f>
        <v>6.644542718668732E-3</v>
      </c>
      <c r="K158" s="43">
        <f>LN('2.ΤΙΜΕΣ ΚΛΕΙΣΙΜΑΤΟΣ'!K159/'2.ΤΙΜΕΣ ΚΛΕΙΣΙΜΑΤΟΣ'!K158)</f>
        <v>5.43564928161821E-2</v>
      </c>
      <c r="L158" s="43">
        <f>LN('2.ΤΙΜΕΣ ΚΛΕΙΣΙΜΑΤΟΣ'!L159/'2.ΤΙΜΕΣ ΚΛΕΙΣΙΜΑΤΟΣ'!L158)</f>
        <v>-1.0147134305464591E-3</v>
      </c>
      <c r="M158" s="43">
        <f>LN('2.ΤΙΜΕΣ ΚΛΕΙΣΙΜΑΤΟΣ'!M159/'2.ΤΙΜΕΣ ΚΛΕΙΣΙΜΑΤΟΣ'!M158)</f>
        <v>-3.2661977866210697E-3</v>
      </c>
      <c r="N158" s="43">
        <f>LN('2.ΤΙΜΕΣ ΚΛΕΙΣΙΜΑΤΟΣ'!N159/'2.ΤΙΜΕΣ ΚΛΕΙΣΙΜΑΤΟΣ'!N158)</f>
        <v>-2.8272566189281212E-3</v>
      </c>
      <c r="O158" s="43">
        <f>LN('2.ΤΙΜΕΣ ΚΛΕΙΣΙΜΑΤΟΣ'!O159/'2.ΤΙΜΕΣ ΚΛΕΙΣΙΜΑΤΟΣ'!O158)</f>
        <v>-1.323626930508253E-3</v>
      </c>
      <c r="P158" s="43">
        <f>LN('2.ΤΙΜΕΣ ΚΛΕΙΣΙΜΑΤΟΣ'!P159/'2.ΤΙΜΕΣ ΚΛΕΙΣΙΜΑΤΟΣ'!P158)</f>
        <v>-1.4825799602227248E-3</v>
      </c>
      <c r="Q158" s="43">
        <f>LN('2.ΤΙΜΕΣ ΚΛΕΙΣΙΜΑΤΟΣ'!Q159/'2.ΤΙΜΕΣ ΚΛΕΙΣΙΜΑΤΟΣ'!Q158)</f>
        <v>-6.0955149789772862E-3</v>
      </c>
      <c r="R158" s="43">
        <f>LN('2.ΤΙΜΕΣ ΚΛΕΙΣΙΜΑΤΟΣ'!R159/'2.ΤΙΜΕΣ ΚΛΕΙΣΙΜΑΤΟΣ'!R158)</f>
        <v>6.4246709566128572E-4</v>
      </c>
      <c r="S158" s="43">
        <f>LN('2.ΤΙΜΕΣ ΚΛΕΙΣΙΜΑΤΟΣ'!S159/'2.ΤΙΜΕΣ ΚΛΕΙΣΙΜΑΤΟΣ'!S158)</f>
        <v>8.799553951848841E-3</v>
      </c>
      <c r="T158" s="43">
        <f>LN('2.ΤΙΜΕΣ ΚΛΕΙΣΙΜΑΤΟΣ'!T159/'2.ΤΙΜΕΣ ΚΛΕΙΣΙΜΑΤΟΣ'!T158)</f>
        <v>0</v>
      </c>
      <c r="U158" s="43">
        <f>LN('2.ΤΙΜΕΣ ΚΛΕΙΣΙΜΑΤΟΣ'!U159/'2.ΤΙΜΕΣ ΚΛΕΙΣΙΜΑΤΟΣ'!U158)</f>
        <v>4.6620131058111502E-3</v>
      </c>
      <c r="V158" s="43">
        <f>LN('2.ΤΙΜΕΣ ΚΛΕΙΣΙΜΑΤΟΣ'!V159/'2.ΤΙΜΕΣ ΚΛΕΙΣΙΜΑΤΟΣ'!V158)</f>
        <v>0</v>
      </c>
      <c r="W158" s="43">
        <f>LN('2.ΤΙΜΕΣ ΚΛΕΙΣΙΜΑΤΟΣ'!W159/'2.ΤΙΜΕΣ ΚΛΕΙΣΙΜΑΤΟΣ'!W158)</f>
        <v>-8.7445903887512621E-3</v>
      </c>
      <c r="X158" s="43">
        <f>LN('2.ΤΙΜΕΣ ΚΛΕΙΣΙΜΑΤΟΣ'!X159/'2.ΤΙΜΕΣ ΚΛΕΙΣΙΜΑΤΟΣ'!X158)</f>
        <v>1.6894488898761831E-2</v>
      </c>
      <c r="Y158" s="43">
        <f>LN('2.ΤΙΜΕΣ ΚΛΕΙΣΙΜΑΤΟΣ'!Y159/'2.ΤΙΜΕΣ ΚΛΕΙΣΙΜΑΤΟΣ'!Y158)</f>
        <v>5.6980211146377959E-3</v>
      </c>
      <c r="Z158" s="43">
        <f>LN('2.ΤΙΜΕΣ ΚΛΕΙΣΙΜΑΤΟΣ'!Z159/'2.ΤΙΜΕΣ ΚΛΕΙΣΙΜΑΤΟΣ'!Z158)</f>
        <v>0</v>
      </c>
      <c r="AA158" s="43">
        <f>LN('2.ΤΙΜΕΣ ΚΛΕΙΣΙΜΑΤΟΣ'!AA159/'2.ΤΙΜΕΣ ΚΛΕΙΣΙΜΑΤΟΣ'!AA158)</f>
        <v>-8.7848295557329155E-3</v>
      </c>
      <c r="AB158" s="43">
        <f>LN('2.ΤΙΜΕΣ ΚΛΕΙΣΙΜΑΤΟΣ'!AB159/'2.ΤΙΜΕΣ ΚΛΕΙΣΙΜΑΤΟΣ'!AB158)</f>
        <v>2.4097551579060524E-2</v>
      </c>
      <c r="AC158" s="43">
        <f>LN('2.ΤΙΜΕΣ ΚΛΕΙΣΙΜΑΤΟΣ'!AC159/'2.ΤΙΜΕΣ ΚΛΕΙΣΙΜΑΤΟΣ'!AC158)</f>
        <v>-1.3736479727886839E-2</v>
      </c>
      <c r="AD158" s="43">
        <f>LN('2.ΤΙΜΕΣ ΚΛΕΙΣΙΜΑΤΟΣ'!AD159/'2.ΤΙΜΕΣ ΚΛΕΙΣΙΜΑΤΟΣ'!AD158)</f>
        <v>0</v>
      </c>
      <c r="AE158" s="43">
        <f>LN('2.ΤΙΜΕΣ ΚΛΕΙΣΙΜΑΤΟΣ'!AE159/'2.ΤΙΜΕΣ ΚΛΕΙΣΙΜΑΤΟΣ'!AE158)</f>
        <v>-7.6628727455691371E-3</v>
      </c>
      <c r="AF158" s="43">
        <f>LN('2.ΤΙΜΕΣ ΚΛΕΙΣΙΜΑΤΟΣ'!AF159/'2.ΤΙΜΕΣ ΚΛΕΙΣΙΜΑΤΟΣ'!AF158)</f>
        <v>-1.3041085829264257E-2</v>
      </c>
      <c r="AG158" s="43">
        <f>LN('2.ΤΙΜΕΣ ΚΛΕΙΣΙΜΑΤΟΣ'!AG159/'2.ΤΙΜΕΣ ΚΛΕΙΣΙΜΑΤΟΣ'!AG158)</f>
        <v>-4.6403795565022254E-3</v>
      </c>
      <c r="AH158" s="43">
        <f>LN('2.ΤΙΜΕΣ ΚΛΕΙΣΙΜΑΤΟΣ'!AH159/'2.ΤΙΜΕΣ ΚΛΕΙΣΙΜΑΤΟΣ'!AH158)</f>
        <v>1.9286409064056863E-3</v>
      </c>
      <c r="AI158" s="43">
        <f>LN('2.ΤΙΜΕΣ ΚΛΕΙΣΙΜΑΤΟΣ'!AI159/'2.ΤΙΜΕΣ ΚΛΕΙΣΙΜΑΤΟΣ'!AI158)</f>
        <v>-7.3801072976225337E-3</v>
      </c>
      <c r="AJ158" s="43">
        <f>LN('2.ΤΙΜΕΣ ΚΛΕΙΣΙΜΑΤΟΣ'!AJ159/'2.ΤΙΜΕΣ ΚΛΕΙΣΙΜΑΤΟΣ'!AJ158)</f>
        <v>2.947581813295368E-2</v>
      </c>
      <c r="AK158" s="43">
        <f>LN('2.ΤΙΜΕΣ ΚΛΕΙΣΙΜΑΤΟΣ'!AK159/'2.ΤΙΜΕΣ ΚΛΕΙΣΙΜΑΤΟΣ'!AK158)</f>
        <v>2.0101179321087088E-2</v>
      </c>
      <c r="AL158" s="43">
        <f>LN('2.ΤΙΜΕΣ ΚΛΕΙΣΙΜΑΤΟΣ'!AL159/'2.ΤΙΜΕΣ ΚΛΕΙΣΙΜΑΤΟΣ'!AL158)</f>
        <v>0</v>
      </c>
      <c r="AM158" s="43">
        <f>LN('2.ΤΙΜΕΣ ΚΛΕΙΣΙΜΑΤΟΣ'!AM159/'2.ΤΙΜΕΣ ΚΛΕΙΣΙΜΑΤΟΣ'!AM158)</f>
        <v>1.0899290458035638E-2</v>
      </c>
      <c r="AN158" s="43">
        <f>LN('2.ΤΙΜΕΣ ΚΛΕΙΣΙΜΑΤΟΣ'!AN159/'2.ΤΙΜΕΣ ΚΛΕΙΣΙΜΑΤΟΣ'!AN158)</f>
        <v>5.0496164014532233E-2</v>
      </c>
      <c r="AO158" s="43">
        <f>LN('2.ΤΙΜΕΣ ΚΛΕΙΣΙΜΑΤΟΣ'!AO159/'2.ΤΙΜΕΣ ΚΛΕΙΣΙΜΑΤΟΣ'!AO158)</f>
        <v>9.104766992919287E-3</v>
      </c>
      <c r="AP158" s="43">
        <f>LN('2.ΤΙΜΕΣ ΚΛΕΙΣΙΜΑΤΟΣ'!AP159/'2.ΤΙΜΕΣ ΚΛΕΙΣΙΜΑΤΟΣ'!AP158)</f>
        <v>-4.1385216162854482E-2</v>
      </c>
      <c r="AQ158" s="43">
        <f>LN('2.ΤΙΜΕΣ ΚΛΕΙΣΙΜΑΤΟΣ'!AQ159/'2.ΤΙΜΕΣ ΚΛΕΙΣΙΜΑΤΟΣ'!AQ158)</f>
        <v>1.2636584004512057E-2</v>
      </c>
      <c r="AR158" s="43">
        <f>LN('2.ΤΙΜΕΣ ΚΛΕΙΣΙΜΑΤΟΣ'!AR159/'2.ΤΙΜΕΣ ΚΛΕΙΣΙΜΑΤΟΣ'!AR158)</f>
        <v>-1.7809443709946974E-3</v>
      </c>
      <c r="AS158" s="43">
        <f>LN('2.ΤΙΜΕΣ ΚΛΕΙΣΙΜΑΤΟΣ'!AS159/'2.ΤΙΜΕΣ ΚΛΕΙΣΙΜΑΤΟΣ'!AS158)</f>
        <v>0</v>
      </c>
      <c r="AT158" s="43">
        <f>LN('2.ΤΙΜΕΣ ΚΛΕΙΣΙΜΑΤΟΣ'!AT159/'2.ΤΙΜΕΣ ΚΛΕΙΣΙΜΑΤΟΣ'!AT158)</f>
        <v>-3.7457562534900332E-2</v>
      </c>
      <c r="AU158" s="43">
        <f>LN('2.ΤΙΜΕΣ ΚΛΕΙΣΙΜΑΤΟΣ'!AU159/'2.ΤΙΜΕΣ ΚΛΕΙΣΙΜΑΤΟΣ'!AU158)</f>
        <v>5.1225787015886761E-3</v>
      </c>
    </row>
    <row r="159" spans="1:47">
      <c r="A159" s="41">
        <v>43783</v>
      </c>
      <c r="B159" s="43">
        <f>LN('2.ΤΙΜΕΣ ΚΛΕΙΣΙΜΑΤΟΣ'!B160/'2.ΤΙΜΕΣ ΚΛΕΙΣΙΜΑΤΟΣ'!B159)</f>
        <v>4.5608309581204383E-2</v>
      </c>
      <c r="C159" s="43">
        <f>LN('2.ΤΙΜΕΣ ΚΛΕΙΣΙΜΑΤΟΣ'!C160/'2.ΤΙΜΕΣ ΚΛΕΙΣΙΜΑΤΟΣ'!C159)</f>
        <v>7.437709528446807E-4</v>
      </c>
      <c r="D159" s="43">
        <f>LN('2.ΤΙΜΕΣ ΚΛΕΙΣΙΜΑΤΟΣ'!D160/'2.ΤΙΜΕΣ ΚΛΕΙΣΙΜΑΤΟΣ'!D159)</f>
        <v>6.7782729932192422E-3</v>
      </c>
      <c r="E159" s="43">
        <f>LN('2.ΤΙΜΕΣ ΚΛΕΙΣΙΜΑΤΟΣ'!E160/'2.ΤΙΜΕΣ ΚΛΕΙΣΙΜΑΤΟΣ'!E159)</f>
        <v>1.0905126489659065E-3</v>
      </c>
      <c r="F159" s="43">
        <f>LN('2.ΤΙΜΕΣ ΚΛΕΙΣΙΜΑΤΟΣ'!F160/'2.ΤΙΜΕΣ ΚΛΕΙΣΙΜΑΤΟΣ'!F159)</f>
        <v>1.0446989964655375E-2</v>
      </c>
      <c r="G159" s="43">
        <f>LN('2.ΤΙΜΕΣ ΚΛΕΙΣΙΜΑΤΟΣ'!G160/'2.ΤΙΜΕΣ ΚΛΕΙΣΙΜΑΤΟΣ'!G159)</f>
        <v>5.7646695099649897E-2</v>
      </c>
      <c r="H159" s="43">
        <f>LN('2.ΤΙΜΕΣ ΚΛΕΙΣΙΜΑΤΟΣ'!H160/'2.ΤΙΜΕΣ ΚΛΕΙΣΙΜΑΤΟΣ'!H159)</f>
        <v>9.2378759456368119E-4</v>
      </c>
      <c r="I159" s="43">
        <f>LN('2.ΤΙΜΕΣ ΚΛΕΙΣΙΜΑΤΟΣ'!I160/'2.ΤΙΜΕΣ ΚΛΕΙΣΙΜΑΤΟΣ'!I159)</f>
        <v>6.4365375954903339E-2</v>
      </c>
      <c r="J159" s="43">
        <f>LN('2.ΤΙΜΕΣ ΚΛΕΙΣΙΜΑΤΟΣ'!J160/'2.ΤΙΜΕΣ ΚΛΕΙΣΙΜΑΤΟΣ'!J159)</f>
        <v>6.4451378965061673E-2</v>
      </c>
      <c r="K159" s="43">
        <f>LN('2.ΤΙΜΕΣ ΚΛΕΙΣΙΜΑΤΟΣ'!K160/'2.ΤΙΜΕΣ ΚΛΕΙΣΙΜΑΤΟΣ'!K159)</f>
        <v>1.1889083324560998E-2</v>
      </c>
      <c r="L159" s="43">
        <f>LN('2.ΤΙΜΕΣ ΚΛΕΙΣΙΜΑΤΟΣ'!L160/'2.ΤΙΜΕΣ ΚΛΕΙΣΙΜΑΤΟΣ'!L159)</f>
        <v>3.5470014385826309E-3</v>
      </c>
      <c r="M159" s="43">
        <f>LN('2.ΤΙΜΕΣ ΚΛΕΙΣΙΜΑΤΟΣ'!M160/'2.ΤΙΜΕΣ ΚΛΕΙΣΙΜΑΤΟΣ'!M159)</f>
        <v>-2.1834069809435063E-3</v>
      </c>
      <c r="N159" s="43">
        <f>LN('2.ΤΙΜΕΣ ΚΛΕΙΣΙΜΑΤΟΣ'!N160/'2.ΤΙΜΕΣ ΚΛΕΙΣΙΜΑΤΟΣ'!N159)</f>
        <v>1.3777808274582012E-2</v>
      </c>
      <c r="O159" s="43">
        <f>LN('2.ΤΙΜΕΣ ΚΛΕΙΣΙΜΑΤΟΣ'!O160/'2.ΤΙΜΕΣ ΚΛΕΙΣΙΜΑΤΟΣ'!O159)</f>
        <v>3.9656363933468853E-3</v>
      </c>
      <c r="P159" s="43">
        <f>LN('2.ΤΙΜΕΣ ΚΛΕΙΣΙΜΑΤΟΣ'!P160/'2.ΤΙΜΕΣ ΚΛΕΙΣΙΜΑΤΟΣ'!P159)</f>
        <v>8.8626872578453243E-3</v>
      </c>
      <c r="Q159" s="43">
        <f>LN('2.ΤΙΜΕΣ ΚΛΕΙΣΙΜΑΤΟΣ'!Q160/'2.ΤΙΜΕΣ ΚΛΕΙΣΙΜΑΤΟΣ'!Q159)</f>
        <v>3.2745992970471198E-2</v>
      </c>
      <c r="R159" s="43">
        <f>LN('2.ΤΙΜΕΣ ΚΛΕΙΣΙΜΑΤΟΣ'!R160/'2.ΤΙΜΕΣ ΚΛΕΙΣΙΜΑΤΟΣ'!R159)</f>
        <v>1.9084548692410698E-2</v>
      </c>
      <c r="S159" s="43">
        <f>LN('2.ΤΙΜΕΣ ΚΛΕΙΣΙΜΑΤΟΣ'!S160/'2.ΤΙΜΕΣ ΚΛΕΙΣΙΜΑΤΟΣ'!S159)</f>
        <v>2.594339449202402E-2</v>
      </c>
      <c r="T159" s="43">
        <f>LN('2.ΤΙΜΕΣ ΚΛΕΙΣΙΜΑΤΟΣ'!T160/'2.ΤΙΜΕΣ ΚΛΕΙΣΙΜΑΤΟΣ'!T159)</f>
        <v>3.5767223858631139E-2</v>
      </c>
      <c r="U159" s="43">
        <f>LN('2.ΤΙΜΕΣ ΚΛΕΙΣΙΜΑΤΟΣ'!U160/'2.ΤΙΜΕΣ ΚΛΕΙΣΙΜΑΤΟΣ'!U159)</f>
        <v>1.8433701688837966E-2</v>
      </c>
      <c r="V159" s="43">
        <f>LN('2.ΤΙΜΕΣ ΚΛΕΙΣΙΜΑΤΟΣ'!V160/'2.ΤΙΜΕΣ ΚΛΕΙΣΙΜΑΤΟΣ'!V159)</f>
        <v>-1.0787591128997352E-2</v>
      </c>
      <c r="W159" s="43">
        <f>LN('2.ΤΙΜΕΣ ΚΛΕΙΣΙΜΑΤΟΣ'!W160/'2.ΤΙΜΕΣ ΚΛΕΙΣΙΜΑΤΟΣ'!W159)</f>
        <v>1.2539186595939031E-3</v>
      </c>
      <c r="X159" s="43">
        <f>LN('2.ΤΙΜΕΣ ΚΛΕΙΣΙΜΑΤΟΣ'!X160/'2.ΤΙΜΕΣ ΚΛΕΙΣΙΜΑΤΟΣ'!X159)</f>
        <v>-5.5998423309939734E-3</v>
      </c>
      <c r="Y159" s="43">
        <f>LN('2.ΤΙΜΕΣ ΚΛΕΙΣΙΜΑΤΟΣ'!Y160/'2.ΤΙΜΕΣ ΚΛΕΙΣΙΜΑΤΟΣ'!Y159)</f>
        <v>2.2472855852058576E-2</v>
      </c>
      <c r="Z159" s="43">
        <f>LN('2.ΤΙΜΕΣ ΚΛΕΙΣΙΜΑΤΟΣ'!Z160/'2.ΤΙΜΕΣ ΚΛΕΙΣΙΜΑΤΟΣ'!Z159)</f>
        <v>1.4925650216675574E-2</v>
      </c>
      <c r="AA159" s="43">
        <f>LN('2.ΤΙΜΕΣ ΚΛΕΙΣΙΜΑΤΟΣ'!AA160/'2.ΤΙΜΕΣ ΚΛΕΙΣΙΜΑΤΟΣ'!AA159)</f>
        <v>8.7848295557328114E-3</v>
      </c>
      <c r="AB159" s="43">
        <f>LN('2.ΤΙΜΕΣ ΚΛΕΙΣΙΜΑΤΟΣ'!AB160/'2.ΤΙΜΕΣ ΚΛΕΙΣΙΜΑΤΟΣ'!AB159)</f>
        <v>5.4794657646255705E-3</v>
      </c>
      <c r="AC159" s="43">
        <f>LN('2.ΤΙΜΕΣ ΚΛΕΙΣΙΜΑΤΟΣ'!AC160/'2.ΤΙΜΕΣ ΚΛΕΙΣΙΜΑΤΟΣ'!AC159)</f>
        <v>-1.6736792355523864E-2</v>
      </c>
      <c r="AD159" s="43">
        <f>LN('2.ΤΙΜΕΣ ΚΛΕΙΣΙΜΑΤΟΣ'!AD160/'2.ΤΙΜΕΣ ΚΛΕΙΣΙΜΑΤΟΣ'!AD159)</f>
        <v>2.8509057558353524E-2</v>
      </c>
      <c r="AE159" s="43">
        <f>LN('2.ΤΙΜΕΣ ΚΛΕΙΣΙΜΑΤΟΣ'!AE160/'2.ΤΙΜΕΣ ΚΛΕΙΣΙΜΑΤΟΣ'!AE159)</f>
        <v>7.6628727455690972E-3</v>
      </c>
      <c r="AF159" s="43">
        <f>LN('2.ΤΙΜΕΣ ΚΛΕΙΣΙΜΑΤΟΣ'!AF160/'2.ΤΙΜΕΣ ΚΛΕΙΣΙΜΑΤΟΣ'!AF159)</f>
        <v>4.6628493153033718E-2</v>
      </c>
      <c r="AG159" s="43">
        <f>LN('2.ΤΙΜΕΣ ΚΛΕΙΣΙΜΑΤΟΣ'!AG160/'2.ΤΙΜΕΣ ΚΛΕΙΣΙΜΑΤΟΣ'!AG159)</f>
        <v>4.1008023727377038E-2</v>
      </c>
      <c r="AH159" s="43">
        <f>LN('2.ΤΙΜΕΣ ΚΛΕΙΣΙΜΑΤΟΣ'!AH160/'2.ΤΙΜΕΣ ΚΛΕΙΣΙΜΑΤΟΣ'!AH159)</f>
        <v>1.924928409584418E-3</v>
      </c>
      <c r="AI159" s="43">
        <f>LN('2.ΤΙΜΕΣ ΚΛΕΙΣΙΜΑΤΟΣ'!AI160/'2.ΤΙΜΕΣ ΚΛΕΙΣΙΜΑΤΟΣ'!AI159)</f>
        <v>0</v>
      </c>
      <c r="AJ159" s="43">
        <f>LN('2.ΤΙΜΕΣ ΚΛΕΙΣΙΜΑΤΟΣ'!AJ160/'2.ΤΙΜΕΣ ΚΛΕΙΣΙΜΑΤΟΣ'!AJ159)</f>
        <v>1.6461277054071931E-2</v>
      </c>
      <c r="AK159" s="43">
        <f>LN('2.ΤΙΜΕΣ ΚΛΕΙΣΙΜΑΤΟΣ'!AK160/'2.ΤΙΜΕΣ ΚΛΕΙΣΙΜΑΤΟΣ'!AK159)</f>
        <v>4.9627893421290972E-3</v>
      </c>
      <c r="AL159" s="43">
        <f>LN('2.ΤΙΜΕΣ ΚΛΕΙΣΙΜΑΤΟΣ'!AL160/'2.ΤΙΜΕΣ ΚΛΕΙΣΙΜΑΤΟΣ'!AL159)</f>
        <v>5.3488684950986222E-2</v>
      </c>
      <c r="AM159" s="43">
        <f>LN('2.ΤΙΜΕΣ ΚΛΕΙΣΙΜΑΤΟΣ'!AM160/'2.ΤΙΜΕΣ ΚΛΕΙΣΙΜΑΤΟΣ'!AM159)</f>
        <v>1.879249934936732E-2</v>
      </c>
      <c r="AN159" s="43">
        <f>LN('2.ΤΙΜΕΣ ΚΛΕΙΣΙΜΑΤΟΣ'!AN160/'2.ΤΙΜΕΣ ΚΛΕΙΣΙΜΑΤΟΣ'!AN159)</f>
        <v>-7.6045993852193036E-3</v>
      </c>
      <c r="AO159" s="43">
        <f>LN('2.ΤΙΜΕΣ ΚΛΕΙΣΙΜΑΤΟΣ'!AO160/'2.ΤΙΜΕΣ ΚΛΕΙΣΙΜΑΤΟΣ'!AO159)</f>
        <v>2.6827242233144061E-2</v>
      </c>
      <c r="AP159" s="43">
        <f>LN('2.ΤΙΜΕΣ ΚΛΕΙΣΙΜΑΤΟΣ'!AP160/'2.ΤΙΜΕΣ ΚΛΕΙΣΙΜΑΤΟΣ'!AP159)</f>
        <v>2.7779564107075671E-2</v>
      </c>
      <c r="AQ159" s="43">
        <f>LN('2.ΤΙΜΕΣ ΚΛΕΙΣΙΜΑΤΟΣ'!AQ160/'2.ΤΙΜΕΣ ΚΛΕΙΣΙΜΑΤΟΣ'!AQ159)</f>
        <v>4.3557974339129939E-2</v>
      </c>
      <c r="AR159" s="43">
        <f>LN('2.ΤΙΜΕΣ ΚΛΕΙΣΙΜΑΤΟΣ'!AR160/'2.ΤΙΜΕΣ ΚΛΕΙΣΙΜΑΤΟΣ'!AR159)</f>
        <v>1.5915455305899582E-2</v>
      </c>
      <c r="AS159" s="43">
        <f>LN('2.ΤΙΜΕΣ ΚΛΕΙΣΙΜΑΤΟΣ'!AS160/'2.ΤΙΜΕΣ ΚΛΕΙΣΙΜΑΤΟΣ'!AS159)</f>
        <v>1.9048194970694411E-2</v>
      </c>
      <c r="AT159" s="43">
        <f>LN('2.ΤΙΜΕΣ ΚΛΕΙΣΙΜΑΤΟΣ'!AT160/'2.ΤΙΜΕΣ ΚΛΕΙΣΙΜΑΤΟΣ'!AT159)</f>
        <v>3.9905544173540433E-2</v>
      </c>
      <c r="AU159" s="43">
        <f>LN('2.ΤΙΜΕΣ ΚΛΕΙΣΙΜΑΤΟΣ'!AU160/'2.ΤΙΜΕΣ ΚΛΕΙΣΙΜΑΤΟΣ'!AU159)</f>
        <v>2.1480065054703405E-2</v>
      </c>
    </row>
    <row r="160" spans="1:47">
      <c r="A160" s="41">
        <v>43784</v>
      </c>
      <c r="B160" s="43">
        <f>LN('2.ΤΙΜΕΣ ΚΛΕΙΣΙΜΑΤΟΣ'!B161/'2.ΤΙΜΕΣ ΚΛΕΙΣΙΜΑΤΟΣ'!B160)</f>
        <v>-4.0436775903929467E-2</v>
      </c>
      <c r="C160" s="43">
        <f>LN('2.ΤΙΜΕΣ ΚΛΕΙΣΙΜΑΤΟΣ'!C161/'2.ΤΙΜΕΣ ΚΛΕΙΣΙΜΑΤΟΣ'!C160)</f>
        <v>-5.9657149339962775E-3</v>
      </c>
      <c r="D160" s="43">
        <f>LN('2.ΤΙΜΕΣ ΚΛΕΙΣΙΜΑΤΟΣ'!D161/'2.ΤΙΜΕΣ ΚΛΕΙΣΙΜΑΤΟΣ'!D160)</f>
        <v>4.6658802052063509E-3</v>
      </c>
      <c r="E160" s="43">
        <f>LN('2.ΤΙΜΕΣ ΚΛΕΙΣΙΜΑΤΟΣ'!E161/'2.ΤΙΜΕΣ ΚΛΕΙΣΙΜΑΤΟΣ'!E160)</f>
        <v>1.1917800864035103E-2</v>
      </c>
      <c r="F160" s="43">
        <f>LN('2.ΤΙΜΕΣ ΚΛΕΙΣΙΜΑΤΟΣ'!F161/'2.ΤΙΜΕΣ ΚΛΕΙΣΙΜΑΤΟΣ'!F160)</f>
        <v>4.6083030861941814E-3</v>
      </c>
      <c r="G160" s="43">
        <f>LN('2.ΤΙΜΕΣ ΚΛΕΙΣΙΜΑΤΟΣ'!G161/'2.ΤΙΜΕΣ ΚΛΕΙΣΙΜΑΤΟΣ'!G160)</f>
        <v>-9.3799541298153332E-3</v>
      </c>
      <c r="H160" s="43">
        <f>LN('2.ΤΙΜΕΣ ΚΛΕΙΣΙΜΑΤΟΣ'!H161/'2.ΤΙΜΕΣ ΚΛΕΙΣΙΜΑΤΟΣ'!H160)</f>
        <v>6.4427282221987117E-3</v>
      </c>
      <c r="I160" s="43">
        <f>LN('2.ΤΙΜΕΣ ΚΛΕΙΣΙΜΑΤΟΣ'!I161/'2.ΤΙΜΕΣ ΚΛΕΙΣΙΜΑΤΟΣ'!I160)</f>
        <v>-3.1217507141846441E-3</v>
      </c>
      <c r="J160" s="43">
        <f>LN('2.ΤΙΜΕΣ ΚΛΕΙΣΙΜΑΤΟΣ'!J161/'2.ΤΙΜΕΣ ΚΛΕΙΣΙΜΑΤΟΣ'!J160)</f>
        <v>-1.3158084577511199E-2</v>
      </c>
      <c r="K160" s="43">
        <f>LN('2.ΤΙΜΕΣ ΚΛΕΙΣΙΜΑΤΟΣ'!K161/'2.ΤΙΜΕΣ ΚΛΕΙΣΙΜΑΤΟΣ'!K160)</f>
        <v>6.5137781416851909E-3</v>
      </c>
      <c r="L160" s="43">
        <f>LN('2.ΤΙΜΕΣ ΚΛΕΙΣΙΜΑΤΟΣ'!L161/'2.ΤΙΜΕΣ ΚΛΕΙΣΙΜΑΤΟΣ'!L160)</f>
        <v>-8.6360709460539514E-3</v>
      </c>
      <c r="M160" s="43">
        <f>LN('2.ΤΙΜΕΣ ΚΛΕΙΣΙΜΑΤΟΣ'!M161/'2.ΤΙΜΕΣ ΚΛΕΙΣΙΜΑΤΟΣ'!M160)</f>
        <v>-2.1881846805527827E-3</v>
      </c>
      <c r="N160" s="43">
        <f>LN('2.ΤΙΜΕΣ ΚΛΕΙΣΙΜΑΤΟΣ'!N161/'2.ΤΙΜΕΣ ΚΛΕΙΣΙΜΑΤΟΣ'!N160)</f>
        <v>5.4306336904887623E-3</v>
      </c>
      <c r="O160" s="43">
        <f>LN('2.ΤΙΜΕΣ ΚΛΕΙΣΙΜΑΤΟΣ'!O161/'2.ΤΙΜΕΣ ΚΛΕΙΣΙΜΑΤΟΣ'!O160)</f>
        <v>-1.194440212515218E-2</v>
      </c>
      <c r="P160" s="43">
        <f>LN('2.ΤΙΜΕΣ ΚΛΕΙΣΙΜΑΤΟΣ'!P161/'2.ΤΙΜΕΣ ΚΛΕΙΣΙΜΑΤΟΣ'!P160)</f>
        <v>-1.4716706114562507E-3</v>
      </c>
      <c r="Q160" s="43">
        <f>LN('2.ΤΙΜΕΣ ΚΛΕΙΣΙΜΑΤΟΣ'!Q161/'2.ΤΙΜΕΣ ΚΛΕΙΣΙΜΑΤΟΣ'!Q160)</f>
        <v>-1.390290516899138E-2</v>
      </c>
      <c r="R160" s="43">
        <f>LN('2.ΤΙΜΕΣ ΚΛΕΙΣΙΜΑΤΟΣ'!R161/'2.ΤΙΜΕΣ ΚΛΕΙΣΙΜΑΤΟΣ'!R160)</f>
        <v>3.7735893836394877E-3</v>
      </c>
      <c r="S160" s="43">
        <f>LN('2.ΤΙΜΕΣ ΚΛΕΙΣΙΜΑΤΟΣ'!S161/'2.ΤΙΜΕΣ ΚΛΕΙΣΙΜΑΤΟΣ'!S160)</f>
        <v>0</v>
      </c>
      <c r="T160" s="43">
        <f>LN('2.ΤΙΜΕΣ ΚΛΕΙΣΙΜΑΤΟΣ'!T161/'2.ΤΙΜΕΣ ΚΛΕΙΣΙΜΑΤΟΣ'!T160)</f>
        <v>1.7415041601678071E-2</v>
      </c>
      <c r="U160" s="43">
        <f>LN('2.ΤΙΜΕΣ ΚΛΕΙΣΙΜΑΤΟΣ'!U161/'2.ΤΙΜΕΣ ΚΛΕΙΣΙΜΑΤΟΣ'!U160)</f>
        <v>1.135085966868948E-2</v>
      </c>
      <c r="V160" s="43">
        <f>LN('2.ΤΙΜΕΣ ΚΛΕΙΣΙΜΑΤΟΣ'!V161/'2.ΤΙΜΕΣ ΚΛΕΙΣΙΜΑΤΟΣ'!V160)</f>
        <v>0</v>
      </c>
      <c r="W160" s="43">
        <f>LN('2.ΤΙΜΕΣ ΚΛΕΙΣΙΜΑΤΟΣ'!W161/'2.ΤΙΜΕΣ ΚΛΕΙΣΙΜΑΤΟΣ'!W160)</f>
        <v>8.7336799687546315E-3</v>
      </c>
      <c r="X160" s="43">
        <f>LN('2.ΤΙΜΕΣ ΚΛΕΙΣΙΜΑΤΟΣ'!X161/'2.ΤΙΜΕΣ ΚΛΕΙΣΙΜΑΤΟΣ'!X160)</f>
        <v>0</v>
      </c>
      <c r="Y160" s="43">
        <f>LN('2.ΤΙΜΕΣ ΚΛΕΙΣΙΜΑΤΟΣ'!Y161/'2.ΤΙΜΕΣ ΚΛΕΙΣΙΜΑΤΟΣ'!Y160)</f>
        <v>-5.571045049455472E-3</v>
      </c>
      <c r="Z160" s="43">
        <f>LN('2.ΤΙΜΕΣ ΚΛΕΙΣΙΜΑΤΟΣ'!Z161/'2.ΤΙΜΕΣ ΚΛΕΙΣΙΜΑΤΟΣ'!Z160)</f>
        <v>-7.4349784875180902E-3</v>
      </c>
      <c r="AA160" s="43">
        <f>LN('2.ΤΙΜΕΣ ΚΛΕΙΣΙΜΑΤΟΣ'!AA161/'2.ΤΙΜΕΣ ΚΛΕΙΣΙΜΑΤΟΣ'!AA160)</f>
        <v>2.9112102074583131E-3</v>
      </c>
      <c r="AB160" s="43">
        <f>LN('2.ΤΙΜΕΣ ΚΛΕΙΣΙΜΑΤΟΣ'!AB161/'2.ΤΙΜΕΣ ΚΛΕΙΣΙΜΑΤΟΣ'!AB160)</f>
        <v>-5.4794657646255957E-3</v>
      </c>
      <c r="AC160" s="43">
        <f>LN('2.ΤΙΜΕΣ ΚΛΕΙΣΙΜΑΤΟΣ'!AC161/'2.ΤΙΜΕΣ ΚΛΕΙΣΙΜΑΤΟΣ'!AC160)</f>
        <v>4.2105325363434578E-3</v>
      </c>
      <c r="AD160" s="43">
        <f>LN('2.ΤΙΜΕΣ ΚΛΕΙΣΙΜΑΤΟΣ'!AD161/'2.ΤΙΜΕΣ ΚΛΕΙΣΙΜΑΤΟΣ'!AD160)</f>
        <v>2.9542118974313827E-3</v>
      </c>
      <c r="AE160" s="43">
        <f>LN('2.ΤΙΜΕΣ ΚΛΕΙΣΙΜΑΤΟΣ'!AE161/'2.ΤΙΜΕΣ ΚΛΕΙΣΙΜΑΤΟΣ'!AE160)</f>
        <v>-7.6628727455691371E-3</v>
      </c>
      <c r="AF160" s="43">
        <f>LN('2.ΤΙΜΕΣ ΚΛΕΙΣΙΜΑΤΟΣ'!AF161/'2.ΤΙΜΕΣ ΚΛΕΙΣΙΜΑΤΟΣ'!AF160)</f>
        <v>4.5454623716746382E-3</v>
      </c>
      <c r="AG160" s="43">
        <f>LN('2.ΤΙΜΕΣ ΚΛΕΙΣΙΜΑΤΟΣ'!AG161/'2.ΤΙΜΕΣ ΚΛΕΙΣΙΜΑΤΟΣ'!AG160)</f>
        <v>-2.2346378014163771E-3</v>
      </c>
      <c r="AH160" s="43">
        <f>LN('2.ΤΙΜΕΣ ΚΛΕΙΣΙΜΑΤΟΣ'!AH161/'2.ΤΙΜΕΣ ΚΛΕΙΣΙΜΑΤΟΣ'!AH160)</f>
        <v>-1.9249284095843938E-3</v>
      </c>
      <c r="AI160" s="43">
        <f>LN('2.ΤΙΜΕΣ ΚΛΕΙΣΙΜΑΤΟΣ'!AI161/'2.ΤΙΜΕΣ ΚΛΕΙΣΙΜΑΤΟΣ'!AI160)</f>
        <v>0</v>
      </c>
      <c r="AJ160" s="43">
        <f>LN('2.ΤΙΜΕΣ ΚΛΕΙΣΙΜΑΤΟΣ'!AJ161/'2.ΤΙΜΕΣ ΚΛΕΙΣΙΜΑΤΟΣ'!AJ160)</f>
        <v>-2.4794658613216392E-2</v>
      </c>
      <c r="AK160" s="43">
        <f>LN('2.ΤΙΜΕΣ ΚΛΕΙΣΙΜΑΤΟΣ'!AK161/'2.ΤΙΜΕΣ ΚΛΕΙΣΙΜΑΤΟΣ'!AK160)</f>
        <v>-1.7478597273959673E-2</v>
      </c>
      <c r="AL160" s="43">
        <f>LN('2.ΤΙΜΕΣ ΚΛΕΙΣΙΜΑΤΟΣ'!AL161/'2.ΤΙΜΕΣ ΚΛΕΙΣΙΜΑΤΟΣ'!AL160)</f>
        <v>1.0362787035546658E-2</v>
      </c>
      <c r="AM160" s="43">
        <f>LN('2.ΤΙΜΕΣ ΚΛΕΙΣΙΜΑΤΟΣ'!AM161/'2.ΤΙΜΕΣ ΚΛΕΙΣΙΜΑΤΟΣ'!AM160)</f>
        <v>0</v>
      </c>
      <c r="AN160" s="43">
        <f>LN('2.ΤΙΜΕΣ ΚΛΕΙΣΙΜΑΤΟΣ'!AN161/'2.ΤΙΜΕΣ ΚΛΕΙΣΙΜΑΤΟΣ'!AN160)</f>
        <v>1.906578270581669E-3</v>
      </c>
      <c r="AO160" s="43">
        <f>LN('2.ΤΙΜΕΣ ΚΛΕΙΣΙΜΑΤΟΣ'!AO161/'2.ΤΙΜΕΣ ΚΛΕΙΣΙΜΑΤΟΣ'!AO160)</f>
        <v>0</v>
      </c>
      <c r="AP160" s="43">
        <f>LN('2.ΤΙΜΕΣ ΚΛΕΙΣΙΜΑΤΟΣ'!AP161/'2.ΤΙΜΕΣ ΚΛΕΙΣΙΜΑΤΟΣ'!AP160)</f>
        <v>1.0899290458035638E-2</v>
      </c>
      <c r="AQ160" s="43">
        <f>LN('2.ΤΙΜΕΣ ΚΛΕΙΣΙΜΑΤΟΣ'!AQ161/'2.ΤΙΜΕΣ ΚΛΕΙΣΙΜΑΤΟΣ'!AQ160)</f>
        <v>-1.9868203216725173E-2</v>
      </c>
      <c r="AR160" s="43">
        <f>LN('2.ΤΙΜΕΣ ΚΛΕΙΣΙΜΑΤΟΣ'!AR161/'2.ΤΙΜΕΣ ΚΛΕΙΣΙΜΑΤΟΣ'!AR160)</f>
        <v>-1.4134510934904806E-2</v>
      </c>
      <c r="AS160" s="43">
        <f>LN('2.ΤΙΜΕΣ ΚΛΕΙΣΙΜΑΤΟΣ'!AS161/'2.ΤΙΜΕΣ ΚΛΕΙΣΙΜΑΤΟΣ'!AS160)</f>
        <v>-1.356872920606879E-2</v>
      </c>
      <c r="AT160" s="43">
        <f>LN('2.ΤΙΜΕΣ ΚΛΕΙΣΙΜΑΤΟΣ'!AT161/'2.ΤΙΜΕΣ ΚΛΕΙΣΙΜΑΤΟΣ'!AT160)</f>
        <v>-2.2250608934819692E-2</v>
      </c>
      <c r="AU160" s="43">
        <f>LN('2.ΤΙΜΕΣ ΚΛΕΙΣΙΜΑΤΟΣ'!AU161/'2.ΤΙΜΕΣ ΚΛΕΙΣΙΜΑΤΟΣ'!AU160)</f>
        <v>-5.182876599562714E-3</v>
      </c>
    </row>
    <row r="161" spans="1:47">
      <c r="A161" s="41">
        <v>43787</v>
      </c>
      <c r="B161" s="43">
        <f>LN('2.ΤΙΜΕΣ ΚΛΕΙΣΙΜΑΤΟΣ'!B162/'2.ΤΙΜΕΣ ΚΛΕΙΣΙΜΑΤΟΣ'!B161)</f>
        <v>-1.3850636933898937E-2</v>
      </c>
      <c r="C161" s="43">
        <f>LN('2.ΤΙΜΕΣ ΚΛΕΙΣΙΜΑΤΟΣ'!C162/'2.ΤΙΜΕΣ ΚΛΕΙΣΙΜΑΤΟΣ'!C161)</f>
        <v>0</v>
      </c>
      <c r="D161" s="43">
        <f>LN('2.ΤΙΜΕΣ ΚΛΕΙΣΙΜΑΤΟΣ'!D162/'2.ΤΙΜΕΣ ΚΛΕΙΣΙΜΑΤΟΣ'!D161)</f>
        <v>1.1314665041065783E-2</v>
      </c>
      <c r="E161" s="43">
        <f>LN('2.ΤΙΜΕΣ ΚΛΕΙΣΙΜΑΤΟΣ'!E162/'2.ΤΙΜΕΣ ΚΛΕΙΣΙΜΑΤΟΣ'!E161)</f>
        <v>1.6142053545412009E-3</v>
      </c>
      <c r="F161" s="43">
        <f>LN('2.ΤΙΜΕΣ ΚΛΕΙΣΙΜΑΤΟΣ'!F162/'2.ΤΙΜΕΣ ΚΛΕΙΣΙΜΑΤΟΣ'!F161)</f>
        <v>-5.7637047167499065E-3</v>
      </c>
      <c r="G161" s="43">
        <f>LN('2.ΤΙΜΕΣ ΚΛΕΙΣΙΜΑΤΟΣ'!G162/'2.ΤΙΜΕΣ ΚΛΕΙΣΙΜΑΤΟΣ'!G161)</f>
        <v>1.6615127810594595E-2</v>
      </c>
      <c r="H161" s="43">
        <f>LN('2.ΤΙΜΕΣ ΚΛΕΙΣΙΜΑΤΟΣ'!H162/'2.ΤΙΜΕΣ ΚΛΕΙΣΙΜΑΤΟΣ'!H161)</f>
        <v>-5.5197932235979217E-3</v>
      </c>
      <c r="I161" s="43">
        <f>LN('2.ΤΙΜΕΣ ΚΛΕΙΣΙΜΑΤΟΣ'!I162/'2.ΤΙΜΕΣ ΚΛΕΙΣΙΜΑΤΟΣ'!I161)</f>
        <v>5.2096901412719305E-4</v>
      </c>
      <c r="J161" s="43">
        <f>LN('2.ΤΙΜΕΣ ΚΛΕΙΣΙΜΑΤΟΣ'!J162/'2.ΤΙΜΕΣ ΚΛΕΙΣΙΜΑΤΟΣ'!J161)</f>
        <v>1.0540282035432268E-2</v>
      </c>
      <c r="K161" s="43">
        <f>LN('2.ΤΙΜΕΣ ΚΛΕΙΣΙΜΑΤΟΣ'!K162/'2.ΤΙΜΕΣ ΚΛΕΙΣΙΜΑΤΟΣ'!K161)</f>
        <v>-6.5137781416852308E-3</v>
      </c>
      <c r="L161" s="43">
        <f>LN('2.ΤΙΜΕΣ ΚΛΕΙΣΙΜΑΤΟΣ'!L162/'2.ΤΙΜΕΣ ΚΛΕΙΣΙΜΑΤΟΣ'!L161)</f>
        <v>8.1301260832503091E-3</v>
      </c>
      <c r="M161" s="43">
        <f>LN('2.ΤΙΜΕΣ ΚΛΕΙΣΙΜΑΤΟΣ'!M162/'2.ΤΙΜΕΣ ΚΛΕΙΣΙΜΑΤΟΣ'!M161)</f>
        <v>7.63778944811732E-3</v>
      </c>
      <c r="N161" s="43">
        <f>LN('2.ΤΙΜΕΣ ΚΛΕΙΣΙΜΑΤΟΣ'!N162/'2.ΤΙΜΕΣ ΚΛΕΙΣΙΜΑΤΟΣ'!N161)</f>
        <v>0</v>
      </c>
      <c r="O161" s="43">
        <f>LN('2.ΤΙΜΕΣ ΚΛΕΙΣΙΜΑΤΟΣ'!O162/'2.ΤΙΜΕΣ ΚΛΕΙΣΙΜΑΤΟΣ'!O161)</f>
        <v>-5.3547651376599156E-3</v>
      </c>
      <c r="P161" s="43">
        <f>LN('2.ΤΙΜΕΣ ΚΛΕΙΣΙΜΑΤΟΣ'!P162/'2.ΤΙΜΕΣ ΚΛΕΙΣΙΜΑΤΟΣ'!P161)</f>
        <v>1.0256500167189061E-2</v>
      </c>
      <c r="Q161" s="43">
        <f>LN('2.ΤΙΜΕΣ ΚΛΕΙΣΙΜΑΤΟΣ'!Q162/'2.ΤΙΜΕΣ ΚΛΕΙΣΙΜΑΤΟΣ'!Q161)</f>
        <v>3.3434776086237419E-2</v>
      </c>
      <c r="R161" s="43">
        <f>LN('2.ΤΙΜΕΣ ΚΛΕΙΣΙΜΑΤΟΣ'!R162/'2.ΤΙΜΕΣ ΚΛΕΙΣΙΜΑΤΟΣ'!R161)</f>
        <v>-1.3906671654427402E-2</v>
      </c>
      <c r="S161" s="43">
        <f>LN('2.ΤΙΜΕΣ ΚΛΕΙΣΙΜΑΤΟΣ'!S162/'2.ΤΙΜΕΣ ΚΛΕΙΣΙΜΑΤΟΣ'!S161)</f>
        <v>8.5003547653925253E-3</v>
      </c>
      <c r="T161" s="43">
        <f>LN('2.ΤΙΜΕΣ ΚΛΕΙΣΙΜΑΤΟΣ'!T162/'2.ΤΙΜΕΣ ΚΛΕΙΣΙΜΑΤΟΣ'!T161)</f>
        <v>1.3271402080624938E-3</v>
      </c>
      <c r="U161" s="43">
        <f>LN('2.ΤΙΜΕΣ ΚΛΕΙΣΙΜΑΤΟΣ'!U162/'2.ΤΙΜΕΣ ΚΛΕΙΣΙΜΑΤΟΣ'!U161)</f>
        <v>-1.5927526696101191E-2</v>
      </c>
      <c r="V161" s="43">
        <f>LN('2.ΤΙΜΕΣ ΚΛΕΙΣΙΜΑΤΟΣ'!V162/'2.ΤΙΜΕΣ ΚΛΕΙΣΙΜΑΤΟΣ'!V161)</f>
        <v>-1.0905233482262468E-2</v>
      </c>
      <c r="W161" s="43">
        <f>LN('2.ΤΙΜΕΣ ΚΛΕΙΣΙΜΑΤΟΣ'!W162/'2.ΤΙΜΕΣ ΚΛΕΙΣΙΜΑΤΟΣ'!W161)</f>
        <v>8.6580627431143108E-3</v>
      </c>
      <c r="X161" s="43">
        <f>LN('2.ΤΙΜΕΣ ΚΛΕΙΣΙΜΑΤΟΣ'!X162/'2.ΤΙΜΕΣ ΚΛΕΙΣΙΜΑΤΟΣ'!X161)</f>
        <v>2.8756310254618041E-3</v>
      </c>
      <c r="Y161" s="43">
        <f>LN('2.ΤΙΜΕΣ ΚΛΕΙΣΙΜΑΤΟΣ'!Y162/'2.ΤΙΜΕΣ ΚΛΕΙΣΙΜΑΤΟΣ'!Y161)</f>
        <v>1.2215587768124111E-2</v>
      </c>
      <c r="Z161" s="43">
        <f>LN('2.ΤΙΜΕΣ ΚΛΕΙΣΙΜΑΤΟΣ'!Z162/'2.ΤΙΜΕΣ ΚΛΕΙΣΙΜΑΤΟΣ'!Z161)</f>
        <v>0</v>
      </c>
      <c r="AA161" s="43">
        <f>LN('2.ΤΙΜΕΣ ΚΛΕΙΣΙΜΑΤΟΣ'!AA162/'2.ΤΙΜΕΣ ΚΛΕΙΣΙΜΑΤΟΣ'!AA161)</f>
        <v>3.709412440624079E-2</v>
      </c>
      <c r="AB161" s="43">
        <f>LN('2.ΤΙΜΕΣ ΚΛΕΙΣΙΜΑΤΟΣ'!AB162/'2.ΤΙΜΕΣ ΚΛΕΙΣΙΜΑΤΟΣ'!AB161)</f>
        <v>1.6349138001529411E-2</v>
      </c>
      <c r="AC161" s="43">
        <f>LN('2.ΤΙΜΕΣ ΚΛΕΙΣΙΜΑΤΟΣ'!AC162/'2.ΤΙΜΕΣ ΚΛΕΙΣΙΜΑΤΟΣ'!AC161)</f>
        <v>1.3908430046131931E-2</v>
      </c>
      <c r="AD161" s="43">
        <f>LN('2.ΤΙΜΕΣ ΚΛΕΙΣΙΜΑΤΟΣ'!AD162/'2.ΤΙΜΕΣ ΚΛΕΙΣΙΜΑΤΟΣ'!AD161)</f>
        <v>1.4738396183005232E-3</v>
      </c>
      <c r="AE161" s="43">
        <f>LN('2.ΤΙΜΕΣ ΚΛΕΙΣΙΜΑΤΟΣ'!AE162/'2.ΤΙΜΕΣ ΚΛΕΙΣΙΜΑΤΟΣ'!AE161)</f>
        <v>3.8387763071656669E-3</v>
      </c>
      <c r="AF161" s="43">
        <f>LN('2.ΤΙΜΕΣ ΚΛΕΙΣΙΜΑΤΟΣ'!AF162/'2.ΤΙΜΕΣ ΚΛΕΙΣΙΜΑΤΟΣ'!AF161)</f>
        <v>-9.1116803512558894E-3</v>
      </c>
      <c r="AG161" s="43">
        <f>LN('2.ΤΙΜΕΣ ΚΛΕΙΣΙΜΑΤΟΣ'!AG162/'2.ΤΙΜΕΣ ΚΛΕΙΣΙΜΑΤΟΣ'!AG161)</f>
        <v>-4.4843124473285759E-3</v>
      </c>
      <c r="AH161" s="43">
        <f>LN('2.ΤΙΜΕΣ ΚΛΕΙΣΙΜΑΤΟΣ'!AH162/'2.ΤΙΜΕΣ ΚΛΕΙΣΙΜΑΤΟΣ'!AH161)</f>
        <v>1.924928409584418E-3</v>
      </c>
      <c r="AI161" s="43">
        <f>LN('2.ΤΙΜΕΣ ΚΛΕΙΣΙΜΑΤΟΣ'!AI162/'2.ΤΙΜΕΣ ΚΛΕΙΣΙΜΑΤΟΣ'!AI161)</f>
        <v>0</v>
      </c>
      <c r="AJ161" s="43">
        <f>LN('2.ΤΙΜΕΣ ΚΛΕΙΣΙΜΑΤΟΣ'!AJ162/'2.ΤΙΜΕΣ ΚΛΕΙΣΙΜΑΤΟΣ'!AJ161)</f>
        <v>-2.1142436573809351E-2</v>
      </c>
      <c r="AK161" s="43">
        <f>LN('2.ΤΙΜΕΣ ΚΛΕΙΣΙΜΑΤΟΣ'!AK162/'2.ΤΙΜΕΣ ΚΛΕΙΣΙΜΑΤΟΣ'!AK161)</f>
        <v>3.2220879011162995E-2</v>
      </c>
      <c r="AL161" s="43">
        <f>LN('2.ΤΙΜΕΣ ΚΛΕΙΣΙΜΑΤΟΣ'!AL162/'2.ΤΙΜΕΣ ΚΛΕΙΣΙΜΑΤΟΣ'!AL161)</f>
        <v>4.0409538337876701E-2</v>
      </c>
      <c r="AM161" s="43">
        <f>LN('2.ΤΙΜΕΣ ΚΛΕΙΣΙΜΑΤΟΣ'!AM162/'2.ΤΙΜΕΣ ΚΛΕΙΣΙΜΑΤΟΣ'!AM161)</f>
        <v>-3.7944931564123367E-2</v>
      </c>
      <c r="AN161" s="43">
        <f>LN('2.ΤΙΜΕΣ ΚΛΕΙΣΙΜΑΤΟΣ'!AN162/'2.ΤΙΜΕΣ ΚΛΕΙΣΙΜΑΤΟΣ'!AN161)</f>
        <v>-3.8167985267008537E-3</v>
      </c>
      <c r="AO161" s="43">
        <f>LN('2.ΤΙΜΕΣ ΚΛΕΙΣΙΜΑΤΟΣ'!AO162/'2.ΤΙΜΕΣ ΚΛΕΙΣΙΜΑΤΟΣ'!AO161)</f>
        <v>-5.8997221271882708E-3</v>
      </c>
      <c r="AP161" s="43">
        <f>LN('2.ΤΙΜΕΣ ΚΛΕΙΣΙΜΑΤΟΣ'!AP162/'2.ΤΙΜΕΣ ΚΛΕΙΣΙΜΑΤΟΣ'!AP161)</f>
        <v>-5.8594164266052823E-2</v>
      </c>
      <c r="AQ161" s="43">
        <f>LN('2.ΤΙΜΕΣ ΚΛΕΙΣΙΜΑΤΟΣ'!AQ162/'2.ΤΙΜΕΣ ΚΛΕΙΣΙΜΑΤΟΣ'!AQ161)</f>
        <v>-1.4598799421152749E-2</v>
      </c>
      <c r="AR161" s="43">
        <f>LN('2.ΤΙΜΕΣ ΚΛΕΙΣΙΜΑΤΟΣ'!AR162/'2.ΤΙΜΕΣ ΚΛΕΙΣΙΜΑΤΟΣ'!AR161)</f>
        <v>-3.5650661644962569E-3</v>
      </c>
      <c r="AS161" s="43">
        <f>LN('2.ΤΙΜΕΣ ΚΛΕΙΣΙΜΑΤΟΣ'!AS162/'2.ΤΙΜΕΣ ΚΛΕΙΣΙΜΑΤΟΣ'!AS161)</f>
        <v>-1.0989121575595206E-2</v>
      </c>
      <c r="AT161" s="43">
        <f>LN('2.ΤΙΜΕΣ ΚΛΕΙΣΙΜΑΤΟΣ'!AT162/'2.ΤΙΜΕΣ ΚΛΕΙΣΙΜΑΤΟΣ'!AT161)</f>
        <v>0</v>
      </c>
      <c r="AU161" s="43">
        <f>LN('2.ΤΙΜΕΣ ΚΛΕΙΣΙΜΑΤΟΣ'!AU162/'2.ΤΙΜΕΣ ΚΛΕΙΣΙΜΑΤΟΣ'!AU161)</f>
        <v>3.4394715700123649E-3</v>
      </c>
    </row>
    <row r="162" spans="1:47">
      <c r="A162" s="41">
        <v>43788</v>
      </c>
      <c r="B162" s="43">
        <f>LN('2.ΤΙΜΕΣ ΚΛΕΙΣΙΜΑΤΟΣ'!B163/'2.ΤΙΜΕΣ ΚΛΕΙΣΙΜΑΤΟΣ'!B162)</f>
        <v>-6.6468672216026875E-3</v>
      </c>
      <c r="C162" s="43">
        <f>LN('2.ΤΙΜΕΣ ΚΛΕΙΣΙΜΑΤΟΣ'!C163/'2.ΤΙΜΕΣ ΚΛΕΙΣΙΜΑΤΟΣ'!C162)</f>
        <v>9.6762943305319891E-3</v>
      </c>
      <c r="D162" s="43">
        <f>LN('2.ΤΙΜΕΣ ΚΛΕΙΣΙΜΑΤΟΣ'!D163/'2.ΤΙΜΕΣ ΚΛΕΙΣΙΜΑΤΟΣ'!D162)</f>
        <v>3.0637278866491586E-3</v>
      </c>
      <c r="E162" s="43">
        <f>LN('2.ΤΙΜΕΣ ΚΛΕΙΣΙΜΑΤΟΣ'!E163/'2.ΤΙΜΕΣ ΚΛΕΙΣΙΜΑΤΟΣ'!E162)</f>
        <v>-1.0758473334632364E-3</v>
      </c>
      <c r="F162" s="43">
        <f>LN('2.ΤΙΜΕΣ ΚΛΕΙΣΙΜΑΤΟΣ'!F163/'2.ΤΙΜΕΣ ΚΛΕΙΣΙΜΑΤΟΣ'!F162)</f>
        <v>-4.63500250414863E-3</v>
      </c>
      <c r="G162" s="43">
        <f>LN('2.ΤΙΜΕΣ ΚΛΕΙΣΙΜΑΤΟΣ'!G163/'2.ΤΙΜΕΣ ΚΛΕΙΣΙΜΑΤΟΣ'!G162)</f>
        <v>1.4315172880764048E-2</v>
      </c>
      <c r="H162" s="43">
        <f>LN('2.ΤΙΜΕΣ ΚΛΕΙΣΙΜΑΤΟΣ'!H163/'2.ΤΙΜΕΣ ΚΛΕΙΣΙΜΑΤΟΣ'!H162)</f>
        <v>7.3529743052587332E-3</v>
      </c>
      <c r="I162" s="43">
        <f>LN('2.ΤΙΜΕΣ ΚΛΕΙΣΙΜΑΤΟΣ'!I163/'2.ΤΙΜΕΣ ΚΛΕΙΣΙΜΑΤΟΣ'!I162)</f>
        <v>-7.3183808076798399E-3</v>
      </c>
      <c r="J162" s="43">
        <f>LN('2.ΤΙΜΕΣ ΚΛΕΙΣΙΜΑΤΟΣ'!J163/'2.ΤΙΜΕΣ ΚΛΕΙΣΙΜΑΤΟΣ'!J162)</f>
        <v>2.5235891129851296E-2</v>
      </c>
      <c r="K162" s="43">
        <f>LN('2.ΤΙΜΕΣ ΚΛΕΙΣΙΜΑΤΟΣ'!K163/'2.ΤΙΜΕΣ ΚΛΕΙΣΙΜΑΤΟΣ'!K162)</f>
        <v>1.8187329642944991E-2</v>
      </c>
      <c r="L162" s="43">
        <f>LN('2.ΤΙΜΕΣ ΚΛΕΙΣΙΜΑΤΟΣ'!L163/'2.ΤΙΜΕΣ ΚΛΕΙΣΙΜΑΤΟΣ'!L162)</f>
        <v>3.0318365821201758E-3</v>
      </c>
      <c r="M162" s="43">
        <f>LN('2.ΤΙΜΕΣ ΚΛΕΙΣΙΜΑΤΟΣ'!M163/'2.ΤΙΜΕΣ ΚΛΕΙΣΙΜΑΤΟΣ'!M162)</f>
        <v>8.6580627431145311E-3</v>
      </c>
      <c r="N162" s="43">
        <f>LN('2.ΤΙΜΕΣ ΚΛΕΙΣΙΜΑΤΟΣ'!N163/'2.ΤΙΜΕΣ ΚΛΕΙΣΙΜΑΤΟΣ'!N162)</f>
        <v>2.7735422023148965E-3</v>
      </c>
      <c r="O162" s="43">
        <f>LN('2.ΤΙΜΕΣ ΚΛΕΙΣΙΜΑΤΟΣ'!O163/'2.ΤΙΜΕΣ ΚΛΕΙΣΙΜΑΤΟΣ'!O162)</f>
        <v>-6.7340321813440683E-3</v>
      </c>
      <c r="P162" s="43">
        <f>LN('2.ΤΙΜΕΣ ΚΛΕΙΣΙΜΑΤΟΣ'!P163/'2.ΤΙΜΕΣ ΚΛΕΙΣΙΜΑΤΟΣ'!P162)</f>
        <v>4.3636432877732717E-3</v>
      </c>
      <c r="Q162" s="43">
        <f>LN('2.ΤΙΜΕΣ ΚΛΕΙΣΙΜΑΤΟΣ'!Q163/'2.ΤΙΜΕΣ ΚΛΕΙΣΙΜΑΤΟΣ'!Q162)</f>
        <v>2.3575478630542331E-2</v>
      </c>
      <c r="R162" s="43">
        <f>LN('2.ΤΙΜΕΣ ΚΛΕΙΣΙΜΑΤΟΣ'!R163/'2.ΤΙΜΕΣ ΚΛΕΙΣΙΜΑΤΟΣ'!R162)</f>
        <v>1.5161376963323885E-2</v>
      </c>
      <c r="S162" s="43">
        <f>LN('2.ΤΙΜΕΣ ΚΛΕΙΣΙΜΑΤΟΣ'!S163/'2.ΤΙΜΕΣ ΚΛΕΙΣΙΜΑΤΟΣ'!S162)</f>
        <v>1.5597196813667988E-2</v>
      </c>
      <c r="T162" s="43">
        <f>LN('2.ΤΙΜΕΣ ΚΛΕΙΣΙΜΑΤΟΣ'!T163/'2.ΤΙΜΕΣ ΚΛΕΙΣΙΜΑΤΟΣ'!T162)</f>
        <v>-1.2008149628396496E-2</v>
      </c>
      <c r="U162" s="43">
        <f>LN('2.ΤΙΜΕΣ ΚΛΕΙΣΙΜΑΤΟΣ'!U163/'2.ΤΙΜΕΣ ΚΛΕΙΣΙΜΑΤΟΣ'!U162)</f>
        <v>1.3667638728663615E-2</v>
      </c>
      <c r="V162" s="43">
        <f>LN('2.ΤΙΜΕΣ ΚΛΕΙΣΙΜΑΤΟΣ'!V163/'2.ΤΙΜΕΣ ΚΛΕΙΣΙΜΑΤΟΣ'!V162)</f>
        <v>6.5574005461590396E-3</v>
      </c>
      <c r="W162" s="43">
        <f>LN('2.ΤΙΜΕΣ ΚΛΕΙΣΙΜΑΤΟΣ'!W163/'2.ΤΙΜΕΣ ΚΛΕΙΣΙΜΑΤΟΣ'!W162)</f>
        <v>9.8040000966208348E-3</v>
      </c>
      <c r="X162" s="43">
        <f>LN('2.ΤΙΜΕΣ ΚΛΕΙΣΙΜΑΤΟΣ'!X163/'2.ΤΙΜΕΣ ΚΛΕΙΣΙΜΑΤΟΣ'!X162)</f>
        <v>1.3972283195016115E-2</v>
      </c>
      <c r="Y162" s="43">
        <f>LN('2.ΤΙΜΕΣ ΚΛΕΙΣΙΜΑΤΟΣ'!Y163/'2.ΤΙΜΕΣ ΚΛΕΙΣΙΜΑΤΟΣ'!Y162)</f>
        <v>8.7912654111707237E-3</v>
      </c>
      <c r="Z162" s="43">
        <f>LN('2.ΤΙΜΕΣ ΚΛΕΙΣΙΜΑΤΟΣ'!Z163/'2.ΤΙΜΕΣ ΚΛΕΙΣΙΜΑΤΟΣ'!Z162)</f>
        <v>0</v>
      </c>
      <c r="AA162" s="43">
        <f>LN('2.ΤΙΜΕΣ ΚΛΕΙΣΙΜΑΤΟΣ'!AA163/'2.ΤΙΜΕΣ ΚΛΕΙΣΙΜΑΤΟΣ'!AA162)</f>
        <v>2.7972046210612191E-3</v>
      </c>
      <c r="AB162" s="43">
        <f>LN('2.ΤΙΜΕΣ ΚΛΕΙΣΙΜΑΤΟΣ'!AB163/'2.ΤΙΜΕΣ ΚΛΕΙΣΙΜΑΤΟΣ'!AB162)</f>
        <v>-5.4200674693392556E-3</v>
      </c>
      <c r="AC162" s="43">
        <f>LN('2.ΤΙΜΕΣ ΚΛΕΙΣΙΜΑΤΟΣ'!AC163/'2.ΤΙΜΕΣ ΚΛΕΙΣΙΜΑΤΟΣ'!AC162)</f>
        <v>0</v>
      </c>
      <c r="AD162" s="43">
        <f>LN('2.ΤΙΜΕΣ ΚΛΕΙΣΙΜΑΤΟΣ'!AD163/'2.ΤΙΜΕΣ ΚΛΕΙΣΙΜΑΤΟΣ'!AD162)</f>
        <v>1.4716706114562507E-3</v>
      </c>
      <c r="AE162" s="43">
        <f>LN('2.ΤΙΜΕΣ ΚΛΕΙΣΙΜΑΤΟΣ'!AE163/'2.ΤΙΜΕΣ ΚΛΕΙΣΙΜΑΤΟΣ'!AE162)</f>
        <v>1.142869582362285E-2</v>
      </c>
      <c r="AF162" s="43">
        <f>LN('2.ΤΙΜΕΣ ΚΛΕΙΣΙΜΑΤΟΣ'!AF163/'2.ΤΙΜΕΣ ΚΛΕΙΣΙΜΑΤΟΣ'!AF162)</f>
        <v>-3.438398803032709E-3</v>
      </c>
      <c r="AG162" s="43">
        <f>LN('2.ΤΙΜΕΣ ΚΛΕΙΣΙΜΑΤΟΣ'!AG163/'2.ΤΙΜΕΣ ΚΛΕΙΣΙΜΑΤΟΣ'!AG162)</f>
        <v>-2.0432038817205966E-2</v>
      </c>
      <c r="AH162" s="43">
        <f>LN('2.ΤΙΜΕΣ ΚΛΕΙΣΙΜΑΤΟΣ'!AH163/'2.ΤΙΜΕΣ ΚΛΕΙΣΙΜΑΤΟΣ'!AH162)</f>
        <v>3.8387763071656669E-3</v>
      </c>
      <c r="AI162" s="43">
        <f>LN('2.ΤΙΜΕΣ ΚΛΕΙΣΙΜΑΤΟΣ'!AI163/'2.ΤΙΜΕΣ ΚΛΕΙΣΙΜΑΤΟΣ'!AI162)</f>
        <v>7.38010729762246E-3</v>
      </c>
      <c r="AJ162" s="43">
        <f>LN('2.ΤΙΜΕΣ ΚΛΕΙΣΙΜΑΤΟΣ'!AJ163/'2.ΤΙΜΕΣ ΚΛΕΙΣΙΜΑΤΟΣ'!AJ162)</f>
        <v>2.5317807984290001E-2</v>
      </c>
      <c r="AK162" s="43">
        <f>LN('2.ΤΙΜΕΣ ΚΛΕΙΣΙΜΑΤΟΣ'!AK163/'2.ΤΙΜΕΣ ΚΛΕΙΣΙΜΑΤΟΣ'!AK162)</f>
        <v>0</v>
      </c>
      <c r="AL162" s="43">
        <f>LN('2.ΤΙΜΕΣ ΚΛΕΙΣΙΜΑΤΟΣ'!AL163/'2.ΤΙΜΕΣ ΚΛΕΙΣΙΜΑΤΟΣ'!AL162)</f>
        <v>-9.950330853168092E-3</v>
      </c>
      <c r="AM162" s="43">
        <f>LN('2.ΤΙΜΕΣ ΚΛΕΙΣΙΜΑΤΟΣ'!AM163/'2.ΤΙΜΕΣ ΚΛΕΙΣΙΜΑΤΟΣ'!AM162)</f>
        <v>8.2531417567204817E-3</v>
      </c>
      <c r="AN162" s="43">
        <f>LN('2.ΤΙΜΕΣ ΚΛΕΙΣΙΜΑΤΟΣ'!AN163/'2.ΤΙΜΕΣ ΚΛΕΙΣΙΜΑΤΟΣ'!AN162)</f>
        <v>-1.7358198609757864E-2</v>
      </c>
      <c r="AO162" s="43">
        <f>LN('2.ΤΙΜΕΣ ΚΛΕΙΣΙΜΑΤΟΣ'!AO163/'2.ΤΙΜΕΣ ΚΛΕΙΣΙΜΑΤΟΣ'!AO162)</f>
        <v>2.9542118974316043E-3</v>
      </c>
      <c r="AP162" s="43">
        <f>LN('2.ΤΙΜΕΣ ΚΛΕΙΣΙΜΑΤΟΣ'!AP163/'2.ΤΙΜΕΣ ΚΛΕΙΣΙΜΑΤΟΣ'!AP162)</f>
        <v>2.2728251077556091E-2</v>
      </c>
      <c r="AQ162" s="43">
        <f>LN('2.ΤΙΜΕΣ ΚΛΕΙΣΙΜΑΤΟΣ'!AQ163/'2.ΤΙΜΕΣ ΚΛΕΙΣΙΜΑΤΟΣ'!AQ162)</f>
        <v>-4.5351551653912622E-3</v>
      </c>
      <c r="AR162" s="43">
        <f>LN('2.ΤΙΜΕΣ ΚΛΕΙΣΙΜΑΤΟΣ'!AR163/'2.ΤΙΜΕΣ ΚΛΕΙΣΙΜΑΤΟΣ'!AR162)</f>
        <v>-1.801850550267825E-2</v>
      </c>
      <c r="AS162" s="43">
        <f>LN('2.ΤΙΜΕΣ ΚΛΕΙΣΙΜΑΤΟΣ'!AS163/'2.ΤΙΜΕΣ ΚΛΕΙΣΙΜΑΤΟΣ'!AS162)</f>
        <v>-1.3908430046132E-2</v>
      </c>
      <c r="AT162" s="43">
        <f>LN('2.ΤΙΜΕΣ ΚΛΕΙΣΙΜΑΤΟΣ'!AT163/'2.ΤΙΜΕΣ ΚΛΕΙΣΙΜΑΤΟΣ'!AT162)</f>
        <v>-7.5282664207915245E-3</v>
      </c>
      <c r="AU162" s="43">
        <f>LN('2.ΤΙΜΕΣ ΚΛΕΙΣΙΜΑΤΟΣ'!AU163/'2.ΤΙΜΕΣ ΚΛΕΙΣΙΜΑΤΟΣ'!AU162)</f>
        <v>5.702562516374781E-3</v>
      </c>
    </row>
    <row r="163" spans="1:47">
      <c r="A163" s="41">
        <v>43789</v>
      </c>
      <c r="B163" s="43">
        <f>LN('2.ΤΙΜΕΣ ΚΛΕΙΣΙΜΑΤΟΣ'!B164/'2.ΤΙΜΕΣ ΚΛΕΙΣΙΜΑΤΟΣ'!B163)</f>
        <v>-1.7348638334612976E-2</v>
      </c>
      <c r="C163" s="43">
        <f>LN('2.ΤΙΜΕΣ ΚΛΕΙΣΙΜΑΤΟΣ'!C164/'2.ΤΙΜΕΣ ΚΛΕΙΣΙΜΑΤΟΣ'!C163)</f>
        <v>3.0636969461889801E-2</v>
      </c>
      <c r="D163" s="43">
        <f>LN('2.ΤΙΜΕΣ ΚΛΕΙΣΙΜΑΤΟΣ'!D164/'2.ΤΙΜΕΣ ΚΛΕΙΣΙΜΑΤΟΣ'!D163)</f>
        <v>8.5288363475205017E-3</v>
      </c>
      <c r="E163" s="43">
        <f>LN('2.ΤΙΜΕΣ ΚΛΕΙΣΙΜΑΤΟΣ'!E164/'2.ΤΙΜΕΣ ΚΛΕΙΣΙΜΑΤΟΣ'!E163)</f>
        <v>-4.3150013014132361E-3</v>
      </c>
      <c r="F163" s="43">
        <f>LN('2.ΤΙΜΕΣ ΚΛΕΙΣΙΜΑΤΟΣ'!F164/'2.ΤΙΜΕΣ ΚΛΕΙΣΙΜΑΤΟΣ'!F163)</f>
        <v>5.7904041347045295E-3</v>
      </c>
      <c r="G163" s="43">
        <f>LN('2.ΤΙΜΕΣ ΚΛΕΙΣΙΜΑΤΟΣ'!G164/'2.ΤΙΜΕΣ ΚΛΕΙΣΙΜΑΤΟΣ'!G163)</f>
        <v>-2.0513539833103018E-2</v>
      </c>
      <c r="H163" s="43">
        <f>LN('2.ΤΙΜΕΣ ΚΛΕΙΣΙΜΑΤΟΣ'!H164/'2.ΤΙΜΕΣ ΚΛΕΙΣΙΜΑΤΟΣ'!H163)</f>
        <v>-2.7510333718898708E-3</v>
      </c>
      <c r="I163" s="43">
        <f>LN('2.ΤΙΜΕΣ ΚΛΕΙΣΙΜΑΤΟΣ'!I164/'2.ΤΙΜΕΣ ΚΛΕΙΣΙΜΑΤΟΣ'!I163)</f>
        <v>-2.9821166141776812E-2</v>
      </c>
      <c r="J163" s="43">
        <f>LN('2.ΤΙΜΕΣ ΚΛΕΙΣΙΜΑΤΟΣ'!J164/'2.ΤΙΜΕΣ ΚΛΕΙΣΙΜΑΤΟΣ'!J163)</f>
        <v>-2.2618088587772402E-2</v>
      </c>
      <c r="K163" s="43">
        <f>LN('2.ΤΙΜΕΣ ΚΛΕΙΣΙΜΑΤΟΣ'!K164/'2.ΤΙΜΕΣ ΚΛΕΙΣΙΜΑΤΟΣ'!K163)</f>
        <v>1.5310914908898896E-2</v>
      </c>
      <c r="L163" s="43">
        <f>LN('2.ΤΙΜΕΣ ΚΛΕΙΣΙΜΑΤΟΣ'!L164/'2.ΤΙΜΕΣ ΚΛΕΙΣΙΜΑΤΟΣ'!L163)</f>
        <v>-6.0728931578991202E-3</v>
      </c>
      <c r="M163" s="43">
        <f>LN('2.ΤΙΜΕΣ ΚΛΕΙΣΙΜΑΤΟΣ'!M164/'2.ΤΙΜΕΣ ΚΛΕΙΣΙΜΑΤΟΣ'!M163)</f>
        <v>1.0770060276379661E-3</v>
      </c>
      <c r="N163" s="43">
        <f>LN('2.ΤΙΜΕΣ ΚΛΕΙΣΙΜΑΤΟΣ'!N164/'2.ΤΙΜΕΣ ΚΛΕΙΣΙΜΑΤΟΣ'!N163)</f>
        <v>1.6072878464045814E-2</v>
      </c>
      <c r="O163" s="43">
        <f>LN('2.ΤΙΜΕΣ ΚΛΕΙΣΙΜΑΤΟΣ'!O164/'2.ΤΙΜΕΣ ΚΛΕΙΣΙΜΑΤΟΣ'!O163)</f>
        <v>-2.7063615977430252E-3</v>
      </c>
      <c r="P163" s="43">
        <f>LN('2.ΤΙΜΕΣ ΚΛΕΙΣΙΜΑΤΟΣ'!P164/'2.ΤΙΜΕΣ ΚΛΕΙΣΙΜΑΤΟΣ'!P163)</f>
        <v>1.4503265776466834E-3</v>
      </c>
      <c r="Q163" s="43">
        <f>LN('2.ΤΙΜΕΣ ΚΛΕΙΣΙΜΑΤΟΣ'!Q164/'2.ΤΙΜΕΣ ΚΛΕΙΣΙΜΑΤΟΣ'!Q163)</f>
        <v>-2.0999817193746564E-2</v>
      </c>
      <c r="R163" s="43">
        <f>LN('2.ΤΙΜΕΣ ΚΛΕΙΣΙΜΑΤΟΣ'!R164/'2.ΤΙΜΕΣ ΚΛΕΙΣΙΜΑΤΟΣ'!R163)</f>
        <v>-1.2618463959211575E-2</v>
      </c>
      <c r="S163" s="43">
        <f>LN('2.ΤΙΜΕΣ ΚΛΕΙΣΙΜΑΤΟΣ'!S164/'2.ΤΙΜΕΣ ΚΛΕΙΣΙΜΑΤΟΣ'!S163)</f>
        <v>9.4787439545437387E-3</v>
      </c>
      <c r="T163" s="43">
        <f>LN('2.ΤΙΜΕΣ ΚΛΕΙΣΙΜΑΤΟΣ'!T164/'2.ΤΙΜΕΣ ΚΛΕΙΣΙΜΑΤΟΣ'!T163)</f>
        <v>-6.7340321813440683E-3</v>
      </c>
      <c r="U163" s="43">
        <f>LN('2.ΤΙΜΕΣ ΚΛΕΙΣΙΜΑΤΟΣ'!U164/'2.ΤΙΜΕΣ ΚΛΕΙΣΙΜΑΤΟΣ'!U163)</f>
        <v>-4.5351551653911512E-3</v>
      </c>
      <c r="V163" s="43">
        <f>LN('2.ΤΙΜΕΣ ΚΛΕΙΣΙΜΑΤΟΣ'!V164/'2.ΤΙΜΕΣ ΚΛΕΙΣΙΜΑΤΟΣ'!V163)</f>
        <v>0</v>
      </c>
      <c r="W163" s="43">
        <f>LN('2.ΤΙΜΕΣ ΚΛΕΙΣΙΜΑΤΟΣ'!W164/'2.ΤΙΜΕΣ ΚΛΕΙΣΙΜΑΤΟΣ'!W163)</f>
        <v>0</v>
      </c>
      <c r="X163" s="43">
        <f>LN('2.ΤΙΜΕΣ ΚΛΕΙΣΙΜΑΤΟΣ'!X164/'2.ΤΙΜΕΣ ΚΛΕΙΣΙΜΑΤΟΣ'!X163)</f>
        <v>1.3779745598017593E-2</v>
      </c>
      <c r="Y163" s="43">
        <f>LN('2.ΤΙΜΕΣ ΚΛΕΙΣΙΜΑΤΟΣ'!Y164/'2.ΤΙΜΕΣ ΚΛΕΙΣΙΜΑΤΟΣ'!Y163)</f>
        <v>-2.1905813798188088E-3</v>
      </c>
      <c r="Z163" s="43">
        <f>LN('2.ΤΙΜΕΣ ΚΛΕΙΣΙΜΑΤΟΣ'!Z164/'2.ΤΙΜΕΣ ΚΛΕΙΣΙΜΑΤΟΣ'!Z163)</f>
        <v>-2.6466573188163287E-2</v>
      </c>
      <c r="AA163" s="43">
        <f>LN('2.ΤΙΜΕΣ ΚΛΕΙΣΙΜΑΤΟΣ'!AA164/'2.ΤΙΜΕΣ ΚΛΕΙΣΙΜΑΤΟΣ'!AA163)</f>
        <v>-8.4151969252845849E-3</v>
      </c>
      <c r="AB163" s="43">
        <f>LN('2.ΤΙΜΕΣ ΚΛΕΙΣΙΜΑΤΟΣ'!AB164/'2.ΤΙΜΕΣ ΚΛΕΙΣΙΜΑΤΟΣ'!AB163)</f>
        <v>-2.7549951768230517E-2</v>
      </c>
      <c r="AC163" s="43">
        <f>LN('2.ΤΙΜΕΣ ΚΛΕΙΣΙΜΑΤΟΣ'!AC164/'2.ΤΙΜΕΣ ΚΛΕΙΣΙΜΑΤΟΣ'!AC163)</f>
        <v>0</v>
      </c>
      <c r="AD163" s="43">
        <f>LN('2.ΤΙΜΕΣ ΚΛΕΙΣΙΜΑΤΟΣ'!AD164/'2.ΤΙΜΕΣ ΚΛΕΙΣΙΜΑΤΟΣ'!AD163)</f>
        <v>-1.0347468525424541E-2</v>
      </c>
      <c r="AE163" s="43">
        <f>LN('2.ΤΙΜΕΣ ΚΛΕΙΣΙΜΑΤΟΣ'!AE164/'2.ΤΙΜΕΣ ΚΛΕΙΣΙΜΑΤΟΣ'!AE163)</f>
        <v>1.8762276455522819E-2</v>
      </c>
      <c r="AF163" s="43">
        <f>LN('2.ΤΙΜΕΣ ΚΛΕΙΣΙΜΑΤΟΣ'!AF164/'2.ΤΙΜΕΣ ΚΛΕΙΣΙΜΑΤΟΣ'!AF163)</f>
        <v>-1.1487652038733708E-3</v>
      </c>
      <c r="AG163" s="43">
        <f>LN('2.ΤΙΜΕΣ ΚΛΕΙΣΙΜΑΤΟΣ'!AG164/'2.ΤΙΜΕΣ ΚΛΕΙΣΙΜΑΤΟΣ'!AG163)</f>
        <v>2.2909517465557624E-3</v>
      </c>
      <c r="AH163" s="43">
        <f>LN('2.ΤΙΜΕΣ ΚΛΕΙΣΙΜΑΤΟΣ'!AH164/'2.ΤΙΜΕΣ ΚΛΕΙΣΙΜΑΤΟΣ'!AH163)</f>
        <v>2.833050662622599E-2</v>
      </c>
      <c r="AI163" s="43">
        <f>LN('2.ΤΙΜΕΣ ΚΛΕΙΣΙΜΑΤΟΣ'!AI164/'2.ΤΙΜΕΣ ΚΛΕΙΣΙΜΑΤΟΣ'!AI163)</f>
        <v>7.3260400920728812E-3</v>
      </c>
      <c r="AJ163" s="43">
        <f>LN('2.ΤΙΜΕΣ ΚΛΕΙΣΙΜΑΤΟΣ'!AJ164/'2.ΤΙΜΕΣ ΚΛΕΙΣΙΜΑΤΟΣ'!AJ163)</f>
        <v>1.6529301951210506E-2</v>
      </c>
      <c r="AK163" s="43">
        <f>LN('2.ΤΙΜΕΣ ΚΛΕΙΣΙΜΑΤΟΣ'!AK164/'2.ΤΙΜΕΣ ΚΛΕΙΣΙΜΑΤΟΣ'!AK163)</f>
        <v>0</v>
      </c>
      <c r="AL163" s="43">
        <f>LN('2.ΤΙΜΕΣ ΚΛΕΙΣΙΜΑΤΟΣ'!AL164/'2.ΤΙΜΕΣ ΚΛΕΙΣΙΜΑΤΟΣ'!AL163)</f>
        <v>-2.0202707317519466E-2</v>
      </c>
      <c r="AM163" s="43">
        <f>LN('2.ΤΙΜΕΣ ΚΛΕΙΣΙΜΑΤΟΣ'!AM164/'2.ΤΙΜΕΣ ΚΛΕΙΣΙΜΑΤΟΣ'!AM163)</f>
        <v>-1.9364367181791117E-2</v>
      </c>
      <c r="AN163" s="43">
        <f>LN('2.ΤΙΜΕΣ ΚΛΕΙΣΙΜΑΤΟΣ'!AN164/'2.ΤΙΜΕΣ ΚΛΕΙΣΙΜΑΤΟΣ'!AN163)</f>
        <v>-1.3712261863982007E-2</v>
      </c>
      <c r="AO163" s="43">
        <f>LN('2.ΤΙΜΕΣ ΚΛΕΙΣΙΜΑΤΟΣ'!AO164/'2.ΤΙΜΕΣ ΚΛΕΙΣΙΜΑΤΟΣ'!AO163)</f>
        <v>-5.9171770280885072E-3</v>
      </c>
      <c r="AP163" s="43">
        <f>LN('2.ΤΙΜΕΣ ΚΛΕΙΣΙΜΑΤΟΣ'!AP164/'2.ΤΙΜΕΣ ΚΛΕΙΣΙΜΑΤΟΣ'!AP163)</f>
        <v>-2.8129413766147236E-3</v>
      </c>
      <c r="AQ163" s="43">
        <f>LN('2.ΤΙΜΕΣ ΚΛΕΙΣΙΜΑΤΟΣ'!AQ164/'2.ΤΙΜΕΣ ΚΛΕΙΣΙΜΑΤΟΣ'!AQ163)</f>
        <v>-2.2753138371355394E-3</v>
      </c>
      <c r="AR163" s="43">
        <f>LN('2.ΤΙΜΕΣ ΚΛΕΙΣΙΜΑΤΟΣ'!AR164/'2.ΤΙΜΕΣ ΚΛΕΙΣΙΜΑΤΟΣ'!AR163)</f>
        <v>1.6231194928582552E-2</v>
      </c>
      <c r="AS163" s="43">
        <f>LN('2.ΤΙΜΕΣ ΚΛΕΙΣΙΜΑΤΟΣ'!AS164/'2.ΤΙΜΕΣ ΚΛΕΙΣΙΜΑΤΟΣ'!AS163)</f>
        <v>8.3682496705165792E-3</v>
      </c>
      <c r="AT163" s="43">
        <f>LN('2.ΤΙΜΕΣ ΚΛΕΙΣΙΜΑΤΟΣ'!AT164/'2.ΤΙΜΕΣ ΚΛΕΙΣΙΜΑΤΟΣ'!AT163)</f>
        <v>1.9950786419348693E-2</v>
      </c>
      <c r="AU163" s="43">
        <f>LN('2.ΤΙΜΕΣ ΚΛΕΙΣΙΜΑΤΟΣ'!AU164/'2.ΤΙΜΕΣ ΚΛΕΙΣΙΜΑΤΟΣ'!AU163)</f>
        <v>-3.3637220992476778E-3</v>
      </c>
    </row>
    <row r="164" spans="1:47">
      <c r="A164" s="41">
        <v>43790</v>
      </c>
      <c r="B164" s="43">
        <f>LN('2.ΤΙΜΕΣ ΚΛΕΙΣΙΜΑΤΟΣ'!B165/'2.ΤΙΜΕΣ ΚΛΕΙΣΙΜΑΤΟΣ'!B164)</f>
        <v>8.5349024498372859E-3</v>
      </c>
      <c r="C164" s="43">
        <f>LN('2.ΤΙΜΕΣ ΚΛΕΙΣΙΜΑΤΟΣ'!C165/'2.ΤΙΜΕΣ ΚΛΕΙΣΙΜΑΤΟΣ'!C164)</f>
        <v>-8.6580627431145415E-3</v>
      </c>
      <c r="D164" s="43">
        <f>LN('2.ΤΙΜΕΣ ΚΛΕΙΣΙΜΑΤΟΣ'!D165/'2.ΤΙΜΕΣ ΚΛΕΙΣΙΜΑΤΟΣ'!D164)</f>
        <v>-4.9663103139171881E-3</v>
      </c>
      <c r="E164" s="43">
        <f>LN('2.ΤΙΜΕΣ ΚΛΕΙΣΙΜΑΤΟΣ'!E165/'2.ΤΙΜΕΣ ΚΛΕΙΣΙΜΑΤΟΣ'!E164)</f>
        <v>-3.0180617149991287E-2</v>
      </c>
      <c r="F164" s="43">
        <f>LN('2.ΤΙΜΕΣ ΚΛΕΙΣΙΜΑΤΟΣ'!F165/'2.ΤΙΜΕΣ ΚΛΕΙΣΙΜΑΤΟΣ'!F164)</f>
        <v>-3.4702174790071059E-3</v>
      </c>
      <c r="G164" s="43">
        <f>LN('2.ΤΙΜΕΣ ΚΛΕΙΣΙΜΑΤΟΣ'!G165/'2.ΤΙΜΕΣ ΚΛΕΙΣΙΜΑΤΟΣ'!G164)</f>
        <v>-5.1948168771040228E-3</v>
      </c>
      <c r="H164" s="43">
        <f>LN('2.ΤΙΜΕΣ ΚΛΕΙΣΙΜΑΤΟΣ'!H165/'2.ΤΙΜΕΣ ΚΛΕΙΣΙΜΑΤΟΣ'!H164)</f>
        <v>-1.3869847864150502E-2</v>
      </c>
      <c r="I164" s="43">
        <f>LN('2.ΤΙΜΕΣ ΚΛΕΙΣΙΜΑΤΟΣ'!I165/'2.ΤΙΜΕΣ ΚΛΕΙΣΙΜΑΤΟΣ'!I164)</f>
        <v>-2.4625047305389294E-2</v>
      </c>
      <c r="J164" s="43">
        <f>LN('2.ΤΙΜΕΣ ΚΛΕΙΣΙΜΑΤΟΣ'!J165/'2.ΤΙΜΕΣ ΚΛΕΙΣΙΜΑΤΟΣ'!J164)</f>
        <v>-9.8522964430117071E-3</v>
      </c>
      <c r="K164" s="43">
        <f>LN('2.ΤΙΜΕΣ ΚΛΕΙΣΙΜΑΤΟΣ'!K165/'2.ΤΙΜΕΣ ΚΛΕΙΣΙΜΑΤΟΣ'!K164)</f>
        <v>8.7021099385322809E-3</v>
      </c>
      <c r="L164" s="43">
        <f>LN('2.ΤΙΜΕΣ ΚΛΕΙΣΙΜΑΤΟΣ'!L165/'2.ΤΙΜΕΣ ΚΛΕΙΣΙΜΑΤΟΣ'!L164)</f>
        <v>-4.0691816067257433E-3</v>
      </c>
      <c r="M164" s="43">
        <f>LN('2.ΤΙΜΕΣ ΚΛΕΙΣΙΜΑΤΟΣ'!M165/'2.ΤΙΜΕΣ ΚΛΕΙΣΙΜΑΤΟΣ'!M164)</f>
        <v>-1.0822616458151416E-2</v>
      </c>
      <c r="N164" s="43">
        <f>LN('2.ΤΙΜΕΣ ΚΛΕΙΣΙΜΑΤΟΣ'!N165/'2.ΤΙΜΕΣ ΚΛΕΙΣΙΜΑΤΟΣ'!N164)</f>
        <v>-1.2064857066506866E-2</v>
      </c>
      <c r="O164" s="43">
        <f>LN('2.ΤΙΜΕΣ ΚΛΕΙΣΙΜΑΤΟΣ'!O165/'2.ΤΙΜΕΣ ΚΛΕΙΣΙΜΑΤΟΣ'!O164)</f>
        <v>-5.4347959859569446E-3</v>
      </c>
      <c r="P164" s="43">
        <f>LN('2.ΤΙΜΕΣ ΚΛΕΙΣΙΜΑΤΟΣ'!P165/'2.ΤΙΜΕΣ ΚΛΕΙΣΙΜΑΤΟΣ'!P164)</f>
        <v>5.7803629154995493E-3</v>
      </c>
      <c r="Q164" s="43">
        <f>LN('2.ΤΙΜΕΣ ΚΛΕΙΣΙΜΑΤΟΣ'!Q165/'2.ΤΙΜΕΣ ΚΛΕΙΣΙΜΑΤΟΣ'!Q164)</f>
        <v>-1.2293910905716954E-2</v>
      </c>
      <c r="R164" s="43">
        <f>LN('2.ΤΙΜΕΣ ΚΛΕΙΣΙΜΑΤΟΣ'!R165/'2.ΤΙΜΕΣ ΚΛΕΙΣΙΜΑΤΟΣ'!R164)</f>
        <v>-1.471085051656928E-2</v>
      </c>
      <c r="S164" s="43">
        <f>LN('2.ΤΙΜΕΣ ΚΛΕΙΣΙΜΑΤΟΣ'!S165/'2.ΤΙΜΕΣ ΚΛΕΙΣΙΜΑΤΟΣ'!S164)</f>
        <v>-1.5448910941047713E-2</v>
      </c>
      <c r="T164" s="43">
        <f>LN('2.ΤΙΜΕΣ ΚΛΕΙΣΙΜΑΤΟΣ'!T165/'2.ΤΙΜΕΣ ΚΛΕΙΣΙΜΑΤΟΣ'!T164)</f>
        <v>-1.3605652055778709E-2</v>
      </c>
      <c r="U164" s="43">
        <f>LN('2.ΤΙΜΕΣ ΚΛΕΙΣΙΜΑΤΟΣ'!U165/'2.ΤΙΜΕΣ ΚΛΕΙΣΙΜΑΤΟΣ'!U164)</f>
        <v>-9.1324835632725868E-3</v>
      </c>
      <c r="V164" s="43">
        <f>LN('2.ΤΙΜΕΣ ΚΛΕΙΣΙΜΑΤΟΣ'!V165/'2.ΤΙΜΕΣ ΚΛΕΙΣΙΜΑΤΟΣ'!V164)</f>
        <v>-4.3668191663404025E-3</v>
      </c>
      <c r="W164" s="43">
        <f>LN('2.ΤΙΜΕΣ ΚΛΕΙΣΙΜΑΤΟΣ'!W165/'2.ΤΙΜΕΣ ΚΛΕΙΣΙΜΑΤΟΣ'!W164)</f>
        <v>0</v>
      </c>
      <c r="X164" s="43">
        <f>LN('2.ΤΙΜΕΣ ΚΛΕΙΣΙΜΑΤΟΣ'!X165/'2.ΤΙΜΕΣ ΚΛΕΙΣΙΜΑΤΟΣ'!X164)</f>
        <v>0</v>
      </c>
      <c r="Y164" s="43">
        <f>LN('2.ΤΙΜΕΣ ΚΛΕΙΣΙΜΑΤΟΣ'!Y165/'2.ΤΙΜΕΣ ΚΛΕΙΣΙΜΑΤΟΣ'!Y164)</f>
        <v>-1.5469921772131665E-2</v>
      </c>
      <c r="Z164" s="43">
        <f>LN('2.ΤΙΜΕΣ ΚΛΕΙΣΙΜΑΤΟΣ'!Z165/'2.ΤΙΜΕΣ ΚΛΕΙΣΙΜΑΤΟΣ'!Z164)</f>
        <v>0</v>
      </c>
      <c r="AA164" s="43">
        <f>LN('2.ΤΙΜΕΣ ΚΛΕΙΣΙΜΑΤΟΣ'!AA165/'2.ΤΙΜΕΣ ΚΛΕΙΣΙΜΑΤΟΣ'!AA164)</f>
        <v>1.6760168857465101E-2</v>
      </c>
      <c r="AB164" s="43">
        <f>LN('2.ΤΙΜΕΣ ΚΛΕΙΣΙΜΑΤΟΣ'!AB165/'2.ΤΙΜΕΣ ΚΛΕΙΣΙΜΑΤΟΣ'!AB164)</f>
        <v>1.2951152347077981E-2</v>
      </c>
      <c r="AC164" s="43">
        <f>LN('2.ΤΙΜΕΣ ΚΛΕΙΣΙΜΑΤΟΣ'!AC165/'2.ΤΙΜΕΣ ΚΛΕΙΣΙΜΑΤΟΣ'!AC164)</f>
        <v>4.1350851478030174E-3</v>
      </c>
      <c r="AD164" s="43">
        <f>LN('2.ΤΙΜΕΣ ΚΛΕΙΣΙΜΑΤΟΣ'!AD165/'2.ΤΙΜΕΣ ΚΛΕΙΣΙΜΑΤΟΣ'!AD164)</f>
        <v>-1.1958288988873623E-2</v>
      </c>
      <c r="AE164" s="43">
        <f>LN('2.ΤΙΜΕΣ ΚΛΕΙΣΙΜΑΤΟΣ'!AE165/'2.ΤΙΜΕΣ ΚΛΕΙΣΙΜΑΤΟΣ'!AE164)</f>
        <v>7.4074412778618176E-3</v>
      </c>
      <c r="AF164" s="43">
        <f>LN('2.ΤΙΜΕΣ ΚΛΕΙΣΙΜΑΤΟΣ'!AF165/'2.ΤΙΜΕΣ ΚΛΕΙΣΙΜΑΤΟΣ'!AF164)</f>
        <v>-1.7391742711869222E-2</v>
      </c>
      <c r="AG164" s="43">
        <f>LN('2.ΤΙΜΕΣ ΚΛΕΙΣΙΜΑΤΟΣ'!AG165/'2.ΤΙΜΕΣ ΚΛΕΙΣΙΜΑΤΟΣ'!AG164)</f>
        <v>-1.1507606851479802E-2</v>
      </c>
      <c r="AH164" s="43">
        <f>LN('2.ΤΙΜΕΣ ΚΛΕΙΣΙΜΑΤΟΣ'!AH165/'2.ΤΙΜΕΣ ΚΛΕΙΣΙΜΑΤΟΣ'!AH164)</f>
        <v>-2.4506410187822555E-2</v>
      </c>
      <c r="AI164" s="43">
        <f>LN('2.ΤΙΜΕΣ ΚΛΕΙΣΙΜΑΤΟΣ'!AI165/'2.ΤΙΜΕΣ ΚΛΕΙΣΙΜΑΤΟΣ'!AI164)</f>
        <v>0</v>
      </c>
      <c r="AJ164" s="43">
        <f>LN('2.ΤΙΜΕΣ ΚΛΕΙΣΙΜΑΤΟΣ'!AJ165/'2.ΤΙΜΕΣ ΚΛΕΙΣΙΜΑΤΟΣ'!AJ164)</f>
        <v>0</v>
      </c>
      <c r="AK164" s="43">
        <f>LN('2.ΤΙΜΕΣ ΚΛΕΙΣΙΜΑΤΟΣ'!AK165/'2.ΤΙΜΕΣ ΚΛΕΙΣΙΜΑΤΟΣ'!AK164)</f>
        <v>0</v>
      </c>
      <c r="AL164" s="43">
        <f>LN('2.ΤΙΜΕΣ ΚΛΕΙΣΙΜΑΤΟΣ'!AL165/'2.ΤΙΜΕΣ ΚΛΕΙΣΙΜΑΤΟΣ'!AL164)</f>
        <v>-1.025650016718911E-2</v>
      </c>
      <c r="AM164" s="43">
        <f>LN('2.ΤΙΜΕΣ ΚΛΕΙΣΙΜΑΤΟΣ'!AM165/'2.ΤΙΜΕΣ ΚΛΕΙΣΙΜΑΤΟΣ'!AM164)</f>
        <v>-1.6901810802603254E-2</v>
      </c>
      <c r="AN164" s="43">
        <f>LN('2.ΤΙΜΕΣ ΚΛΕΙΣΙΜΑΤΟΣ'!AN165/'2.ΤΙΜΕΣ ΚΛΕΙΣΙΜΑΤΟΣ'!AN164)</f>
        <v>-2.193507686625568E-2</v>
      </c>
      <c r="AO164" s="43">
        <f>LN('2.ΤΙΜΕΣ ΚΛΕΙΣΙΜΑΤΟΣ'!AO165/'2.ΤΙΜΕΣ ΚΛΕΙΣΙΜΑΤΟΣ'!AO164)</f>
        <v>-2.9717703891575932E-3</v>
      </c>
      <c r="AP164" s="43">
        <f>LN('2.ΤΙΜΕΣ ΚΛΕΙΣΙΜΑΤΟΣ'!AP165/'2.ΤΙΜΕΣ ΚΛΕΙΣΙΜΑΤΟΣ'!AP164)</f>
        <v>5.6179923042232738E-3</v>
      </c>
      <c r="AQ164" s="43">
        <f>LN('2.ΤΙΜΕΣ ΚΛΕΙΣΙΜΑΤΟΣ'!AQ165/'2.ΤΙΜΕΣ ΚΛΕΙΣΙΜΑΤΟΣ'!AQ164)</f>
        <v>5.678606968843293E-3</v>
      </c>
      <c r="AR164" s="43">
        <f>LN('2.ΤΙΜΕΣ ΚΛΕΙΣΙΜΑΤΟΣ'!AR165/'2.ΤΙΜΕΣ ΚΛΕΙΣΙΜΑΤΟΣ'!AR164)</f>
        <v>-8.984786407815297E-3</v>
      </c>
      <c r="AS164" s="43">
        <f>LN('2.ΤΙΜΕΣ ΚΛΕΙΣΙΜΑΤΟΣ'!AS165/'2.ΤΙΜΕΣ ΚΛΕΙΣΙΜΑΤΟΣ'!AS164)</f>
        <v>1.6529301951210506E-2</v>
      </c>
      <c r="AT164" s="43">
        <f>LN('2.ΤΙΜΕΣ ΚΛΕΙΣΙΜΑΤΟΣ'!AT165/'2.ΤΙΜΕΣ ΚΛΕΙΣΙΜΑΤΟΣ'!AT164)</f>
        <v>0</v>
      </c>
      <c r="AU164" s="43">
        <f>LN('2.ΤΙΜΕΣ ΚΛΕΙΣΙΜΑΤΟΣ'!AU165/'2.ΤΙΜΕΣ ΚΛΕΙΣΙΜΑΤΟΣ'!AU164)</f>
        <v>-7.8703274733799167E-3</v>
      </c>
    </row>
    <row r="165" spans="1:47">
      <c r="A165" s="41">
        <v>43791</v>
      </c>
      <c r="B165" s="43">
        <f>LN('2.ΤΙΜΕΣ ΚΛΕΙΣΙΜΑΤΟΣ'!B166/'2.ΤΙΜΕΣ ΚΛΕΙΣΙΜΑΤΟΣ'!B165)</f>
        <v>2.3448143403213381E-2</v>
      </c>
      <c r="C165" s="43">
        <f>LN('2.ΤΙΜΕΣ ΚΛΕΙΣΙΜΑΤΟΣ'!C166/'2.ΤΙΜΕΣ ΚΛΕΙΣΙΜΑΤΟΣ'!C165)</f>
        <v>5.7803629154995493E-3</v>
      </c>
      <c r="D165" s="43">
        <f>LN('2.ΤΙΜΕΣ ΚΛΕΙΣΙΜΑΤΟΣ'!D166/'2.ΤΙΜΕΣ ΚΛΕΙΣΙΜΑΤΟΣ'!D165)</f>
        <v>1.5025745307095039E-2</v>
      </c>
      <c r="E165" s="43">
        <f>LN('2.ΤΙΜΕΣ ΚΛΕΙΣΙΜΑΤΟΣ'!E166/'2.ΤΙΜΕΣ ΚΛΕΙΣΙΜΑΤΟΣ'!E165)</f>
        <v>-1.4025475354504434E-2</v>
      </c>
      <c r="F165" s="43">
        <f>LN('2.ΤΙΜΕΣ ΚΛΕΙΣΙΜΑΤΟΣ'!F166/'2.ΤΙΜΕΣ ΚΛΕΙΣΙΜΑΤΟΣ'!F165)</f>
        <v>2.3148158484513179E-3</v>
      </c>
      <c r="G165" s="43">
        <f>LN('2.ΤΙΜΕΣ ΚΛΕΙΣΙΜΑΤΟΣ'!G166/'2.ΤΙΜΕΣ ΚΛΕΙΣΙΜΑΤΟΣ'!G165)</f>
        <v>-2.0855064910213707E-3</v>
      </c>
      <c r="H165" s="43">
        <f>LN('2.ΤΙΜΕΣ ΚΛΕΙΣΙΜΑΤΟΣ'!H166/'2.ΤΙΜΕΣ ΚΛΕΙΣΙΜΑΤΟΣ'!H165)</f>
        <v>7.4211843376168259E-3</v>
      </c>
      <c r="I165" s="43">
        <f>LN('2.ΤΙΜΕΣ ΚΛΕΙΣΙΜΑΤΟΣ'!I166/'2.ΤΙΜΕΣ ΚΛΕΙΣΙΜΑΤΟΣ'!I165)</f>
        <v>4.6016237286706764E-2</v>
      </c>
      <c r="J165" s="43">
        <f>LN('2.ΤΙΜΕΣ ΚΛΕΙΣΙΜΑΤΟΣ'!J166/'2.ΤΙΜΕΣ ΚΛΕΙΣΙΜΑΤΟΣ'!J165)</f>
        <v>2.7666532718138862E-2</v>
      </c>
      <c r="K165" s="43">
        <f>LN('2.ΤΙΜΕΣ ΚΛΕΙΣΙΜΑΤΟΣ'!K166/'2.ΤΙΜΕΣ ΚΛΕΙΣΙΜΑΤΟΣ'!K165)</f>
        <v>-3.0450962294746135E-2</v>
      </c>
      <c r="L165" s="43">
        <f>LN('2.ΤΙΜΕΣ ΚΛΕΙΣΙΜΑΤΟΣ'!L166/'2.ΤΙΜΕΣ ΚΛΕΙΣΙΜΑΤΟΣ'!L165)</f>
        <v>0</v>
      </c>
      <c r="M165" s="43">
        <f>LN('2.ΤΙΜΕΣ ΚΛΕΙΣΙΜΑΤΟΣ'!M166/'2.ΤΙΜΕΣ ΚΛΕΙΣΙΜΑΤΟΣ'!M165)</f>
        <v>1.7260406932999992E-2</v>
      </c>
      <c r="N165" s="43">
        <f>LN('2.ΤΙΜΕΣ ΚΛΕΙΣΙΜΑΤΟΣ'!N166/'2.ΤΙΜΕΣ ΚΛΕΙΣΙΜΑΤΟΣ'!N165)</f>
        <v>0</v>
      </c>
      <c r="O165" s="43">
        <f>LN('2.ΤΙΜΕΣ ΚΛΕΙΣΙΜΑΤΟΣ'!O166/'2.ΤΙΜΕΣ ΚΛΕΙΣΙΜΑΤΟΣ'!O165)</f>
        <v>1.7556156518301818E-2</v>
      </c>
      <c r="P165" s="43">
        <f>LN('2.ΤΙΜΕΣ ΚΛΕΙΣΙΜΑΤΟΣ'!P166/'2.ΤΙΜΕΣ ΚΛΕΙΣΙΜΑΤΟΣ'!P165)</f>
        <v>0</v>
      </c>
      <c r="Q165" s="43">
        <f>LN('2.ΤΙΜΕΣ ΚΛΕΙΣΙΜΑΤΟΣ'!Q166/'2.ΤΙΜΕΣ ΚΛΕΙΣΙΜΑΤΟΣ'!Q165)</f>
        <v>5.8422756242283609E-3</v>
      </c>
      <c r="R165" s="43">
        <f>LN('2.ΤΙΜΕΣ ΚΛΕΙΣΙΜΑΤΟΣ'!R166/'2.ΤΙΜΕΣ ΚΛΕΙΣΙΜΑΤΟΣ'!R165)</f>
        <v>5.7822197722679838E-3</v>
      </c>
      <c r="S165" s="43">
        <f>LN('2.ΤΙΜΕΣ ΚΛΕΙΣΙΜΑΤΟΣ'!S166/'2.ΤΙΜΕΣ ΚΛΕΙΣΙΜΑΤΟΣ'!S165)</f>
        <v>-6.006024060211698E-3</v>
      </c>
      <c r="T165" s="43">
        <f>LN('2.ΤΙΜΕΣ ΚΛΕΙΣΙΜΑΤΟΣ'!T166/'2.ΤΙΜΕΣ ΚΛΕΙΣΙΜΑΤΟΣ'!T165)</f>
        <v>1.3605652055778678E-2</v>
      </c>
      <c r="U165" s="43">
        <f>LN('2.ΤΙΜΕΣ ΚΛΕΙΣΙΜΑΤΟΣ'!U166/'2.ΤΙΜΕΣ ΚΛΕΙΣΙΜΑΤΟΣ'!U165)</f>
        <v>4.5766670274116732E-3</v>
      </c>
      <c r="V165" s="43">
        <f>LN('2.ΤΙΜΕΣ ΚΛΕΙΣΙΜΑΤΟΣ'!V166/'2.ΤΙΜΕΣ ΚΛΕΙΣΙΜΑΤΟΣ'!V165)</f>
        <v>6.5430985889358868E-3</v>
      </c>
      <c r="W165" s="43">
        <f>LN('2.ΤΙΜΕΣ ΚΛΕΙΣΙΜΑΤΟΣ'!W166/'2.ΤΙΜΕΣ ΚΛΕΙΣΙΜΑΤΟΣ'!W165)</f>
        <v>9.7088141269609032E-3</v>
      </c>
      <c r="X165" s="43">
        <f>LN('2.ΤΙΜΕΣ ΚΛΕΙΣΙΜΑΤΟΣ'!X166/'2.ΤΙΜΕΣ ΚΛΕΙΣΙΜΑΤΟΣ'!X165)</f>
        <v>5.4313899972069195E-3</v>
      </c>
      <c r="Y165" s="43">
        <f>LN('2.ΤΙΜΕΣ ΚΛΕΙΣΙΜΑΤΟΣ'!Y166/'2.ΤΙΜΕΣ ΚΛΕΙΣΙΜΑΤΟΣ'!Y165)</f>
        <v>8.8692377407797902E-3</v>
      </c>
      <c r="Z165" s="43">
        <f>LN('2.ΤΙΜΕΣ ΚΛΕΙΣΙΜΑΤΟΣ'!Z166/'2.ΤΙΜΕΣ ΚΛΕΙΣΙΜΑΤΟΣ'!Z165)</f>
        <v>1.8975901459005604E-2</v>
      </c>
      <c r="AA165" s="43">
        <f>LN('2.ΤΙΜΕΣ ΚΛΕΙΣΙΜΑΤΟΣ'!AA166/'2.ΤΙΜΕΣ ΚΛΕΙΣΙΜΑΤΟΣ'!AA165)</f>
        <v>5.5248759319698072E-3</v>
      </c>
      <c r="AB165" s="43">
        <f>LN('2.ΤΙΜΕΣ ΚΛΕΙΣΙΜΑΤΟΣ'!AB166/'2.ΤΙΜΕΣ ΚΛΕΙΣΙΜΑΤΟΣ'!AB165)</f>
        <v>7.3260400920728812E-3</v>
      </c>
      <c r="AC165" s="43">
        <f>LN('2.ΤΙΜΕΣ ΚΛΕΙΣΙΜΑΤΟΣ'!AC166/'2.ΤΙΜΕΣ ΚΛΕΙΣΙΜΑΤΟΣ'!AC165)</f>
        <v>-3.0728674721250713E-2</v>
      </c>
      <c r="AD165" s="43">
        <f>LN('2.ΤΙΜΕΣ ΚΛΕΙΣΙΜΑΤΟΣ'!AD166/'2.ΤΙΜΕΣ ΚΛΕΙΣΙΜΑΤΟΣ'!AD165)</f>
        <v>-7.5472056353829663E-3</v>
      </c>
      <c r="AE165" s="43">
        <f>LN('2.ΤΙΜΕΣ ΚΛΕΙΣΙΜΑΤΟΣ'!AE166/'2.ΤΙΜΕΣ ΚΛΕΙΣΙΜΑΤΟΣ'!AE165)</f>
        <v>0</v>
      </c>
      <c r="AF165" s="43">
        <f>LN('2.ΤΙΜΕΣ ΚΛΕΙΣΙΜΑΤΟΣ'!AF166/'2.ΤΙΜΕΣ ΚΛΕΙΣΙΜΑΤΟΣ'!AF165)</f>
        <v>0</v>
      </c>
      <c r="AG165" s="43">
        <f>LN('2.ΤΙΜΕΣ ΚΛΕΙΣΙΜΑΤΟΣ'!AG166/'2.ΤΙΜΕΣ ΚΛΕΙΣΙΜΑΤΟΣ'!AG165)</f>
        <v>-4.6403795565022254E-3</v>
      </c>
      <c r="AH165" s="43">
        <f>LN('2.ΤΙΜΕΣ ΚΛΕΙΣΙΜΑΤΟΣ'!AH166/'2.ΤΙΜΕΣ ΚΛΕΙΣΙΜΑΤΟΣ'!AH165)</f>
        <v>1.906578270581669E-3</v>
      </c>
      <c r="AI165" s="43">
        <f>LN('2.ΤΙΜΕΣ ΚΛΕΙΣΙΜΑΤΟΣ'!AI166/'2.ΤΙΜΕΣ ΚΛΕΙΣΙΜΑΤΟΣ'!AI165)</f>
        <v>0</v>
      </c>
      <c r="AJ165" s="43">
        <f>LN('2.ΤΙΜΕΣ ΚΛΕΙΣΙΜΑΤΟΣ'!AJ166/'2.ΤΙΜΕΣ ΚΛΕΙΣΙΜΑΤΟΣ'!AJ165)</f>
        <v>0</v>
      </c>
      <c r="AK165" s="43">
        <f>LN('2.ΤΙΜΕΣ ΚΛΕΙΣΙΜΑΤΟΣ'!AK166/'2.ΤΙΜΕΣ ΚΛΕΙΣΙΜΑΤΟΣ'!AK165)</f>
        <v>-4.8899852941916809E-3</v>
      </c>
      <c r="AL165" s="43">
        <f>LN('2.ΤΙΜΕΣ ΚΛΕΙΣΙΜΑΤΟΣ'!AL166/'2.ΤΙΜΕΣ ΚΛΕΙΣΙΜΑΤΟΣ'!AL165)</f>
        <v>0</v>
      </c>
      <c r="AM165" s="43">
        <f>LN('2.ΤΙΜΕΣ ΚΛΕΙΣΙΜΑΤΟΣ'!AM166/'2.ΤΙΜΕΣ ΚΛΕΙΣΙΜΑΤΟΣ'!AM165)</f>
        <v>1.1299555253933466E-2</v>
      </c>
      <c r="AN165" s="43">
        <f>LN('2.ΤΙΜΕΣ ΚΛΕΙΣΙΜΑΤΟΣ'!AN166/'2.ΤΙΜΕΣ ΚΛΕΙΣΙΜΑΤΟΣ'!AN165)</f>
        <v>1.0030174359937251E-2</v>
      </c>
      <c r="AO165" s="43">
        <f>LN('2.ΤΙΜΕΣ ΚΛΕΙΣΙΜΑΤΟΣ'!AO166/'2.ΤΙΜΕΣ ΚΛΕΙΣΙΜΑΤΟΣ'!AO165)</f>
        <v>2.97177038915748E-3</v>
      </c>
      <c r="AP165" s="43">
        <f>LN('2.ΤΙΜΕΣ ΚΛΕΙΣΙΜΑΤΟΣ'!AP166/'2.ΤΙΜΕΣ ΚΛΕΙΣΙΜΑΤΟΣ'!AP165)</f>
        <v>5.5866067086397762E-3</v>
      </c>
      <c r="AQ165" s="43">
        <f>LN('2.ΤΙΜΕΣ ΚΛΕΙΣΙΜΑΤΟΣ'!AQ166/'2.ΤΙΜΕΣ ΚΛΕΙΣΙΜΑΤΟΣ'!AQ165)</f>
        <v>4.5197817056195572E-3</v>
      </c>
      <c r="AR165" s="43">
        <f>LN('2.ΤΙΜΕΣ ΚΛΕΙΣΙΜΑΤΟΣ'!AR166/'2.ΤΙΜΕΣ ΚΛΕΙΣΙΜΑΤΟΣ'!AR165)</f>
        <v>3.6036075032983964E-3</v>
      </c>
      <c r="AS165" s="43">
        <f>LN('2.ΤΙΜΕΣ ΚΛΕΙΣΙΜΑΤΟΣ'!AS166/'2.ΤΙΜΕΣ ΚΛΕΙΣΙΜΑΤΟΣ'!AS165)</f>
        <v>0</v>
      </c>
      <c r="AT165" s="43">
        <f>LN('2.ΤΙΜΕΣ ΚΛΕΙΣΙΜΑΤΟΣ'!AT166/'2.ΤΙΜΕΣ ΚΛΕΙΣΙΜΑΤΟΣ'!AT165)</f>
        <v>2.4660924951934683E-3</v>
      </c>
      <c r="AU165" s="43">
        <f>LN('2.ΤΙΜΕΣ ΚΛΕΙΣΙΜΑΤΟΣ'!AU166/'2.ΤΙΜΕΣ ΚΛΕΙΣΙΜΑΤΟΣ'!AU165)</f>
        <v>8.9142919387010036E-3</v>
      </c>
    </row>
    <row r="166" spans="1:47">
      <c r="A166" s="41">
        <v>43794</v>
      </c>
      <c r="B166" s="43">
        <f>LN('2.ΤΙΜΕΣ ΚΛΕΙΣΙΜΑΤΟΣ'!B167/'2.ΤΙΜΕΣ ΚΛΕΙΣΙΜΑΤΟΣ'!B166)</f>
        <v>2.3248910383863518E-2</v>
      </c>
      <c r="C166" s="43">
        <f>LN('2.ΤΙΜΕΣ ΚΛΕΙΣΙΜΑΤΟΣ'!C167/'2.ΤΙΜΕΣ ΚΛΕΙΣΙΜΑΤΟΣ'!C166)</f>
        <v>5.030553188716114E-3</v>
      </c>
      <c r="D166" s="43">
        <f>LN('2.ΤΙΜΕΣ ΚΛΕΙΣΙΜΑΤΟΣ'!D167/'2.ΤΙΜΕΣ ΚΛΕΙΣΙΜΑΤΟΣ'!D166)</f>
        <v>7.9753189151259632E-3</v>
      </c>
      <c r="E166" s="43">
        <f>LN('2.ΤΙΜΕΣ ΚΛΕΙΣΙΜΑΤΟΣ'!E167/'2.ΤΙΜΕΣ ΚΛΕΙΣΙΜΑΤΟΣ'!E166)</f>
        <v>5.9227834200333535E-2</v>
      </c>
      <c r="F166" s="43">
        <f>LN('2.ΤΙΜΕΣ ΚΛΕΙΣΙΜΑΤΟΣ'!F167/'2.ΤΙΜΕΣ ΚΛΕΙΣΙΜΑΤΟΣ'!F166)</f>
        <v>3.4622077284707912E-3</v>
      </c>
      <c r="G166" s="43">
        <f>LN('2.ΤΙΜΕΣ ΚΛΕΙΣΙΜΑΤΟΣ'!G167/'2.ΤΙΜΕΣ ΚΛΕΙΣΙΜΑΤΟΣ'!G166)</f>
        <v>1.2448293526568082E-2</v>
      </c>
      <c r="H166" s="43">
        <f>LN('2.ΤΙΜΕΣ ΚΛΕΙΣΙΜΑΤΟΣ'!H167/'2.ΤΙΜΕΣ ΚΛΕΙΣΙΜΑΤΟΣ'!H166)</f>
        <v>-3.7037079374844144E-3</v>
      </c>
      <c r="I166" s="43">
        <f>LN('2.ΤΙΜΕΣ ΚΛΕΙΣΙΜΑΤΟΣ'!I167/'2.ΤΙΜΕΣ ΚΛΕΙΣΙΜΑΤΟΣ'!I166)</f>
        <v>5.2770571008438193E-3</v>
      </c>
      <c r="J166" s="43">
        <f>LN('2.ΤΙΜΕΣ ΚΛΕΙΣΙΜΑΤΟΣ'!J167/'2.ΤΙΜΕΣ ΚΛΕΙΣΙΜΑΤΟΣ'!J166)</f>
        <v>9.902652396669433E-3</v>
      </c>
      <c r="K166" s="43">
        <f>LN('2.ΤΙΜΕΣ ΚΛΕΙΣΙΜΑΤΟΣ'!K167/'2.ΤΙΜΕΣ ΚΛΕΙΣΙΜΑΤΟΣ'!K166)</f>
        <v>-1.4394712220652023E-2</v>
      </c>
      <c r="L166" s="43">
        <f>LN('2.ΤΙΜΕΣ ΚΛΕΙΣΙΜΑΤΟΣ'!L167/'2.ΤΙΜΕΣ ΚΛΕΙΣΙΜΑΤΟΣ'!L166)</f>
        <v>-3.0627895305458783E-3</v>
      </c>
      <c r="M166" s="43">
        <f>LN('2.ΤΙΜΕΣ ΚΛΕΙΣΙΜΑΤΟΣ'!M167/'2.ΤΙΜΕΣ ΚΛΕΙΣΙΜΑΤΟΣ'!M166)</f>
        <v>-6.4377904748485299E-3</v>
      </c>
      <c r="N166" s="43">
        <f>LN('2.ΤΙΜΕΣ ΚΛΕΙΣΙΜΑΤΟΣ'!N167/'2.ΤΙΜΕΣ ΚΛΕΙΣΙΜΑΤΟΣ'!N166)</f>
        <v>1.3783599701213596E-3</v>
      </c>
      <c r="O166" s="43">
        <f>LN('2.ΤΙΜΕΣ ΚΛΕΙΣΙΜΑΤΟΣ'!O167/'2.ΤΙΜΕΣ ΚΛΕΙΣΙΜΑΤΟΣ'!O166)</f>
        <v>1.0652564116207309E-2</v>
      </c>
      <c r="P166" s="43">
        <f>LN('2.ΤΙΜΕΣ ΚΛΕΙΣΙΜΑΤΟΣ'!P167/'2.ΤΙΜΕΣ ΚΛΕΙΣΙΜΑΤΟΣ'!P166)</f>
        <v>1.1461443519006598E-2</v>
      </c>
      <c r="Q166" s="43">
        <f>LN('2.ΤΙΜΕΣ ΚΛΕΙΣΙΜΑΤΟΣ'!Q167/'2.ΤΙΜΕΣ ΚΛΕΙΣΙΜΑΤΟΣ'!Q166)</f>
        <v>1.2861913642407822E-2</v>
      </c>
      <c r="R166" s="43">
        <f>LN('2.ΤΙΜΕΣ ΚΛΕΙΣΙΜΑΤΟΣ'!R167/'2.ΤΙΜΕΣ ΚΛΕΙΣΙΜΑΤΟΣ'!R166)</f>
        <v>-1.2820514576555005E-3</v>
      </c>
      <c r="S166" s="43">
        <f>LN('2.ΤΙΜΕΣ ΚΛΕΙΣΙΜΑΤΟΣ'!S167/'2.ΤΙΜΕΣ ΚΛΕΙΣΙΜΑΤΟΣ'!S166)</f>
        <v>0</v>
      </c>
      <c r="T166" s="43">
        <f>LN('2.ΤΙΜΕΣ ΚΛΕΙΣΙΜΑΤΟΣ'!T167/'2.ΤΙΜΕΣ ΚΛΕΙΣΙΜΑΤΟΣ'!T166)</f>
        <v>1.6086137751624225E-2</v>
      </c>
      <c r="U166" s="43">
        <f>LN('2.ΤΙΜΕΣ ΚΛΕΙΣΙΜΑΤΟΣ'!U167/'2.ΤΙΜΕΣ ΚΛΕΙΣΙΜΑΤΟΣ'!U166)</f>
        <v>9.0909717012521048E-3</v>
      </c>
      <c r="V166" s="43">
        <f>LN('2.ΤΙΜΕΣ ΚΛΕΙΣΙΜΑΤΟΣ'!V167/'2.ΤΙΜΕΣ ΚΛΕΙΣΙΜΑΤΟΣ'!V166)</f>
        <v>0</v>
      </c>
      <c r="W166" s="43">
        <f>LN('2.ΤΙΜΕΣ ΚΛΕΙΣΙΜΑΤΟΣ'!W167/'2.ΤΙΜΕΣ ΚΛΕΙΣΙΜΑΤΟΣ'!W166)</f>
        <v>-1.2084593615683834E-3</v>
      </c>
      <c r="X166" s="43">
        <f>LN('2.ΤΙΜΕΣ ΚΛΕΙΣΙΜΑΤΟΣ'!X167/'2.ΤΙΜΕΣ ΚΛΕΙΣΙΜΑΤΟΣ'!X166)</f>
        <v>5.5401803756153509E-3</v>
      </c>
      <c r="Y166" s="43">
        <f>LN('2.ΤΙΜΕΣ ΚΛΕΙΣΙΜΑΤΟΣ'!Y167/'2.ΤΙΜΕΣ ΚΛΕΙΣΙΜΑΤΟΣ'!Y166)</f>
        <v>9.8847592325419249E-3</v>
      </c>
      <c r="Z166" s="43">
        <f>LN('2.ΤΙΜΕΣ ΚΛΕΙΣΙΜΑΤΟΣ'!Z167/'2.ΤΙΜΕΣ ΚΛΕΙΣΙΜΑΤΟΣ'!Z166)</f>
        <v>-1.5151805020602333E-2</v>
      </c>
      <c r="AA166" s="43">
        <f>LN('2.ΤΙΜΕΣ ΚΛΕΙΣΙΜΑΤΟΣ'!AA167/'2.ΤΙΜΕΣ ΚΛΕΙΣΙΜΑΤΟΣ'!AA166)</f>
        <v>-8.2988028146950658E-3</v>
      </c>
      <c r="AB166" s="43">
        <f>LN('2.ΤΙΜΕΣ ΚΛΕΙΣΙΜΑΤΟΣ'!AB167/'2.ΤΙΜΕΣ ΚΛΕΙΣΙΜΑΤΟΣ'!AB166)</f>
        <v>-1.4706147389695449E-2</v>
      </c>
      <c r="AC166" s="43">
        <f>LN('2.ΤΙΜΕΣ ΚΛΕΙΣΙΜΑΤΟΣ'!AC167/'2.ΤΙΜΕΣ ΚΛΕΙΣΙΜΑΤΟΣ'!AC166)</f>
        <v>1.2685159527315642E-2</v>
      </c>
      <c r="AD166" s="43">
        <f>LN('2.ΤΙΜΕΣ ΚΛΕΙΣΙΜΑΤΟΣ'!AD167/'2.ΤΙΜΕΣ ΚΛΕΙΣΙΜΑΤΟΣ'!AD166)</f>
        <v>-1.5163005179639638E-3</v>
      </c>
      <c r="AE166" s="43">
        <f>LN('2.ΤΙΜΕΣ ΚΛΕΙΣΙΜΑΤΟΣ'!AE167/'2.ΤΙΜΕΣ ΚΛΕΙΣΙΜΑΤΟΣ'!AE166)</f>
        <v>1.8282044837449073E-2</v>
      </c>
      <c r="AF166" s="43">
        <f>LN('2.ΤΙΜΕΣ ΚΛΕΙΣΙΜΑΤΟΣ'!AF167/'2.ΤΙΜΕΣ ΚΛΕΙΣΙΜΑΤΟΣ'!AF166)</f>
        <v>-1.53214546944335E-2</v>
      </c>
      <c r="AG166" s="43">
        <f>LN('2.ΤΙΜΕΣ ΚΛΕΙΣΙΜΑΤΟΣ'!AG167/'2.ΤΙΜΕΣ ΚΛΕΙΣΙΜΑΤΟΣ'!AG166)</f>
        <v>2.5259666759237975E-2</v>
      </c>
      <c r="AH166" s="43">
        <f>LN('2.ΤΙΜΕΣ ΚΛΕΙΣΙΜΑΤΟΣ'!AH167/'2.ΤΙΜΕΣ ΚΛΕΙΣΙΜΑΤΟΣ'!AH166)</f>
        <v>-1.9065782705815315E-3</v>
      </c>
      <c r="AI166" s="43">
        <f>LN('2.ΤΙΜΕΣ ΚΛΕΙΣΙΜΑΤΟΣ'!AI167/'2.ΤΙΜΕΣ ΚΛΕΙΣΙΜΑΤΟΣ'!AI166)</f>
        <v>0</v>
      </c>
      <c r="AJ166" s="43">
        <f>LN('2.ΤΙΜΕΣ ΚΛΕΙΣΙΜΑΤΟΣ'!AJ167/'2.ΤΙΜΕΣ ΚΛΕΙΣΙΜΑΤΟΣ'!AJ166)</f>
        <v>-2.0704673361691166E-2</v>
      </c>
      <c r="AK166" s="43">
        <f>LN('2.ΤΙΜΕΣ ΚΛΕΙΣΙΜΑΤΟΣ'!AK167/'2.ΤΙΜΕΣ ΚΛΕΙΣΙΜΑΤΟΣ'!AK166)</f>
        <v>-1.9802627296179754E-2</v>
      </c>
      <c r="AL166" s="43">
        <f>LN('2.ΤΙΜΕΣ ΚΛΕΙΣΙΜΑΤΟΣ'!AL167/'2.ΤΙΜΕΣ ΚΛΕΙΣΙΜΑΤΟΣ'!AL166)</f>
        <v>-7.4901308173117839E-2</v>
      </c>
      <c r="AM166" s="43">
        <f>LN('2.ΤΙΜΕΣ ΚΛΕΙΣΙΜΑΤΟΣ'!AM167/'2.ΤΙΜΕΣ ΚΛΕΙΣΙΜΑΤΟΣ'!AM166)</f>
        <v>1.1173300598125255E-2</v>
      </c>
      <c r="AN166" s="43">
        <f>LN('2.ΤΙΜΕΣ ΚΛΕΙΣΙΜΑΤΟΣ'!AN167/'2.ΤΙΜΕΣ ΚΛΕΙΣΙΜΑΤΟΣ'!AN166)</f>
        <v>0</v>
      </c>
      <c r="AO166" s="43">
        <f>LN('2.ΤΙΜΕΣ ΚΛΕΙΣΙΜΑΤΟΣ'!AO167/'2.ΤΙΜΕΣ ΚΛΕΙΣΙΜΑΤΟΣ'!AO166)</f>
        <v>8.8626872578453243E-3</v>
      </c>
      <c r="AP166" s="43">
        <f>LN('2.ΤΙΜΕΣ ΚΛΕΙΣΙΜΑΤΟΣ'!AP167/'2.ΤΙΜΕΣ ΚΛΕΙΣΙΜΑΤΟΣ'!AP166)</f>
        <v>-2.5389234004819464E-2</v>
      </c>
      <c r="AQ166" s="43">
        <f>LN('2.ΤΙΜΕΣ ΚΛΕΙΣΙΜΑΤΟΣ'!AQ167/'2.ΤΙΜΕΣ ΚΛΕΙΣΙΜΑΤΟΣ'!AQ166)</f>
        <v>-2.2573373016499389E-3</v>
      </c>
      <c r="AR166" s="43">
        <f>LN('2.ΤΙΜΕΣ ΚΛΕΙΣΙΜΑΤΟΣ'!AR167/'2.ΤΙΜΕΣ ΚΛΕΙΣΙΜΑΤΟΣ'!AR166)</f>
        <v>-2.181904739463961E-2</v>
      </c>
      <c r="AS166" s="43">
        <f>LN('2.ΤΙΜΕΣ ΚΛΕΙΣΙΜΑΤΟΣ'!AS167/'2.ΤΙΜΕΣ ΚΛΕΙΣΙΜΑΤΟΣ'!AS166)</f>
        <v>-2.7702602549335823E-2</v>
      </c>
      <c r="AT166" s="43">
        <f>LN('2.ΤΙΜΕΣ ΚΛΕΙΣΙΜΑΤΟΣ'!AT167/'2.ΤΙΜΕΣ ΚΛΕΙΣΙΜΑΤΟΣ'!AT166)</f>
        <v>-2.2416878914542259E-2</v>
      </c>
      <c r="AU166" s="43">
        <f>LN('2.ΤΙΜΕΣ ΚΛΕΙΣΙΜΑΤΟΣ'!AU167/'2.ΤΙΜΕΣ ΚΛΕΙΣΙΜΑΤΟΣ'!AU166)</f>
        <v>7.7450890927945465E-3</v>
      </c>
    </row>
    <row r="167" spans="1:47">
      <c r="A167" s="41">
        <v>43795</v>
      </c>
      <c r="B167" s="43">
        <f>LN('2.ΤΙΜΕΣ ΚΛΕΙΣΙΜΑΤΟΣ'!B168/'2.ΤΙΜΕΣ ΚΛΕΙΣΙΜΑΤΟΣ'!B167)</f>
        <v>6.4005608437447551E-3</v>
      </c>
      <c r="C167" s="43">
        <f>LN('2.ΤΙΜΕΣ ΚΛΕΙΣΙΜΑΤΟΣ'!C168/'2.ΤΙΜΕΣ ΚΛΕΙΣΙΜΑΤΟΣ'!C167)</f>
        <v>-1.7354014693151506E-2</v>
      </c>
      <c r="D167" s="43">
        <f>LN('2.ΤΙΜΕΣ ΚΛΕΙΣΙΜΑΤΟΣ'!D168/'2.ΤΙΜΕΣ ΚΛΕΙΣΙΜΑΤΟΣ'!D167)</f>
        <v>8.8968558377367172E-3</v>
      </c>
      <c r="E167" s="43">
        <f>LN('2.ΤΙΜΕΣ ΚΛΕΙΣΙΜΑΤΟΣ'!E168/'2.ΤΙΜΕΣ ΚΛΕΙΣΙΜΑΤΟΣ'!E167)</f>
        <v>-2.1529356852575988E-2</v>
      </c>
      <c r="F167" s="43">
        <f>LN('2.ΤΙΜΕΣ ΚΛΕΙΣΙΜΑΤΟΣ'!F168/'2.ΤΙΜΕΣ ΚΛΕΙΣΙΜΑΤΟΣ'!F167)</f>
        <v>-4.6189458562944166E-3</v>
      </c>
      <c r="G167" s="43">
        <f>LN('2.ΤΙΜΕΣ ΚΛΕΙΣΙΜΑΤΟΣ'!G168/'2.ΤΙΜΕΣ ΚΛΕΙΣΙΜΑΤΟΣ'!G167)</f>
        <v>-2.8229788863971025E-2</v>
      </c>
      <c r="H167" s="43">
        <f>LN('2.ΤΙΜΕΣ ΚΛΕΙΣΙΜΑΤΟΣ'!H168/'2.ΤΙΜΕΣ ΚΛΕΙΣΙΜΑΤΟΣ'!H167)</f>
        <v>7.3937490249381919E-3</v>
      </c>
      <c r="I167" s="43">
        <f>LN('2.ΤΙΜΕΣ ΚΛΕΙΣΙΜΑΤΟΣ'!I168/'2.ΤΙΜΕΣ ΚΛΕΙΣΙΜΑΤΟΣ'!I167)</f>
        <v>-1.484650811699436E-2</v>
      </c>
      <c r="J167" s="43">
        <f>LN('2.ΤΙΜΕΣ ΚΛΕΙΣΙΜΑΤΟΣ'!J168/'2.ΤΙΜΕΣ ΚΛΕΙΣΙΜΑΤΟΣ'!J167)</f>
        <v>-2.1202207650602937E-2</v>
      </c>
      <c r="K167" s="43">
        <f>LN('2.ΤΙΜΕΣ ΚΛΕΙΣΙΜΑΤΟΣ'!K168/'2.ΤΙΜΕΣ ΚΛΕΙΣΙΜΑΤΟΣ'!K167)</f>
        <v>-1.587892563914672E-2</v>
      </c>
      <c r="L167" s="43">
        <f>LN('2.ΤΙΜΕΣ ΚΛΕΙΣΙΜΑΤΟΣ'!L168/'2.ΤΙΜΕΣ ΚΛΕΙΣΙΜΑΤΟΣ'!L167)</f>
        <v>2.042901629800331E-3</v>
      </c>
      <c r="M167" s="43">
        <f>LN('2.ΤΙΜΕΣ ΚΛΕΙΣΙΜΑΤΟΣ'!M168/'2.ΤΙΜΕΣ ΚΛΕΙΣΙΜΑΤΟΣ'!M167)</f>
        <v>-1.3001266557373629E-2</v>
      </c>
      <c r="N167" s="43">
        <f>LN('2.ΤΙΜΕΣ ΚΛΕΙΣΙΜΑΤΟΣ'!N168/'2.ΤΙΜΕΣ ΚΛΕΙΣΙΜΑΤΟΣ'!N167)</f>
        <v>-1.2195273093818243E-2</v>
      </c>
      <c r="O167" s="43">
        <f>LN('2.ΤΙΜΕΣ ΚΛΕΙΣΙΜΑΤΟΣ'!O168/'2.ΤΙΜΕΣ ΚΛΕΙΣΙΜΑΤΟΣ'!O167)</f>
        <v>-1.3253812410685707E-3</v>
      </c>
      <c r="P167" s="43">
        <f>LN('2.ΤΙΜΕΣ ΚΛΕΙΣΙΜΑΤΟΣ'!P168/'2.ΤΙΜΕΣ ΚΛΕΙΣΙΜΑΤΟΣ'!P167)</f>
        <v>5.6818334674308638E-3</v>
      </c>
      <c r="Q167" s="43">
        <f>LN('2.ΤΙΜΕΣ ΚΛΕΙΣΙΜΑΤΟΣ'!Q168/'2.ΤΙΜΕΣ ΚΛΕΙΣΙΜΑΤΟΣ'!Q167)</f>
        <v>0</v>
      </c>
      <c r="R167" s="43">
        <f>LN('2.ΤΙΜΕΣ ΚΛΕΙΣΙΜΑΤΟΣ'!R168/'2.ΤΙΜΕΣ ΚΛΕΙΣΙΜΑΤΟΣ'!R167)</f>
        <v>2.5624613637001501E-3</v>
      </c>
      <c r="S167" s="43">
        <f>LN('2.ΤΙΜΕΣ ΚΛΕΙΣΙΜΑΤΟΣ'!S168/'2.ΤΙΜΕΣ ΚΛΕΙΣΙΜΑΤΟΣ'!S167)</f>
        <v>0</v>
      </c>
      <c r="T167" s="43">
        <f>LN('2.ΤΙΜΕΣ ΚΛΕΙΣΙΜΑΤΟΣ'!T168/'2.ΤΙΜΕΣ ΚΛΕΙΣΙΜΑΤΟΣ'!T167)</f>
        <v>-8.010723746078972E-3</v>
      </c>
      <c r="U167" s="43">
        <f>LN('2.ΤΙΜΕΣ ΚΛΕΙΣΙΜΑΤΟΣ'!U168/'2.ΤΙΜΕΣ ΚΛΕΙΣΙΜΑΤΟΣ'!U167)</f>
        <v>-1.3667638728663757E-2</v>
      </c>
      <c r="V167" s="43">
        <f>LN('2.ΤΙΜΕΣ ΚΛΕΙΣΙΜΑΤΟΣ'!V168/'2.ΤΙΜΕΣ ΚΛΕΙΣΙΜΑΤΟΣ'!V167)</f>
        <v>0</v>
      </c>
      <c r="W167" s="43">
        <f>LN('2.ΤΙΜΕΣ ΚΛΕΙΣΙΜΑΤΟΣ'!W168/'2.ΤΙΜΕΣ ΚΛΕΙΣΙΜΑΤΟΣ'!W167)</f>
        <v>-1.0942358420944244E-2</v>
      </c>
      <c r="X167" s="43">
        <f>LN('2.ΤΙΜΕΣ ΚΛΕΙΣΙΜΑΤΟΣ'!X168/'2.ΤΙΜΕΣ ΚΛΕΙΣΙΜΑΤΟΣ'!X167)</f>
        <v>1.0989121575595165E-2</v>
      </c>
      <c r="Y167" s="43">
        <f>LN('2.ΤΙΜΕΣ ΚΛΕΙΣΙΜΑΤΟΣ'!Y168/'2.ΤΙΜΕΣ ΚΛΕΙΣΙΜΑΤΟΣ'!Y167)</f>
        <v>7.6211582810725657E-3</v>
      </c>
      <c r="Z167" s="43">
        <f>LN('2.ΤΙΜΕΣ ΚΛΕΙΣΙΜΑΤΟΣ'!Z168/'2.ΤΙΜΕΣ ΚΛΕΙΣΙΜΑΤΟΣ'!Z167)</f>
        <v>1.1385322225125429E-2</v>
      </c>
      <c r="AA167" s="43">
        <f>LN('2.ΤΙΜΕΣ ΚΛΕΙΣΙΜΑΤΟΣ'!AA168/'2.ΤΙΜΕΣ ΚΛΕΙΣΙΜΑΤΟΣ'!AA167)</f>
        <v>-8.3682496705166903E-3</v>
      </c>
      <c r="AB167" s="43">
        <f>LN('2.ΤΙΜΕΣ ΚΛΕΙΣΙΜΑΤΟΣ'!AB168/'2.ΤΙΜΕΣ ΚΛΕΙΣΙΜΑΤΟΣ'!AB167)</f>
        <v>-9.302392662313674E-3</v>
      </c>
      <c r="AC167" s="43">
        <f>LN('2.ΤΙΜΕΣ ΚΛΕΙΣΙΜΑΤΟΣ'!AC168/'2.ΤΙΜΕΣ ΚΛΕΙΣΙΜΑΤΟΣ'!AC167)</f>
        <v>1.3995803544232636E-3</v>
      </c>
      <c r="AD167" s="43">
        <f>LN('2.ΤΙΜΕΣ ΚΛΕΙΣΙΜΑΤΟΣ'!AD168/'2.ΤΙΜΕΣ ΚΛΕΙΣΙΜΑΤΟΣ'!AD167)</f>
        <v>3.0303053491790633E-3</v>
      </c>
      <c r="AE167" s="43">
        <f>LN('2.ΤΙΜΕΣ ΚΛΕΙΣΙΜΑΤΟΣ'!AE168/'2.ΤΙΜΕΣ ΚΛΕΙΣΙΜΑΤΟΣ'!AE167)</f>
        <v>-3.3152207316900391E-2</v>
      </c>
      <c r="AF167" s="43">
        <f>LN('2.ΤΙΜΕΣ ΚΛΕΙΣΙΜΑΤΟΣ'!AF168/'2.ΤΙΜΕΣ ΚΛΕΙΣΙΜΑΤΟΣ'!AF167)</f>
        <v>-1.0746372075484073E-2</v>
      </c>
      <c r="AG167" s="43">
        <f>LN('2.ΤΙΜΕΣ ΚΛΕΙΣΙΜΑΤΟΣ'!AG168/'2.ΤΙΜΕΣ ΚΛΕΙΣΙΜΑΤΟΣ'!AG167)</f>
        <v>-1.3698844358161915E-2</v>
      </c>
      <c r="AH167" s="43">
        <f>LN('2.ΤΙΜΕΣ ΚΛΕΙΣΙΜΑΤΟΣ'!AH168/'2.ΤΙΜΕΣ ΚΛΕΙΣΙΜΑΤΟΣ'!AH167)</f>
        <v>-1.5384918839479456E-2</v>
      </c>
      <c r="AI167" s="43">
        <f>LN('2.ΤΙΜΕΣ ΚΛΕΙΣΙΜΑΤΟΣ'!AI168/'2.ΤΙΜΕΣ ΚΛΕΙΣΙΜΑΤΟΣ'!AI167)</f>
        <v>-3.7179003241754015E-2</v>
      </c>
      <c r="AJ167" s="43">
        <f>LN('2.ΤΙΜΕΣ ΚΛΕΙΣΙΜΑΤΟΣ'!AJ168/'2.ΤΙΜΕΣ ΚΛΕΙΣΙΜΑΤΟΣ'!AJ167)</f>
        <v>-4.1928782600360393E-3</v>
      </c>
      <c r="AK167" s="43">
        <f>LN('2.ΤΙΜΕΣ ΚΛΕΙΣΙΜΑΤΟΣ'!AK168/'2.ΤΙΜΕΣ ΚΛΕΙΣΙΜΑΤΟΣ'!AK167)</f>
        <v>4.9875415110389679E-3</v>
      </c>
      <c r="AL167" s="43">
        <f>LN('2.ΤΙΜΕΣ ΚΛΕΙΣΙΜΑΤΟΣ'!AL168/'2.ΤΙΜΕΣ ΚΛΕΙΣΙΜΑΤΟΣ'!AL167)</f>
        <v>5.4067221270275793E-2</v>
      </c>
      <c r="AM167" s="43">
        <f>LN('2.ΤΙΜΕΣ ΚΛΕΙΣΙΜΑΤΟΣ'!AM168/'2.ΤΙΜΕΣ ΚΛΕΙΣΙΜΑΤΟΣ'!AM167)</f>
        <v>0</v>
      </c>
      <c r="AN167" s="43">
        <f>LN('2.ΤΙΜΕΣ ΚΛΕΙΣΙΜΑΤΟΣ'!AN168/'2.ΤΙΜΕΣ ΚΛΕΙΣΙΜΑΤΟΣ'!AN167)</f>
        <v>-1.9980026626731087E-3</v>
      </c>
      <c r="AO167" s="43">
        <f>LN('2.ΤΙΜΕΣ ΚΛΕΙΣΙΜΑΤΟΣ'!AO168/'2.ΤΙΜΕΣ ΚΛΕΙΣΙΜΑΤΟΣ'!AO167)</f>
        <v>5.8651194523980576E-3</v>
      </c>
      <c r="AP167" s="43">
        <f>LN('2.ΤΙΜΕΣ ΚΛΕΙΣΙΜΑΤΟΣ'!AP168/'2.ΤΙΜΕΣ ΚΛΕΙΣΙΜΑΤΟΣ'!AP167)</f>
        <v>1.4184634991956381E-2</v>
      </c>
      <c r="AQ167" s="43">
        <f>LN('2.ΤΙΜΕΣ ΚΛΕΙΣΙΜΑΤΟΣ'!AQ168/'2.ΤΙΜΕΣ ΚΛΕΙΣΙΜΑΤΟΣ'!AQ167)</f>
        <v>-1.7094433359300183E-2</v>
      </c>
      <c r="AR167" s="43">
        <f>LN('2.ΤΙΜΕΣ ΚΛΕΙΣΙΜΑΤΟΣ'!AR168/'2.ΤΙΜΕΣ ΚΛΕΙΣΙΜΑΤΟΣ'!AR167)</f>
        <v>9.149194653587862E-3</v>
      </c>
      <c r="AS167" s="43">
        <f>LN('2.ΤΙΜΕΣ ΚΛΕΙΣΙΜΑΤΟΣ'!AS168/'2.ΤΙΜΕΣ ΚΛΕΙΣΙΜΑΤΟΣ'!AS167)</f>
        <v>-5.6338177182560199E-3</v>
      </c>
      <c r="AT167" s="43">
        <f>LN('2.ΤΙΜΕΣ ΚΛΕΙΣΙΜΑΤΟΣ'!AT168/'2.ΤΙΜΕΣ ΚΛΕΙΣΙΜΑΤΟΣ'!AT167)</f>
        <v>-2.0356937068744085E-2</v>
      </c>
      <c r="AU167" s="43">
        <f>LN('2.ΤΙΜΕΣ ΚΛΕΙΣΙΜΑΤΟΣ'!AU168/'2.ΤΙΜΕΣ ΚΛΕΙΣΙΜΑΤΟΣ'!AU167)</f>
        <v>-7.1169906401482392E-3</v>
      </c>
    </row>
    <row r="168" spans="1:47">
      <c r="A168" s="41">
        <v>43796</v>
      </c>
      <c r="B168" s="43">
        <f>LN('2.ΤΙΜΕΣ ΚΛΕΙΣΙΜΑΤΟΣ'!B169/'2.ΤΙΜΕΣ ΚΛΕΙΣΙΜΑΤΟΣ'!B168)</f>
        <v>1.665040131338508E-2</v>
      </c>
      <c r="C168" s="43">
        <f>LN('2.ΤΙΜΕΣ ΚΛΕΙΣΙΜΑΤΟΣ'!C169/'2.ΤΙΜΕΣ ΚΛΕΙΣΙΜΑΤΟΣ'!C168)</f>
        <v>4.3668191663403895E-3</v>
      </c>
      <c r="D168" s="43">
        <f>LN('2.ΤΙΜΕΣ ΚΛΕΙΣΙΜΑΤΟΣ'!D169/'2.ΤΙΜΕΣ ΚΛΕΙΣΙΜΑΤΟΣ'!D168)</f>
        <v>2.2383184366765365E-2</v>
      </c>
      <c r="E168" s="43">
        <f>LN('2.ΤΙΜΕΣ ΚΛΕΙΣΙΜΑΤΟΣ'!E169/'2.ΤΙΜΕΣ ΚΛΕΙΣΙΜΑΤΟΣ'!E168)</f>
        <v>1.672550453993053E-2</v>
      </c>
      <c r="F168" s="43">
        <f>LN('2.ΤΙΜΕΣ ΚΛΕΙΣΙΜΑΤΟΣ'!F169/'2.ΤΙΜΕΣ ΚΛΕΙΣΙΜΑΤΟΣ'!F168)</f>
        <v>-4.6403795565023364E-3</v>
      </c>
      <c r="G168" s="43">
        <f>LN('2.ΤΙΜΕΣ ΚΛΕΙΣΙΜΑΤΟΣ'!G169/'2.ΤΙΜΕΣ ΚΛΕΙΣΙΜΑΤΟΣ'!G168)</f>
        <v>-3.1864073694078689E-3</v>
      </c>
      <c r="H168" s="43">
        <f>LN('2.ΤΙΜΕΣ ΚΛΕΙΣΙΜΑΤΟΣ'!H169/'2.ΤΙΜΕΣ ΚΛΕΙΣΙΜΑΤΟΣ'!H168)</f>
        <v>-1.7650249192127279E-2</v>
      </c>
      <c r="I168" s="43">
        <f>LN('2.ΤΙΜΕΣ ΚΛΕΙΣΙΜΑΤΟΣ'!I169/'2.ΤΙΜΕΣ ΚΛΕΙΣΙΜΑΤΟΣ'!I168)</f>
        <v>-3.7463249596215386E-3</v>
      </c>
      <c r="J168" s="43">
        <f>LN('2.ΤΙΜΕΣ ΚΛΕΙΣΙΜΑΤΟΣ'!J169/'2.ΤΙΜΕΣ ΚΛΕΙΣΙΜΑΤΟΣ'!J168)</f>
        <v>-7.4955540767856913E-3</v>
      </c>
      <c r="K168" s="43">
        <f>LN('2.ΤΙΜΕΣ ΚΛΕΙΣΙΜΑΤΟΣ'!K169/'2.ΤΙΜΕΣ ΚΛΕΙΣΙΜΑΤΟΣ'!K168)</f>
        <v>2.6556417361432674E-2</v>
      </c>
      <c r="L168" s="43">
        <f>LN('2.ΤΙΜΕΣ ΚΛΕΙΣΙΜΑΤΟΣ'!L169/'2.ΤΙΜΕΣ ΚΛΕΙΣΙΜΑΤΟΣ'!L168)</f>
        <v>5.1007397178320511E-4</v>
      </c>
      <c r="M168" s="43">
        <f>LN('2.ΤΙΜΕΣ ΚΛΕΙΣΙΜΑΤΟΣ'!M169/'2.ΤΙΜΕΣ ΚΛΕΙΣΙΜΑΤΟΣ'!M168)</f>
        <v>1.3001266557373502E-2</v>
      </c>
      <c r="N168" s="43">
        <f>LN('2.ΤΙΜΕΣ ΚΛΕΙΣΙΜΑΤΟΣ'!N169/'2.ΤΙΜΕΣ ΚΛΕΙΣΙΜΑΤΟΣ'!N168)</f>
        <v>-1.7866410392242914E-2</v>
      </c>
      <c r="O168" s="43">
        <f>LN('2.ΤΙΜΕΣ ΚΛΕΙΣΙΜΑΤΟΣ'!O169/'2.ΤΙΜΕΣ ΚΛΕΙΣΙΜΑΤΟΣ'!O168)</f>
        <v>-2.6560440581162963E-3</v>
      </c>
      <c r="P168" s="43">
        <f>LN('2.ΤΙΜΕΣ ΚΛΕΙΣΙΜΑΤΟΣ'!P169/'2.ΤΙΜΕΣ ΚΛΕΙΣΙΜΑΤΟΣ'!P168)</f>
        <v>1.4154284033307597E-3</v>
      </c>
      <c r="Q168" s="43">
        <f>LN('2.ΤΙΜΕΣ ΚΛΕΙΣΙΜΑΤΟΣ'!Q169/'2.ΤΙΜΕΣ ΚΛΕΙΣΙΜΑΤΟΣ'!Q168)</f>
        <v>6.3877357649498318E-4</v>
      </c>
      <c r="R168" s="43">
        <f>LN('2.ΤΙΜΕΣ ΚΛΕΙΣΙΜΑΤΟΣ'!R169/'2.ΤΙΜΕΣ ΚΛΕΙΣΙΜΑΤΟΣ'!R168)</f>
        <v>7.6482208382568188E-3</v>
      </c>
      <c r="S168" s="43">
        <f>LN('2.ΤΙΜΕΣ ΚΛΕΙΣΙΜΑΤΟΣ'!S169/'2.ΤΙΜΕΣ ΚΛΕΙΣΙΜΑΤΟΣ'!S168)</f>
        <v>-3.6210057669524049E-3</v>
      </c>
      <c r="T168" s="43">
        <f>LN('2.ΤΙΜΕΣ ΚΛΕΙΣΙΜΑΤΟΣ'!T169/'2.ΤΙΜΕΣ ΚΛΕΙΣΙΜΑΤΟΣ'!T168)</f>
        <v>-1.4855100990924184E-2</v>
      </c>
      <c r="U168" s="43">
        <f>LN('2.ΤΙΜΕΣ ΚΛΕΙΣΙΜΑΤΟΣ'!U169/'2.ΤΙΜΕΣ ΚΛΕΙΣΙΜΑΤΟΣ'!U168)</f>
        <v>0</v>
      </c>
      <c r="V168" s="43">
        <f>LN('2.ΤΙΜΕΣ ΚΛΕΙΣΙΜΑΤΟΣ'!V169/'2.ΤΙΜΕΣ ΚΛΕΙΣΙΜΑΤΟΣ'!V168)</f>
        <v>0</v>
      </c>
      <c r="W168" s="43">
        <f>LN('2.ΤΙΜΕΣ ΚΛΕΙΣΙΜΑΤΟΣ'!W169/'2.ΤΙΜΕΣ ΚΛΕΙΣΙΜΑΤΟΣ'!W168)</f>
        <v>0</v>
      </c>
      <c r="X168" s="43">
        <f>LN('2.ΤΙΜΕΣ ΚΛΕΙΣΙΜΑΤΟΣ'!X169/'2.ΤΙΜΕΣ ΚΛΕΙΣΙΜΑΤΟΣ'!X168)</f>
        <v>2.9611854046644438E-2</v>
      </c>
      <c r="Y168" s="43">
        <f>LN('2.ΤΙΜΕΣ ΚΛΕΙΣΙΜΑΤΟΣ'!Y169/'2.ΤΙΜΕΣ ΚΛΕΙΣΙΜΑΤΟΣ'!Y168)</f>
        <v>4.3290110895854786E-3</v>
      </c>
      <c r="Z168" s="43">
        <f>LN('2.ΤΙΜΕΣ ΚΛΕΙΣΙΜΑΤΟΣ'!Z169/'2.ΤΙΜΕΣ ΚΛΕΙΣΙΜΑΤΟΣ'!Z168)</f>
        <v>7.518832414027319E-3</v>
      </c>
      <c r="AA168" s="43">
        <f>LN('2.ΤΙΜΕΣ ΚΛΕΙΣΙΜΑΤΟΣ'!AA169/'2.ΤΙΜΕΣ ΚΛΕΙΣΙΜΑΤΟΣ'!AA168)</f>
        <v>2.7972046210612191E-3</v>
      </c>
      <c r="AB168" s="43">
        <f>LN('2.ΤΙΜΕΣ ΚΛΕΙΣΙΜΑΤΟΣ'!AB169/'2.ΤΙΜΕΣ ΚΛΕΙΣΙΜΑΤΟΣ'!AB168)</f>
        <v>0</v>
      </c>
      <c r="AC168" s="43">
        <f>LN('2.ΤΙΜΕΣ ΚΛΕΙΣΙΜΑΤΟΣ'!AC169/'2.ΤΙΜΕΣ ΚΛΕΙΣΙΜΑΤΟΣ'!AC168)</f>
        <v>-5.610112890766788E-3</v>
      </c>
      <c r="AD168" s="43">
        <f>LN('2.ΤΙΜΕΣ ΚΛΕΙΣΙΜΑΤΟΣ'!AD169/'2.ΤΙΜΕΣ ΚΛΕΙΣΙΜΑΤΟΣ'!AD168)</f>
        <v>-3.0303053491790963E-3</v>
      </c>
      <c r="AE168" s="43">
        <f>LN('2.ΤΙΜΕΣ ΚΛΕΙΣΙΜΑΤΟΣ'!AE169/'2.ΤΙΜΕΣ ΚΛΕΙΣΙΜΑΤΟΣ'!AE168)</f>
        <v>1.1173300598125255E-2</v>
      </c>
      <c r="AF168" s="43">
        <f>LN('2.ΤΙΜΕΣ ΚΛΕΙΣΙΜΑΤΟΣ'!AF169/'2.ΤΙΜΕΣ ΚΛΕΙΣΙΜΑΤΟΣ'!AF168)</f>
        <v>1.6667052485211643E-2</v>
      </c>
      <c r="AG168" s="43">
        <f>LN('2.ΤΙΜΕΣ ΚΛΕΙΣΙΜΑΤΟΣ'!AG169/'2.ΤΙΜΕΣ ΚΛΕΙΣΙΜΑΤΟΣ'!AG168)</f>
        <v>-1.8562017860059538E-2</v>
      </c>
      <c r="AH168" s="43">
        <f>LN('2.ΤΙΜΕΣ ΚΛΕΙΣΙΜΑΤΟΣ'!AH169/'2.ΤΙΜΕΣ ΚΛΕΙΣΙΜΑΤΟΣ'!AH168)</f>
        <v>-1.1696039763191298E-2</v>
      </c>
      <c r="AI168" s="43">
        <f>LN('2.ΤΙΜΕΣ ΚΛΕΙΣΙΜΑΤΟΣ'!AI169/'2.ΤΙΜΕΣ ΚΛΕΙΣΙΜΑΤΟΣ'!AI168)</f>
        <v>2.2472855852058576E-2</v>
      </c>
      <c r="AJ168" s="43">
        <f>LN('2.ΤΙΜΕΣ ΚΛΕΙΣΙΜΑΤΟΣ'!AJ169/'2.ΤΙΜΕΣ ΚΛΕΙΣΙΜΑΤΟΣ'!AJ168)</f>
        <v>-1.694955831377332E-2</v>
      </c>
      <c r="AK168" s="43">
        <f>LN('2.ΤΙΜΕΣ ΚΛΕΙΣΙΜΑΤΟΣ'!AK169/'2.ΤΙΜΕΣ ΚΛΕΙΣΙΜΑΤΟΣ'!AK168)</f>
        <v>4.9627893421290972E-3</v>
      </c>
      <c r="AL168" s="43">
        <f>LN('2.ΤΙΜΕΣ ΚΛΕΙΣΙΜΑΤΟΣ'!AL169/'2.ΤΙΜΕΣ ΚΛΕΙΣΙΜΑΤΟΣ'!AL168)</f>
        <v>-4.3017385083690816E-2</v>
      </c>
      <c r="AM168" s="43">
        <f>LN('2.ΤΙΜΕΣ ΚΛΕΙΣΙΜΑΤΟΣ'!AM169/'2.ΤΙΜΕΣ ΚΛΕΙΣΙΜΑΤΟΣ'!AM168)</f>
        <v>-1.3986241974739952E-2</v>
      </c>
      <c r="AN168" s="43">
        <f>LN('2.ΤΙΜΕΣ ΚΛΕΙΣΙΜΑΤΟΣ'!AN169/'2.ΤΙΜΕΣ ΚΛΕΙΣΙΜΑΤΟΣ'!AN168)</f>
        <v>-2.0020026706730793E-3</v>
      </c>
      <c r="AO168" s="43">
        <f>LN('2.ΤΙΜΕΣ ΚΛΕΙΣΙΜΑΤΟΣ'!AO169/'2.ΤΙΜΕΣ ΚΛΕΙΣΙΜΑΤΟΣ'!AO168)</f>
        <v>2.9197101033348462E-3</v>
      </c>
      <c r="AP168" s="43">
        <f>LN('2.ΤΙΜΕΣ ΚΛΕΙΣΙΜΑΤΟΣ'!AP169/'2.ΤΙΜΕΣ ΚΛΕΙΣΙΜΑΤΟΣ'!AP168)</f>
        <v>1.398624197473987E-2</v>
      </c>
      <c r="AQ168" s="43">
        <f>LN('2.ΤΙΜΕΣ ΚΛΕΙΣΙΜΑΤΟΣ'!AQ169/'2.ΤΙΜΕΣ ΚΛΕΙΣΙΜΑΤΟΣ'!AQ168)</f>
        <v>-2.3014969882792745E-3</v>
      </c>
      <c r="AR168" s="43">
        <f>LN('2.ΤΙΜΕΣ ΚΛΕΙΣΙΜΑΤΟΣ'!AR169/'2.ΤΙΜΕΣ ΚΛΕΙΣΙΜΑΤΟΣ'!AR168)</f>
        <v>-2.210034700066597E-2</v>
      </c>
      <c r="AS168" s="43">
        <f>LN('2.ΤΙΜΕΣ ΚΛΕΙΣΙΜΑΤΟΣ'!AS169/'2.ΤΙΜΕΣ ΚΛΕΙΣΙΜΑΤΟΣ'!AS168)</f>
        <v>8.4388686458646035E-3</v>
      </c>
      <c r="AT168" s="43">
        <f>LN('2.ΤΙΜΕΣ ΚΛΕΙΣΙΜΑΤΟΣ'!AT169/'2.ΤΙΜΕΣ ΚΛΕΙΣΙΜΑΤΟΣ'!AT168)</f>
        <v>1.2771565679487539E-2</v>
      </c>
      <c r="AU168" s="43">
        <f>LN('2.ΤΙΜΕΣ ΚΛΕΙΣΙΜΑΤΟΣ'!AU169/'2.ΤΙΜΕΣ ΚΛΕΙΣΙΜΑΤΟΣ'!AU168)</f>
        <v>3.5480676768424768E-3</v>
      </c>
    </row>
    <row r="169" spans="1:47">
      <c r="A169" s="41">
        <v>43797</v>
      </c>
      <c r="B169" s="43">
        <f>LN('2.ΤΙΜΕΣ ΚΛΕΙΣΙΜΑΤΟΣ'!B170/'2.ΤΙΜΕΣ ΚΛΕΙΣΙΜΑΤΟΣ'!B169)</f>
        <v>-2.6455041884241655E-3</v>
      </c>
      <c r="C169" s="43">
        <f>LN('2.ΤΙΜΕΣ ΚΛΕΙΣΙΜΑΤΟΣ'!C170/'2.ΤΙΜΕΣ ΚΛΕΙΣΙΜΑΤΟΣ'!C169)</f>
        <v>-2.9090929606837243E-3</v>
      </c>
      <c r="D169" s="43">
        <f>LN('2.ΤΙΜΕΣ ΚΛΕΙΣΙΜΑΤΟΣ'!D170/'2.ΤΙΜΕΣ ΚΛΕΙΣΙΜΑΤΟΣ'!D169)</f>
        <v>5.2490729423112371E-2</v>
      </c>
      <c r="E169" s="43">
        <f>LN('2.ΤΙΜΕΣ ΚΛΕΙΣΙΜΑΤΟΣ'!E170/'2.ΤΙΜΕΣ ΚΛΕΙΣΙΜΑΤΟΣ'!E169)</f>
        <v>-9.1373922494382611E-3</v>
      </c>
      <c r="F169" s="43">
        <f>LN('2.ΤΙΜΕΣ ΚΛΕΙΣΙΜΑΤΟΣ'!F170/'2.ΤΙΜΕΣ ΚΛΕΙΣΙΜΑΤΟΣ'!F169)</f>
        <v>-2.3282897595910735E-3</v>
      </c>
      <c r="G169" s="43">
        <f>LN('2.ΤΙΜΕΣ ΚΛΕΙΣΙΜΑΤΟΣ'!G170/'2.ΤΙΜΕΣ ΚΛΕΙΣΙΜΑΤΟΣ'!G169)</f>
        <v>2.2094533706242862E-2</v>
      </c>
      <c r="H169" s="43">
        <f>LN('2.ΤΙΜΕΣ ΚΛΕΙΣΙΜΑΤΟΣ'!H170/'2.ΤΙΜΕΣ ΚΛΕΙΣΙΜΑΤΟΣ'!H169)</f>
        <v>4.6750903289939751E-3</v>
      </c>
      <c r="I169" s="43">
        <f>LN('2.ΤΙΜΕΣ ΚΛΕΙΣΙΜΑΤΟΣ'!I170/'2.ΤΙΜΕΣ ΚΛΕΙΣΙΜΑΤΟΣ'!I169)</f>
        <v>1.8066378734369889E-2</v>
      </c>
      <c r="J169" s="43">
        <f>LN('2.ΤΙΜΕΣ ΚΛΕΙΣΙΜΑΤΟΣ'!J170/'2.ΤΙΜΕΣ ΚΛΕΙΣΙΜΑΤΟΣ'!J169)</f>
        <v>2.2320189090587382E-2</v>
      </c>
      <c r="K169" s="43">
        <f>LN('2.ΤΙΜΕΣ ΚΛΕΙΣΙΜΑΤΟΣ'!K170/'2.ΤΙΜΕΣ ΚΛΕΙΣΙΜΑΤΟΣ'!K169)</f>
        <v>-9.7020858064505913E-3</v>
      </c>
      <c r="L169" s="43">
        <f>LN('2.ΤΙΜΕΣ ΚΛΕΙΣΙΜΑΤΟΣ'!L170/'2.ΤΙΜΕΣ ΚΛΕΙΣΙΜΑΤΟΣ'!L169)</f>
        <v>3.5632514158525433E-3</v>
      </c>
      <c r="M169" s="43">
        <f>LN('2.ΤΙΜΕΣ ΚΛΕΙΣΙΜΑΤΟΣ'!M170/'2.ΤΙΜΕΣ ΚΛΕΙΣΙΜΑΤΟΣ'!M169)</f>
        <v>0</v>
      </c>
      <c r="N169" s="43">
        <f>LN('2.ΤΙΜΕΣ ΚΛΕΙΣΙΜΑΤΟΣ'!N170/'2.ΤΙΜΕΣ ΚΛΕΙΣΙΜΑΤΟΣ'!N169)</f>
        <v>2.7303061046981568E-2</v>
      </c>
      <c r="O169" s="43">
        <f>LN('2.ΤΙΜΕΣ ΚΛΕΙΣΙΜΑΤΟΣ'!O170/'2.ΤΙΜΕΣ ΚΛΕΙΣΙΜΑΤΟΣ'!O169)</f>
        <v>-2.6631174194836618E-3</v>
      </c>
      <c r="P169" s="43">
        <f>LN('2.ΤΙΜΕΣ ΚΛΕΙΣΙΜΑΤΟΣ'!P170/'2.ΤΙΜΕΣ ΚΛΕΙΣΙΜΑΤΟΣ'!P169)</f>
        <v>1.4134277971469427E-3</v>
      </c>
      <c r="Q169" s="43">
        <f>LN('2.ΤΙΜΕΣ ΚΛΕΙΣΙΜΑΤΟΣ'!Q170/'2.ΤΙΜΕΣ ΚΛΕΙΣΙΜΑΤΟΣ'!Q169)</f>
        <v>-3.8387763071657129E-3</v>
      </c>
      <c r="R169" s="43">
        <f>LN('2.ΤΙΜΕΣ ΚΛΕΙΣΙΜΑΤΟΣ'!R170/'2.ΤΙΜΕΣ ΚΛΕΙΣΙΜΑΤΟΣ'!R169)</f>
        <v>1.6373161736981324E-2</v>
      </c>
      <c r="S169" s="43">
        <f>LN('2.ΤΙΜΕΣ ΚΛΕΙΣΙΜΑΤΟΣ'!S170/'2.ΤΙΜΕΣ ΚΛΕΙΣΙΜΑΤΟΣ'!S169)</f>
        <v>-1.2165600163688364E-2</v>
      </c>
      <c r="T169" s="43">
        <f>LN('2.ΤΙΜΕΣ ΚΛΕΙΣΙΜΑΤΟΣ'!T170/'2.ΤΙΜΕΣ ΚΛΕΙΣΙΜΑΤΟΣ'!T169)</f>
        <v>-1.0944021679317368E-2</v>
      </c>
      <c r="U169" s="43">
        <f>LN('2.ΤΙΜΕΣ ΚΛΕΙΣΙΜΑΤΟΣ'!U170/'2.ΤΙΜΕΣ ΚΛΕΙΣΙΜΑΤΟΣ'!U169)</f>
        <v>-2.296212260350379E-3</v>
      </c>
      <c r="V169" s="43">
        <f>LN('2.ΤΙΜΕΣ ΚΛΕΙΣΙΜΑΤΟΣ'!V170/'2.ΤΙΜΕΣ ΚΛΕΙΣΙΜΑΤΟΣ'!V169)</f>
        <v>-8.7336799687545534E-3</v>
      </c>
      <c r="W169" s="43">
        <f>LN('2.ΤΙΜΕΣ ΚΛΕΙΣΙΜΑΤΟΣ'!W170/'2.ΤΙΜΕΣ ΚΛΕΙΣΙΜΑΤΟΣ'!W169)</f>
        <v>1.4563364187896728E-2</v>
      </c>
      <c r="X169" s="43">
        <f>LN('2.ΤΙΜΕΣ ΚΛΕΙΣΙΜΑΤΟΣ'!X170/'2.ΤΙΜΕΣ ΚΛΕΙΣΙΜΑΤΟΣ'!X169)</f>
        <v>-2.6560440581162963E-3</v>
      </c>
      <c r="Y169" s="43">
        <f>LN('2.ΤΙΜΕΣ ΚΛΕΙΣΙΜΑΤΟΣ'!Y170/'2.ΤΙΜΕΣ ΚΛΕΙΣΙΜΑΤΟΣ'!Y169)</f>
        <v>-1.3043663192029339E-2</v>
      </c>
      <c r="Z169" s="43">
        <f>LN('2.ΤΙΜΕΣ ΚΛΕΙΣΙΜΑΤΟΣ'!Z170/'2.ΤΙΜΕΣ ΚΛΕΙΣΙΜΑΤΟΣ'!Z169)</f>
        <v>-1.1299555253933394E-2</v>
      </c>
      <c r="AA169" s="43">
        <f>LN('2.ΤΙΜΕΣ ΚΛΕΙΣΙΜΑΤΟΣ'!AA170/'2.ΤΙΜΕΣ ΚΛΕΙΣΙΜΑΤΟΣ'!AA169)</f>
        <v>2.7894020875785922E-3</v>
      </c>
      <c r="AB169" s="43">
        <f>LN('2.ΤΙΜΕΣ ΚΛΕΙΣΙΜΑΤΟΣ'!AB170/'2.ΤΙΜΕΣ ΚΛΕΙΣΙΜΑΤΟΣ'!AB169)</f>
        <v>9.3023926623136306E-3</v>
      </c>
      <c r="AC169" s="43">
        <f>LN('2.ΤΙΜΕΣ ΚΛΕΙΣΙΜΑΤΟΣ'!AC170/'2.ΤΙΜΕΣ ΚΛΕΙΣΙΜΑΤΟΣ'!AC169)</f>
        <v>0</v>
      </c>
      <c r="AD169" s="43">
        <f>LN('2.ΤΙΜΕΣ ΚΛΕΙΣΙΜΑΤΟΣ'!AD170/'2.ΤΙΜΕΣ ΚΛΕΙΣΙΜΑΤΟΣ'!AD169)</f>
        <v>-1.0678972575854255E-2</v>
      </c>
      <c r="AE169" s="43">
        <f>LN('2.ΤΙΜΕΣ ΚΛΕΙΣΙΜΑΤΟΣ'!AE170/'2.ΤΙΜΕΣ ΚΛΕΙΣΙΜΑΤΟΣ'!AE169)</f>
        <v>0</v>
      </c>
      <c r="AF169" s="43">
        <f>LN('2.ΤΙΜΕΣ ΚΛΕΙΣΙΜΑΤΟΣ'!AF170/'2.ΤΙΜΕΣ ΚΛΕΙΣΙΜΑΤΟΣ'!AF169)</f>
        <v>3.535654832307797E-3</v>
      </c>
      <c r="AG169" s="43">
        <f>LN('2.ΤΙΜΕΣ ΚΛΕΙΣΙΜΑΤΟΣ'!AG170/'2.ΤΙΜΕΣ ΚΛΕΙΣΙΜΑΤΟΣ'!AG169)</f>
        <v>1.6260520871780326E-2</v>
      </c>
      <c r="AH169" s="43">
        <f>LN('2.ΤΙΜΕΣ ΚΛΕΙΣΙΜΑΤΟΣ'!AH170/'2.ΤΙΜΕΣ ΚΛΕΙΣΙΜΑΤΟΣ'!AH169)</f>
        <v>2.1339316034995389E-2</v>
      </c>
      <c r="AI169" s="43">
        <f>LN('2.ΤΙΜΕΣ ΚΛΕΙΣΙΜΑΤΟΣ'!AI170/'2.ΤΙΜΕΣ ΚΛΕΙΣΙΜΑΤΟΣ'!AI169)</f>
        <v>-7.4349784875180902E-3</v>
      </c>
      <c r="AJ169" s="43">
        <f>LN('2.ΤΙΜΕΣ ΚΛΕΙΣΙΜΑΤΟΣ'!AJ170/'2.ΤΙΜΕΣ ΚΛΕΙΣΙΜΑΤΟΣ'!AJ169)</f>
        <v>1.6949558313773205E-2</v>
      </c>
      <c r="AK169" s="43">
        <f>LN('2.ΤΙΜΕΣ ΚΛΕΙΣΙΜΑΤΟΣ'!AK170/'2.ΤΙΜΕΣ ΚΛΕΙΣΙΜΑΤΟΣ'!AK169)</f>
        <v>9.8522964430116395E-3</v>
      </c>
      <c r="AL169" s="43">
        <f>LN('2.ΤΙΜΕΣ ΚΛΕΙΣΙΜΑΤΟΣ'!AL170/'2.ΤΙΜΕΣ ΚΛΕΙΣΙΜΑΤΟΣ'!AL169)</f>
        <v>2.173998663640582E-2</v>
      </c>
      <c r="AM169" s="43">
        <f>LN('2.ΤΙΜΕΣ ΚΛΕΙΣΙΜΑΤΟΣ'!AM170/'2.ΤΙΜΕΣ ΚΛΕΙΣΙΜΑΤΟΣ'!AM169)</f>
        <v>0</v>
      </c>
      <c r="AN169" s="43">
        <f>LN('2.ΤΙΜΕΣ ΚΛΕΙΣΙΜΑΤΟΣ'!AN170/'2.ΤΙΜΕΣ ΚΛΕΙΣΙΜΑΤΟΣ'!AN169)</f>
        <v>-1.6161967956998102E-2</v>
      </c>
      <c r="AO169" s="43">
        <f>LN('2.ΤΙΜΕΣ ΚΛΕΙΣΙΜΑΤΟΣ'!AO170/'2.ΤΙΜΕΣ ΚΛΕΙΣΙΜΑΤΟΣ'!AO169)</f>
        <v>-2.9197101033348618E-3</v>
      </c>
      <c r="AP169" s="43">
        <f>LN('2.ΤΙΜΕΣ ΚΛΕΙΣΙΜΑΤΟΣ'!AP170/'2.ΤΙΜΕΣ ΚΛΕΙΣΙΜΑΤΟΣ'!AP169)</f>
        <v>-1.1173300598125189E-2</v>
      </c>
      <c r="AQ169" s="43">
        <f>LN('2.ΤΙΜΕΣ ΚΛΕΙΣΙΜΑΤΟΣ'!AQ170/'2.ΤΙΜΕΣ ΚΛΕΙΣΙΜΑΤΟΣ'!AQ169)</f>
        <v>-9.2593254127967123E-3</v>
      </c>
      <c r="AR169" s="43">
        <f>LN('2.ΤΙΜΕΣ ΚΛΕΙΣΙΜΑΤΟΣ'!AR170/'2.ΤΙΜΕΣ ΚΛΕΙΣΙΜΑΤΟΣ'!AR169)</f>
        <v>-1.5009662650565289E-2</v>
      </c>
      <c r="AS169" s="43">
        <f>LN('2.ΤΙΜΕΣ ΚΛΕΙΣΙΜΑΤΟΣ'!AS170/'2.ΤΙΜΕΣ ΚΛΕΙΣΙΜΑΤΟΣ'!AS169)</f>
        <v>-8.4388686458645949E-3</v>
      </c>
      <c r="AT169" s="43">
        <f>LN('2.ΤΙΜΕΣ ΚΛΕΙΣΙΜΑΤΟΣ'!AT170/'2.ΤΙΜΕΣ ΚΛΕΙΣΙΜΑΤΟΣ'!AT169)</f>
        <v>-1.2771565679487505E-2</v>
      </c>
      <c r="AU169" s="43">
        <f>LN('2.ΤΙΜΕΣ ΚΛΕΙΣΙΜΑΤΟΣ'!AU170/'2.ΤΙΜΕΣ ΚΛΕΙΣΙΜΑΤΟΣ'!AU169)</f>
        <v>5.2597096929798198E-3</v>
      </c>
    </row>
    <row r="170" spans="1:47">
      <c r="A170" s="41">
        <v>43798</v>
      </c>
      <c r="B170" s="43">
        <f>LN('2.ΤΙΜΕΣ ΚΛΕΙΣΙΜΑΤΟΣ'!B171/'2.ΤΙΜΕΣ ΚΛΕΙΣΙΜΑΤΟΣ'!B170)</f>
        <v>1.9847839793859824E-3</v>
      </c>
      <c r="C170" s="43">
        <f>LN('2.ΤΙΜΕΣ ΚΛΕΙΣΙΜΑΤΟΣ'!C171/'2.ΤΙΜΕΣ ΚΛΕΙΣΙΜΑΤΟΣ'!C170)</f>
        <v>-6.5765673645636017E-3</v>
      </c>
      <c r="D170" s="43">
        <f>LN('2.ΤΙΜΕΣ ΚΛΕΙΣΙΜΑΤΟΣ'!D171/'2.ΤΙΜΕΣ ΚΛΕΙΣΙΜΑΤΟΣ'!D170)</f>
        <v>1.8008721612505729E-2</v>
      </c>
      <c r="E170" s="43">
        <f>LN('2.ΤΙΜΕΣ ΚΛΕΙΣΙΜΑΤΟΣ'!E171/'2.ΤΙΜΕΣ ΚΛΕΙΣΙΜΑΤΟΣ'!E170)</f>
        <v>-1.7429635135283648E-2</v>
      </c>
      <c r="F170" s="43">
        <f>LN('2.ΤΙΜΕΣ ΚΛΕΙΣΙΜΑΤΟΣ'!F171/'2.ΤΙΜΕΣ ΚΛΕΙΣΙΜΑΤΟΣ'!F170)</f>
        <v>8.1254074439171525E-3</v>
      </c>
      <c r="G170" s="43">
        <f>LN('2.ΤΙΜΕΣ ΚΛΕΙΣΙΜΑΤΟΣ'!G171/'2.ΤΙΜΕΣ ΚΛΕΙΣΙΜΑΤΟΣ'!G170)</f>
        <v>-5.2164959188912121E-3</v>
      </c>
      <c r="H170" s="43">
        <f>LN('2.ΤΙΜΕΣ ΚΛΕΙΣΙΜΑΤΟΣ'!H171/'2.ΤΙΜΕΣ ΚΛΕΙΣΙΜΑΤΟΣ'!H170)</f>
        <v>-9.3721398288633215E-3</v>
      </c>
      <c r="I170" s="43">
        <f>LN('2.ΤΙΜΕΣ ΚΛΕΙΣΙΜΑΤΟΣ'!I171/'2.ΤΙΜΕΣ ΚΛΕΙΣΙΜΑΤΟΣ'!I170)</f>
        <v>5.7758102283895782E-3</v>
      </c>
      <c r="J170" s="43">
        <f>LN('2.ΤΙΜΕΣ ΚΛΕΙΣΙΜΑΤΟΣ'!J171/'2.ΤΙΜΕΣ ΚΛΕΙΣΙΜΑΤΟΣ'!J170)</f>
        <v>-1.6774586882880766E-2</v>
      </c>
      <c r="K170" s="43">
        <f>LN('2.ΤΙΜΕΣ ΚΛΕΙΣΙΜΑΤΟΣ'!K171/'2.ΤΙΜΕΣ ΚΛΕΙΣΙΜΑΤΟΣ'!K170)</f>
        <v>2.7816429618767705E-3</v>
      </c>
      <c r="L170" s="43">
        <f>LN('2.ΤΙΜΕΣ ΚΛΕΙΣΙΜΑΤΟΣ'!L171/'2.ΤΙΜΕΣ ΚΛΕΙΣΙΜΑΤΟΣ'!L170)</f>
        <v>2.6079712783051663E-2</v>
      </c>
      <c r="M170" s="43">
        <f>LN('2.ΤΙΜΕΣ ΚΛΕΙΣΙΜΑΤΟΣ'!M171/'2.ΤΙΜΕΣ ΚΛΕΙΣΙΜΑΤΟΣ'!M170)</f>
        <v>-7.5635152572445076E-3</v>
      </c>
      <c r="N170" s="43">
        <f>LN('2.ΤΙΜΕΣ ΚΛΕΙΣΙΜΑΤΟΣ'!N171/'2.ΤΙΜΕΣ ΚΛΕΙΣΙΜΑΤΟΣ'!N170)</f>
        <v>6.7451560024508264E-3</v>
      </c>
      <c r="O170" s="43">
        <f>LN('2.ΤΙΜΕΣ ΚΛΕΙΣΙΜΑΤΟΣ'!O171/'2.ΤΙΜΕΣ ΚΛΕΙΣΙΜΑΤΟΣ'!O170)</f>
        <v>-6.6889881507965401E-3</v>
      </c>
      <c r="P170" s="43">
        <f>LN('2.ΤΙΜΕΣ ΚΛΕΙΣΙΜΑΤΟΣ'!P171/'2.ΤΙΜΕΣ ΚΛΕΙΣΙΜΑΤΟΣ'!P170)</f>
        <v>4.2283361095211049E-3</v>
      </c>
      <c r="Q170" s="43">
        <f>LN('2.ΤΙΜΕΣ ΚΛΕΙΣΙΜΑΤΟΣ'!Q171/'2.ΤΙΜΕΣ ΚΛΕΙΣΙΜΑΤΟΣ'!Q170)</f>
        <v>1.9048194970694411E-2</v>
      </c>
      <c r="R170" s="43">
        <f>LN('2.ΤΙΜΕΣ ΚΛΕΙΣΙΜΑΤΟΣ'!R171/'2.ΤΙΜΕΣ ΚΛΕΙΣΙΜΑΤΟΣ'!R170)</f>
        <v>9.9441465803922283E-3</v>
      </c>
      <c r="S170" s="43">
        <f>LN('2.ΤΙΜΕΣ ΚΛΕΙΣΙΜΑΤΟΣ'!S171/'2.ΤΙΜΕΣ ΚΛΕΙΣΙΜΑΤΟΣ'!S170)</f>
        <v>2.6571611607203297E-2</v>
      </c>
      <c r="T170" s="43">
        <f>LN('2.ΤΙΜΕΣ ΚΛΕΙΣΙΜΑΤΟΣ'!T171/'2.ΤΙΜΕΣ ΚΛΕΙΣΙΜΑΤΟΣ'!T170)</f>
        <v>3.3809846416320559E-2</v>
      </c>
      <c r="U170" s="43">
        <f>LN('2.ΤΙΜΕΣ ΚΛΕΙΣΙΜΑΤΟΣ'!U171/'2.ΤΙΜΕΣ ΚΛΕΙΣΙΜΑΤΟΣ'!U170)</f>
        <v>-2.301496988279163E-3</v>
      </c>
      <c r="V170" s="43">
        <f>LN('2.ΤΙΜΕΣ ΚΛΕΙΣΙΜΑΤΟΣ'!V171/'2.ΤΙΜΕΣ ΚΛΕΙΣΙΜΑΤΟΣ'!V170)</f>
        <v>4.3763745997987815E-3</v>
      </c>
      <c r="W170" s="43">
        <f>LN('2.ΤΙΜΕΣ ΚΛΕΙΣΙΜΑΤΟΣ'!W171/'2.ΤΙΜΕΣ ΚΛΕΙΣΙΜΑΤΟΣ'!W170)</f>
        <v>6.0060240602117284E-3</v>
      </c>
      <c r="X170" s="43">
        <f>LN('2.ΤΙΜΕΣ ΚΛΕΙΣΙΜΑΤΟΣ'!X171/'2.ΤΙΜΕΣ ΚΛΕΙΣΙΜΑΤΟΣ'!X170)</f>
        <v>2.6560440581162104E-3</v>
      </c>
      <c r="Y170" s="43">
        <f>LN('2.ΤΙΜΕΣ ΚΛΕΙΣΙΜΑΤΟΣ'!Y171/'2.ΤΙΜΕΣ ΚΛΕΙΣΙΜΑΤΟΣ'!Y170)</f>
        <v>5.4555509015369588E-3</v>
      </c>
      <c r="Z170" s="43">
        <f>LN('2.ΤΙΜΕΣ ΚΛΕΙΣΙΜΑΤΟΣ'!Z171/'2.ΤΙΜΕΣ ΚΛΕΙΣΙΜΑΤΟΣ'!Z170)</f>
        <v>-1.1428695823622631E-2</v>
      </c>
      <c r="AA170" s="43">
        <f>LN('2.ΤΙΜΕΣ ΚΛΕΙΣΙΜΑΤΟΣ'!AA171/'2.ΤΙΜΕΣ ΚΛΕΙΣΙΜΑΤΟΣ'!AA170)</f>
        <v>2.7816429618767705E-3</v>
      </c>
      <c r="AB170" s="43">
        <f>LN('2.ΤΙΜΕΣ ΚΛΕΙΣΙΜΑΤΟΣ'!AB171/'2.ΤΙΜΕΣ ΚΛΕΙΣΙΜΑΤΟΣ'!AB170)</f>
        <v>0</v>
      </c>
      <c r="AC170" s="43">
        <f>LN('2.ΤΙΜΕΣ ΚΛΕΙΣΙΜΑΤΟΣ'!AC171/'2.ΤΙΜΕΣ ΚΛΕΙΣΙΜΑΤΟΣ'!AC170)</f>
        <v>-8.4746269909722321E-3</v>
      </c>
      <c r="AD170" s="43">
        <f>LN('2.ΤΙΜΕΣ ΚΛΕΙΣΙΜΑΤΟΣ'!AD171/'2.ΤΙΜΕΣ ΚΛΕΙΣΙΜΑΤΟΣ'!AD170)</f>
        <v>1.0678972575854314E-2</v>
      </c>
      <c r="AE170" s="43">
        <f>LN('2.ΤΙΜΕΣ ΚΛΕΙΣΙΜΑΤΟΣ'!AE171/'2.ΤΙΜΕΣ ΚΛΕΙΣΙΜΑΤΟΣ'!AE170)</f>
        <v>-1.8692133012152633E-2</v>
      </c>
      <c r="AF170" s="43">
        <f>LN('2.ΤΙΜΕΣ ΚΛΕΙΣΙΜΑΤΟΣ'!AF171/'2.ΤΙΜΕΣ ΚΛΕΙΣΙΜΑΤΟΣ'!AF170)</f>
        <v>3.1270642887820881E-2</v>
      </c>
      <c r="AG170" s="43">
        <f>LN('2.ΤΙΜΕΣ ΚΛΕΙΣΙΜΑΤΟΣ'!AG171/'2.ΤΙΜΕΣ ΚΛΕΙΣΙΜΑΤΟΣ'!AG170)</f>
        <v>-1.392133851860812E-2</v>
      </c>
      <c r="AH170" s="43">
        <f>LN('2.ΤΙΜΕΣ ΚΛΕΙΣΙΜΑΤΟΣ'!AH171/'2.ΤΙΜΕΣ ΚΛΕΙΣΙΜΑΤΟΣ'!AH170)</f>
        <v>7.6482208382568188E-3</v>
      </c>
      <c r="AI170" s="43">
        <f>LN('2.ΤΙΜΕΣ ΚΛΕΙΣΙΜΑΤΟΣ'!AI171/'2.ΤΙΜΕΣ ΚΛΕΙΣΙΜΑΤΟΣ'!AI170)</f>
        <v>7.4349784875179905E-3</v>
      </c>
      <c r="AJ170" s="43">
        <f>LN('2.ΤΙΜΕΣ ΚΛΕΙΣΙΜΑΤΟΣ'!AJ171/'2.ΤΙΜΕΣ ΚΛΕΙΣΙΜΑΤΟΣ'!AJ170)</f>
        <v>0</v>
      </c>
      <c r="AK170" s="43">
        <f>LN('2.ΤΙΜΕΣ ΚΛΕΙΣΙΜΑΤΟΣ'!AK171/'2.ΤΙΜΕΣ ΚΛΕΙΣΙΜΑΤΟΣ'!AK170)</f>
        <v>-9.8522964430115944E-3</v>
      </c>
      <c r="AL170" s="43">
        <f>LN('2.ΤΙΜΕΣ ΚΛΕΙΣΙΜΑΤΟΣ'!AL171/'2.ΤΙΜΕΣ ΚΛΕΙΣΙΜΑΤΟΣ'!AL170)</f>
        <v>2.1277398447284879E-2</v>
      </c>
      <c r="AM170" s="43">
        <f>LN('2.ΤΙΜΕΣ ΚΛΕΙΣΙΜΑΤΟΣ'!AM171/'2.ΤΙΜΕΣ ΚΛΕΙΣΙΜΑΤΟΣ'!AM170)</f>
        <v>0</v>
      </c>
      <c r="AN170" s="43">
        <f>LN('2.ΤΙΜΕΣ ΚΛΕΙΣΙΜΑΤΟΣ'!AN171/'2.ΤΙΜΕΣ ΚΛΕΙΣΙΜΑΤΟΣ'!AN170)</f>
        <v>3.2066875796662654E-2</v>
      </c>
      <c r="AO170" s="43">
        <f>LN('2.ΤΙΜΕΣ ΚΛΕΙΣΙΜΑΤΟΣ'!AO171/'2.ΤΙΜΕΣ ΚΛΕΙΣΙΜΑΤΟΣ'!AO170)</f>
        <v>5.8309203107931437E-3</v>
      </c>
      <c r="AP170" s="43">
        <f>LN('2.ΤΙΜΕΣ ΚΛΕΙΣΙΜΑΤΟΣ'!AP171/'2.ΤΙΜΕΣ ΚΛΕΙΣΙΜΑΤΟΣ'!AP170)</f>
        <v>5.6022555486697516E-3</v>
      </c>
      <c r="AQ170" s="43">
        <f>LN('2.ΤΙΜΕΣ ΚΛΕΙΣΙΜΑΤΟΣ'!AQ171/'2.ΤΙΜΕΣ ΚΛΕΙΣΙΜΑΤΟΣ'!AQ170)</f>
        <v>-5.8309203107932096E-3</v>
      </c>
      <c r="AR170" s="43">
        <f>LN('2.ΤΙΜΕΣ ΚΛΕΙΣΙΜΑΤΟΣ'!AR171/'2.ΤΙΜΕΣ ΚΛΕΙΣΙΜΑΤΟΣ'!AR170)</f>
        <v>2.7960814997643291E-2</v>
      </c>
      <c r="AS170" s="43">
        <f>LN('2.ΤΙΜΕΣ ΚΛΕΙΣΙΜΑΤΟΣ'!AS171/'2.ΤΙΜΕΣ ΚΛΕΙΣΙΜΑΤΟΣ'!AS170)</f>
        <v>5.6338177182560642E-3</v>
      </c>
      <c r="AT170" s="43">
        <f>LN('2.ΤΙΜΕΣ ΚΛΕΙΣΙΜΑΤΟΣ'!AT171/'2.ΤΙΜΕΣ ΚΛΕΙΣΙΜΑΤΟΣ'!AT170)</f>
        <v>-5.1546505886645375E-3</v>
      </c>
      <c r="AU170" s="43">
        <f>LN('2.ΤΙΜΕΣ ΚΛΕΙΣΙΜΑΤΟΣ'!AU171/'2.ΤΙΜΕΣ ΚΛΕΙΣΙΜΑΤΟΣ'!AU170)</f>
        <v>2.031832734226852E-3</v>
      </c>
    </row>
    <row r="171" spans="1:47">
      <c r="A171" s="41">
        <v>43801</v>
      </c>
      <c r="B171" s="43">
        <f>LN('2.ΤΙΜΕΣ ΚΛΕΙΣΙΜΑΤΟΣ'!B172/'2.ΤΙΜΕΣ ΚΛΕΙΣΙΜΑΤΟΣ'!B171)</f>
        <v>-1.8679662551555946E-2</v>
      </c>
      <c r="C171" s="43">
        <f>LN('2.ΤΙΜΕΣ ΚΛΕΙΣΙΜΑΤΟΣ'!C172/'2.ΤΙΜΕΣ ΚΛΕΙΣΙΜΑΤΟΣ'!C171)</f>
        <v>-5.8823699030665245E-3</v>
      </c>
      <c r="D171" s="43">
        <f>LN('2.ΤΙΜΕΣ ΚΛΕΙΣΙΜΑΤΟΣ'!D172/'2.ΤΙΜΕΣ ΚΛΕΙΣΙΜΑΤΟΣ'!D171)</f>
        <v>-8.1045018119389588E-3</v>
      </c>
      <c r="E171" s="43">
        <f>LN('2.ΤΙΜΕΣ ΚΛΕΙΣΙΜΑΤΟΣ'!E172/'2.ΤΙΜΕΣ ΚΛΕΙΣΙΜΑΤΟΣ'!E171)</f>
        <v>0</v>
      </c>
      <c r="F171" s="43">
        <f>LN('2.ΤΙΜΕΣ ΚΛΕΙΣΙΜΑΤΟΣ'!F172/'2.ΤΙΜΕΣ ΚΛΕΙΣΙΜΑΤΟΣ'!F171)</f>
        <v>-3.4742362681863897E-3</v>
      </c>
      <c r="G171" s="43">
        <f>LN('2.ΤΙΜΕΣ ΚΛΕΙΣΙΜΑΤΟΣ'!G172/'2.ΤΙΜΕΣ ΚΛΕΙΣΙΜΑΤΟΣ'!G171)</f>
        <v>-2.6498635774334159E-2</v>
      </c>
      <c r="H171" s="43">
        <f>LN('2.ΤΙΜΕΣ ΚΛΕΙΣΙΜΑΤΟΣ'!H172/'2.ΤΙΜΕΣ ΚΛΕΙΣΙΜΑΤΟΣ'!H171)</f>
        <v>-6.6131558917171184E-3</v>
      </c>
      <c r="I171" s="43">
        <f>LN('2.ΤΙΜΕΣ ΚΛΕΙΣΙΜΑΤΟΣ'!I172/'2.ΤΙΜΕΣ ΚΛΕΙΣΙΜΑΤΟΣ'!I171)</f>
        <v>-1.5831465216680628E-2</v>
      </c>
      <c r="J171" s="43">
        <f>LN('2.ΤΙΜΕΣ ΚΛΕΙΣΙΜΑΤΟΣ'!J172/'2.ΤΙΜΕΣ ΚΛΕΙΣΙΜΑΤΟΣ'!J171)</f>
        <v>-2.4700745349531945E-2</v>
      </c>
      <c r="K171" s="43">
        <f>LN('2.ΤΙΜΕΣ ΚΛΕΙΣΙΜΑΤΟΣ'!K172/'2.ΤΙΜΕΣ ΚΛΕΙΣΙΜΑΤΟΣ'!K171)</f>
        <v>-1.3986241974739952E-2</v>
      </c>
      <c r="L171" s="43">
        <f>LN('2.ΤΙΜΕΣ ΚΛΕΙΣΙΜΑΤΟΣ'!L172/'2.ΤΙΜΕΣ ΚΛΕΙΣΙΜΑΤΟΣ'!L171)</f>
        <v>-5.9583095836306353E-3</v>
      </c>
      <c r="M171" s="43">
        <f>LN('2.ΤΙΜΕΣ ΚΛΕΙΣΙΜΑΤΟΣ'!M172/'2.ΤΙΜΕΣ ΚΛΕΙΣΙΜΑΤΟΣ'!M171)</f>
        <v>-8.7146521024437755E-3</v>
      </c>
      <c r="N171" s="43">
        <f>LN('2.ΤΙΜΕΣ ΚΛΕΙΣΙΜΑΤΟΣ'!N172/'2.ΤΙΜΕΣ ΚΛΕΙΣΙΜΑΤΟΣ'!N171)</f>
        <v>2.7401030981788733E-3</v>
      </c>
      <c r="O171" s="43">
        <f>LN('2.ΤΙΜΕΣ ΚΛΕΙΣΙΜΑΤΟΣ'!O172/'2.ΤΙΜΕΣ ΚΛΕΙΣΙΜΑΤΟΣ'!O171)</f>
        <v>-1.3431835464676259E-3</v>
      </c>
      <c r="P171" s="43">
        <f>LN('2.ΤΙΜΕΣ ΚΛΕΙΣΙΜΑΤΟΣ'!P172/'2.ΤΙΜΕΣ ΚΛΕΙΣΙΜΑΤΟΣ'!P171)</f>
        <v>-4.2283361095211761E-3</v>
      </c>
      <c r="Q171" s="43">
        <f>LN('2.ΤΙΜΕΣ ΚΛΕΙΣΙΜΑΤΟΣ'!Q172/'2.ΤΙΜΕΣ ΚΛΕΙΣΙΜΑΤΟΣ'!Q171)</f>
        <v>-1.5848192240023727E-2</v>
      </c>
      <c r="R171" s="43">
        <f>LN('2.ΤΙΜΕΣ ΚΛΕΙΣΙΜΑΤΟΣ'!R172/'2.ΤΙΜΕΣ ΚΛΕΙΣΙΜΑΤΟΣ'!R171)</f>
        <v>1.7167803622365498E-2</v>
      </c>
      <c r="S171" s="43">
        <f>LN('2.ΤΙΜΕΣ ΚΛΕΙΣΙΜΑΤΟΣ'!S172/'2.ΤΙΜΕΣ ΚΛΕΙΣΙΜΑΤΟΣ'!S171)</f>
        <v>-8.3782656459975777E-3</v>
      </c>
      <c r="T171" s="43">
        <f>LN('2.ΤΙΜΕΣ ΚΛΕΙΣΙΜΑΤΟΣ'!T172/'2.ΤΙΜΕΣ ΚΛΕΙΣΙΜΑΤΟΣ'!T171)</f>
        <v>-6.6711388170225348E-3</v>
      </c>
      <c r="U171" s="43">
        <f>LN('2.ΤΙΜΕΣ ΚΛΕΙΣΙΜΑΤΟΣ'!U172/'2.ΤΙΜΕΣ ΚΛΕΙΣΙΜΑΤΟΣ'!U171)</f>
        <v>0</v>
      </c>
      <c r="V171" s="43">
        <f>LN('2.ΤΙΜΕΣ ΚΛΕΙΣΙΜΑΤΟΣ'!V172/'2.ΤΙΜΕΣ ΚΛΕΙΣΙΜΑΤΟΣ'!V171)</f>
        <v>-1.0977058631150907E-2</v>
      </c>
      <c r="W171" s="43">
        <f>LN('2.ΤΙΜΕΣ ΚΛΕΙΣΙΜΑΤΟΣ'!W172/'2.ΤΙΜΕΣ ΚΛΕΙΣΙΜΑΤΟΣ'!W171)</f>
        <v>4.7789816163508209E-3</v>
      </c>
      <c r="X171" s="43">
        <f>LN('2.ΤΙΜΕΣ ΚΛΕΙΣΙΜΑΤΟΣ'!X172/'2.ΤΙΜΕΣ ΚΛΕΙΣΙΜΑΤΟΣ'!X171)</f>
        <v>-2.1448543407483627E-2</v>
      </c>
      <c r="Y171" s="43">
        <f>LN('2.ΤΙΜΕΣ ΚΛΕΙΣΙΜΑΤΟΣ'!Y172/'2.ΤΙΜΕΣ ΚΛΕΙΣΙΜΑΤΟΣ'!Y171)</f>
        <v>-6.5502417607184301E-3</v>
      </c>
      <c r="Z171" s="43">
        <f>LN('2.ΤΙΜΕΣ ΚΛΕΙΣΙΜΑΤΟΣ'!Z172/'2.ΤΙΜΕΣ ΚΛΕΙΣΙΜΑΤΟΣ'!Z171)</f>
        <v>0</v>
      </c>
      <c r="AA171" s="43">
        <f>LN('2.ΤΙΜΕΣ ΚΛΕΙΣΙΜΑΤΟΣ'!AA172/'2.ΤΙΜΕΣ ΚΛΕΙΣΙΜΑΤΟΣ'!AA171)</f>
        <v>-2.781642961876914E-3</v>
      </c>
      <c r="AB171" s="43">
        <f>LN('2.ΤΙΜΕΣ ΚΛΕΙΣΙΜΑΤΟΣ'!AB172/'2.ΤΙΜΕΣ ΚΛΕΙΣΙΜΑΤΟΣ'!AB171)</f>
        <v>-1.8535686493230551E-3</v>
      </c>
      <c r="AC171" s="43">
        <f>LN('2.ΤΙΜΕΣ ΚΛΕΙΣΙΜΑΤΟΣ'!AC172/'2.ΤΙΜΕΣ ΚΛΕΙΣΙΜΑΤΟΣ'!AC171)</f>
        <v>7.0671672230923528E-3</v>
      </c>
      <c r="AD171" s="43">
        <f>LN('2.ΤΙΜΕΣ ΚΛΕΙΣΙΜΑΤΟΣ'!AD172/'2.ΤΙΜΕΣ ΚΛΕΙΣΙΜΑΤΟΣ'!AD171)</f>
        <v>0</v>
      </c>
      <c r="AE171" s="43">
        <f>LN('2.ΤΙΜΕΣ ΚΛΕΙΣΙΜΑΤΟΣ'!AE172/'2.ΤΙΜΕΣ ΚΛΕΙΣΙΜΑΤΟΣ'!AE171)</f>
        <v>3.7041271680349076E-2</v>
      </c>
      <c r="AF171" s="43">
        <f>LN('2.ΤΙΜΕΣ ΚΛΕΙΣΙΜΑΤΟΣ'!AF172/'2.ΤΙΜΕΣ ΚΛΕΙΣΙΜΑΤΟΣ'!AF171)</f>
        <v>-9.1638671067909745E-3</v>
      </c>
      <c r="AG171" s="43">
        <f>LN('2.ΤΙΜΕΣ ΚΛΕΙΣΙΜΑΤΟΣ'!AG172/'2.ΤΙΜΕΣ ΚΛΕΙΣΙΜΑΤΟΣ'!AG171)</f>
        <v>-1.649036189941535E-2</v>
      </c>
      <c r="AH171" s="43">
        <f>LN('2.ΤΙΜΕΣ ΚΛΕΙΣΙΜΑΤΟΣ'!AH172/'2.ΤΙΜΕΣ ΚΛΕΙΣΙΜΑΤΟΣ'!AH171)</f>
        <v>-1.9065782705815315E-3</v>
      </c>
      <c r="AI171" s="43">
        <f>LN('2.ΤΙΜΕΣ ΚΛΕΙΣΙΜΑΤΟΣ'!AI172/'2.ΤΙΜΕΣ ΚΛΕΙΣΙΜΑΤΟΣ'!AI171)</f>
        <v>0</v>
      </c>
      <c r="AJ171" s="43">
        <f>LN('2.ΤΙΜΕΣ ΚΛΕΙΣΙΜΑΤΟΣ'!AJ172/'2.ΤΙΜΕΣ ΚΛΕΙΣΙΜΑΤΟΣ'!AJ171)</f>
        <v>-2.9852963149681045E-2</v>
      </c>
      <c r="AK171" s="43">
        <f>LN('2.ΤΙΜΕΣ ΚΛΕΙΣΙΜΑΤΟΣ'!AK172/'2.ΤΙΜΕΣ ΚΛΕΙΣΙΜΑΤΟΣ'!AK171)</f>
        <v>-9.950330853168092E-3</v>
      </c>
      <c r="AL171" s="43">
        <f>LN('2.ΤΙΜΕΣ ΚΛΕΙΣΙΜΑΤΟΣ'!AL172/'2.ΤΙΜΕΣ ΚΛΕΙΣΙΜΑΤΟΣ'!AL171)</f>
        <v>-4.3017385083690816E-2</v>
      </c>
      <c r="AM171" s="43">
        <f>LN('2.ΤΙΜΕΣ ΚΛΕΙΣΙΜΑΤΟΣ'!AM172/'2.ΤΙΜΕΣ ΚΛΕΙΣΙΜΑΤΟΣ'!AM171)</f>
        <v>-8.4866138773186939E-3</v>
      </c>
      <c r="AN171" s="43">
        <f>LN('2.ΤΙΜΕΣ ΚΛΕΙΣΙΜΑΤΟΣ'!AN172/'2.ΤΙΜΕΣ ΚΛΕΙΣΙΜΑΤΟΣ'!AN171)</f>
        <v>-9.9108838994540188E-3</v>
      </c>
      <c r="AO171" s="43">
        <f>LN('2.ΤΙΜΕΣ ΚΛΕΙΣΙΜΑΤΟΣ'!AO172/'2.ΤΙΜΕΣ ΚΛΕΙΣΙΜΑΤΟΣ'!AO171)</f>
        <v>8.6831225734608566E-3</v>
      </c>
      <c r="AP171" s="43">
        <f>LN('2.ΤΙΜΕΣ ΚΛΕΙΣΙΜΑΤΟΣ'!AP172/'2.ΤΙΜΕΣ ΚΛΕΙΣΙΜΑΤΟΣ'!AP171)</f>
        <v>5.5710450494554295E-3</v>
      </c>
      <c r="AQ171" s="43">
        <f>LN('2.ΤΙΜΕΣ ΚΛΕΙΣΙΜΑΤΟΣ'!AQ172/'2.ΤΙΜΕΣ ΚΛΕΙΣΙΜΑΤΟΣ'!AQ171)</f>
        <v>-2.9675768146116666E-2</v>
      </c>
      <c r="AR171" s="43">
        <f>LN('2.ΤΙΜΕΣ ΚΛΕΙΣΙΜΑΤΟΣ'!AR172/'2.ΤΙΜΕΣ ΚΛΕΙΣΙΜΑΤΟΣ'!AR171)</f>
        <v>-1.1090686694158284E-2</v>
      </c>
      <c r="AS171" s="43">
        <f>LN('2.ΤΙΜΕΣ ΚΛΕΙΣΙΜΑΤΟΣ'!AS172/'2.ΤΙΜΕΣ ΚΛΕΙΣΙΜΑΤΟΣ'!AS171)</f>
        <v>-3.4289073478632193E-2</v>
      </c>
      <c r="AT171" s="43">
        <f>LN('2.ΤΙΜΕΣ ΚΛΕΙΣΙΜΑΤΟΣ'!AT172/'2.ΤΙΜΕΣ ΚΛΕΙΣΙΜΑΤΟΣ'!AT171)</f>
        <v>-2.3530497410194161E-2</v>
      </c>
      <c r="AU171" s="43">
        <f>LN('2.ΤΙΜΕΣ ΚΛΕΙΣΙΜΑΤΟΣ'!AU172/'2.ΤΙΜΕΣ ΚΛΕΙΣΙΜΑΤΟΣ'!AU171)</f>
        <v>-9.5957940060399771E-3</v>
      </c>
    </row>
    <row r="172" spans="1:47">
      <c r="A172" s="41">
        <v>43802</v>
      </c>
      <c r="B172" s="43">
        <f>LN('2.ΤΙΜΕΣ ΚΛΕΙΣΙΜΑΤΟΣ'!B173/'2.ΤΙΜΕΣ ΚΛΕΙΣΙΜΑΤΟΣ'!B172)</f>
        <v>-1.1513842062339139E-2</v>
      </c>
      <c r="C172" s="43">
        <f>LN('2.ΤΙΜΕΣ ΚΛΕΙΣΙΜΑΤΟΣ'!C173/'2.ΤΙΜΕΣ ΚΛΕΙΣΙΜΑΤΟΣ'!C172)</f>
        <v>-3.694130540142046E-3</v>
      </c>
      <c r="D172" s="43">
        <f>LN('2.ΤΙΜΕΣ ΚΛΕΙΣΙΜΑΤΟΣ'!D173/'2.ΤΙΜΕΣ ΚΛΕΙΣΙΜΑΤΟΣ'!D172)</f>
        <v>-1.5398236000639404E-2</v>
      </c>
      <c r="E172" s="43">
        <f>LN('2.ΤΙΜΕΣ ΚΛΕΙΣΙΜΑΤΟΣ'!E173/'2.ΤΙΜΕΣ ΚΛΕΙΣΙΜΑΤΟΣ'!E172)</f>
        <v>-2.7856954502966224E-2</v>
      </c>
      <c r="F172" s="43">
        <f>LN('2.ΤΙΜΕΣ ΚΛΕΙΣΙΜΑΤΟΣ'!F173/'2.ΤΙΜΕΣ ΚΛΕΙΣΙΜΑΤΟΣ'!F172)</f>
        <v>-1.4018921179330818E-2</v>
      </c>
      <c r="G172" s="43">
        <f>LN('2.ΤΙΜΕΣ ΚΛΕΙΣΙΜΑΤΟΣ'!G173/'2.ΤΙΜΕΣ ΚΛΕΙΣΙΜΑΤΟΣ'!G172)</f>
        <v>-2.2814677766171399E-2</v>
      </c>
      <c r="H172" s="43">
        <f>LN('2.ΤΙΜΕΣ ΚΛΕΙΣΙΜΑΤΟΣ'!H173/'2.ΤΙΜΕΣ ΚΛΕΙΣΙΜΑΤΟΣ'!H172)</f>
        <v>-2.301156189320696E-2</v>
      </c>
      <c r="I172" s="43">
        <f>LN('2.ΤΙΜΕΣ ΚΛΕΙΣΙΜΑΤΟΣ'!I173/'2.ΤΙΜΕΣ ΚΛΕΙΣΙΜΑΤΟΣ'!I172)</f>
        <v>3.1864073694080021E-3</v>
      </c>
      <c r="J172" s="43">
        <f>LN('2.ΤΙΜΕΣ ΚΛΕΙΣΙΜΑΤΟΣ'!J173/'2.ΤΙΜΕΣ ΚΛΕΙΣΙΜΑΤΟΣ'!J172)</f>
        <v>-1.5795993028646031E-2</v>
      </c>
      <c r="K172" s="43">
        <f>LN('2.ΤΙΜΕΣ ΚΛΕΙΣΙΜΑΤΟΣ'!K173/'2.ΤΙΜΕΣ ΚΛΕΙΣΙΜΑΤΟΣ'!K172)</f>
        <v>-8.4866138773186939E-3</v>
      </c>
      <c r="L172" s="43">
        <f>LN('2.ΤΙΜΕΣ ΚΛΕΙΣΙΜΑΤΟΣ'!L173/'2.ΤΙΜΕΣ ΚΛΕΙΣΙΜΑΤΟΣ'!L172)</f>
        <v>-2.4194728587056766E-2</v>
      </c>
      <c r="M172" s="43">
        <f>LN('2.ΤΙΜΕΣ ΚΛΕΙΣΙΜΑΤΟΣ'!M173/'2.ΤΙΜΕΣ ΚΛΕΙΣΙΜΑΤΟΣ'!M172)</f>
        <v>4.3668191663403895E-3</v>
      </c>
      <c r="N172" s="43">
        <f>LN('2.ΤΙΜΕΣ ΚΛΕΙΣΙΜΑΤΟΣ'!N173/'2.ΤΙΜΕΣ ΚΛΕΙΣΙΜΑΤΟΣ'!N172)</f>
        <v>-8.1049966316712168E-3</v>
      </c>
      <c r="O172" s="43">
        <f>LN('2.ΤΙΜΕΣ ΚΛΕΙΣΙΜΑΤΟΣ'!O173/'2.ΤΙΜΕΣ ΚΛΕΙΣΙΜΑΤΟΣ'!O172)</f>
        <v>0</v>
      </c>
      <c r="P172" s="43">
        <f>LN('2.ΤΙΜΕΣ ΚΛΕΙΣΙΜΑΤΟΣ'!P173/'2.ΤΙΜΕΣ ΚΛΕΙΣΙΜΑΤΟΣ'!P172)</f>
        <v>-2.1414094503816584E-2</v>
      </c>
      <c r="Q172" s="43">
        <f>LN('2.ΤΙΜΕΣ ΚΛΕΙΣΙΜΑΤΟΣ'!Q173/'2.ΤΙΜΕΣ ΚΛΕΙΣΙΜΑΤΟΣ'!Q172)</f>
        <v>-4.1754271340791682E-2</v>
      </c>
      <c r="R172" s="43">
        <f>LN('2.ΤΙΜΕΣ ΚΛΕΙΣΙΜΑΤΟΣ'!R173/'2.ΤΙΜΕΣ ΚΛΕΙΣΙΜΑΤΟΣ'!R172)</f>
        <v>-9.1603693986642785E-3</v>
      </c>
      <c r="S172" s="43">
        <f>LN('2.ΤΙΜΕΣ ΚΛΕΙΣΙΜΑΤΟΣ'!S173/'2.ΤΙΜΕΣ ΚΛΕΙΣΙΜΑΤΟΣ'!S172)</f>
        <v>4.7961722634930135E-3</v>
      </c>
      <c r="T172" s="43">
        <f>LN('2.ΤΙΜΕΣ ΚΛΕΙΣΙΜΑΤΟΣ'!T173/'2.ΤΙΜΕΣ ΚΛΕΙΣΙΜΑΤΟΣ'!T172)</f>
        <v>-3.4040046239991045E-2</v>
      </c>
      <c r="U172" s="43">
        <f>LN('2.ΤΙΜΕΣ ΚΛΕΙΣΙΜΑΤΟΣ'!U173/'2.ΤΙΜΕΣ ΚΛΕΙΣΙΜΑΤΟΣ'!U172)</f>
        <v>-1.1587615172387895E-2</v>
      </c>
      <c r="V172" s="43">
        <f>LN('2.ΤΙΜΕΣ ΚΛΕΙΣΙΜΑΤΟΣ'!V173/'2.ΤΙΜΕΣ ΚΛΕΙΣΙΜΑΤΟΣ'!V172)</f>
        <v>-4.4247859803555837E-3</v>
      </c>
      <c r="W172" s="43">
        <f>LN('2.ΤΙΜΕΣ ΚΛΕΙΣΙΜΑΤΟΣ'!W173/'2.ΤΙΜΕΣ ΚΛΕΙΣΙΜΑΤΟΣ'!W172)</f>
        <v>-3.0250340464665855E-2</v>
      </c>
      <c r="X172" s="43">
        <f>LN('2.ΤΙΜΕΣ ΚΛΕΙΣΙΜΑΤΟΣ'!X173/'2.ΤΙΜΕΣ ΚΛΕΙΣΙΜΑΤΟΣ'!X172)</f>
        <v>-5.4347959859569446E-3</v>
      </c>
      <c r="Y172" s="43">
        <f>LN('2.ΤΙΜΕΣ ΚΛΕΙΣΙΜΑΤΟΣ'!Y173/'2.ΤΙΜΕΣ ΚΛΕΙΣΙΜΑΤΟΣ'!Y172)</f>
        <v>-7.6965745519891526E-3</v>
      </c>
      <c r="Z172" s="43">
        <f>LN('2.ΤΙΜΕΣ ΚΛΕΙΣΙΜΑΤΟΣ'!Z173/'2.ΤΙΜΕΣ ΚΛΕΙΣΙΜΑΤΟΣ'!Z172)</f>
        <v>7.6336248550712051E-3</v>
      </c>
      <c r="AA172" s="43">
        <f>LN('2.ΤΙΜΕΣ ΚΛΕΙΣΙΜΑΤΟΣ'!AA173/'2.ΤΙΜΕΣ ΚΛΕΙΣΙΜΑΤΟΣ'!AA172)</f>
        <v>-5.5866067086398231E-3</v>
      </c>
      <c r="AB172" s="43">
        <f>LN('2.ΤΙΜΕΣ ΚΛΕΙΣΙΜΑΤΟΣ'!AB173/'2.ΤΙΜΕΣ ΚΛΕΙΣΙΜΑΤΟΣ'!AB172)</f>
        <v>-1.6838564362829593E-2</v>
      </c>
      <c r="AC172" s="43">
        <f>LN('2.ΤΙΜΕΣ ΚΛΕΙΣΙΜΑΤΟΣ'!AC173/'2.ΤΙΜΕΣ ΚΛΕΙΣΙΜΑΤΟΣ'!AC172)</f>
        <v>8.4151969252844981E-3</v>
      </c>
      <c r="AD172" s="43">
        <f>LN('2.ΤΙΜΕΣ ΚΛΕΙΣΙΜΑΤΟΣ'!AD173/'2.ΤΙΜΕΣ ΚΛΕΙΣΙΜΑΤΟΣ'!AD172)</f>
        <v>-1.3751171612824409E-2</v>
      </c>
      <c r="AE172" s="43">
        <f>LN('2.ΤΙΜΕΣ ΚΛΕΙΣΙΜΑΤΟΣ'!AE173/'2.ΤΙΜΕΣ ΚΛΕΙΣΙΜΑΤΟΣ'!AE172)</f>
        <v>-1.834913866819643E-2</v>
      </c>
      <c r="AF172" s="43">
        <f>LN('2.ΤΙΜΕΣ ΚΛΕΙΣΙΜΑΤΟΣ'!AF173/'2.ΤΙΜΕΣ ΚΛΕΙΣΙΜΑΤΟΣ'!AF172)</f>
        <v>-9.2486208376612467E-3</v>
      </c>
      <c r="AG172" s="43">
        <f>LN('2.ΤΙΜΕΣ ΚΛΕΙΣΙΜΑΤΟΣ'!AG173/'2.ΤΙΜΕΣ ΚΛΕΙΣΙΜΑΤΟΣ'!AG172)</f>
        <v>-2.6475673984027906E-2</v>
      </c>
      <c r="AH172" s="43">
        <f>LN('2.ΤΙΜΕΣ ΚΛΕΙΣΙΜΑΤΟΣ'!AH173/'2.ΤΙΜΕΣ ΚΛΕΙΣΙΜΑΤΟΣ'!AH172)</f>
        <v>1.1385322225125429E-2</v>
      </c>
      <c r="AI172" s="43">
        <f>LN('2.ΤΙΜΕΣ ΚΛΕΙΣΙΜΑΤΟΣ'!AI173/'2.ΤΙΜΕΣ ΚΛΕΙΣΙΜΑΤΟΣ'!AI172)</f>
        <v>-2.2472855852058628E-2</v>
      </c>
      <c r="AJ172" s="43">
        <f>LN('2.ΤΙΜΕΣ ΚΛΕΙΣΙΜΑΤΟΣ'!AJ173/'2.ΤΙΜΕΣ ΚΛΕΙΣΙΜΑΤΟΣ'!AJ172)</f>
        <v>1.2903404835907782E-2</v>
      </c>
      <c r="AK172" s="43">
        <f>LN('2.ΤΙΜΕΣ ΚΛΕΙΣΙΜΑΤΟΣ'!AK173/'2.ΤΙΜΕΣ ΚΛΕΙΣΙΜΑΤΟΣ'!AK172)</f>
        <v>1.980262729617973E-2</v>
      </c>
      <c r="AL172" s="43">
        <f>LN('2.ΤΙΜΕΣ ΚΛΕΙΣΙΜΑΤΟΣ'!AL173/'2.ΤΙΜΕΣ ΚΛΕΙΣΙΜΑΤΟΣ'!AL172)</f>
        <v>-2.2223136784710235E-2</v>
      </c>
      <c r="AM172" s="43">
        <f>LN('2.ΤΙΜΕΣ ΚΛΕΙΣΙΜΑΤΟΣ'!AM173/'2.ΤΙΜΕΣ ΚΛΕΙΣΙΜΑΤΟΣ'!AM172)</f>
        <v>5.6657375356772999E-3</v>
      </c>
      <c r="AN172" s="43">
        <f>LN('2.ΤΙΜΕΣ ΚΛΕΙΣΙΜΑΤΟΣ'!AN173/'2.ΤΙΜΕΣ ΚΛΕΙΣΙΜΑΤΟΣ'!AN172)</f>
        <v>-1.2024192966801701E-2</v>
      </c>
      <c r="AO172" s="43">
        <f>LN('2.ΤΙΜΕΣ ΚΛΕΙΣΙΜΑΤΟΣ'!AO173/'2.ΤΙΜΕΣ ΚΛΕΙΣΙΜΑΤΟΣ'!AO172)</f>
        <v>-1.1594332780919257E-2</v>
      </c>
      <c r="AP172" s="43">
        <f>LN('2.ΤΙΜΕΣ ΚΛΕΙΣΙΜΑΤΟΣ'!AP173/'2.ΤΙΜΕΣ ΚΛΕΙΣΙΜΑΤΟΣ'!AP172)</f>
        <v>-3.1032109247728524E-2</v>
      </c>
      <c r="AQ172" s="43">
        <f>LN('2.ΤΙΜΕΣ ΚΛΕΙΣΙΜΑΤΟΣ'!AQ173/'2.ΤΙΜΕΣ ΚΛΕΙΣΙΜΑΤΟΣ'!AQ172)</f>
        <v>-1.7011345826536562E-2</v>
      </c>
      <c r="AR172" s="43">
        <f>LN('2.ΤΙΜΕΣ ΚΛΕΙΣΙΜΑΤΟΣ'!AR173/'2.ΤΙΜΕΣ ΚΛΕΙΣΙΜΑΤΟΣ'!AR172)</f>
        <v>-2.06580116204221E-2</v>
      </c>
      <c r="AS172" s="43">
        <f>LN('2.ΤΙΜΕΣ ΚΛΕΙΣΙΜΑΤΟΣ'!AS173/'2.ΤΙΜΕΣ ΚΛΕΙΣΙΜΑΤΟΣ'!AS172)</f>
        <v>-1.4641549992948005E-2</v>
      </c>
      <c r="AT172" s="43">
        <f>LN('2.ΤΙΜΕΣ ΚΛΕΙΣΙΜΑΤΟΣ'!AT173/'2.ΤΙΜΕΣ ΚΛΕΙΣΙΜΑΤΟΣ'!AT172)</f>
        <v>-1.3315775975772175E-2</v>
      </c>
      <c r="AU172" s="43">
        <f>LN('2.ΤΙΜΕΣ ΚΛΕΙΣΙΜΑΤΟΣ'!AU173/'2.ΤΙΜΕΣ ΚΛΕΙΣΙΜΑΤΟΣ'!AU172)</f>
        <v>-1.3177589587091653E-2</v>
      </c>
    </row>
    <row r="173" spans="1:47">
      <c r="A173" s="41">
        <v>43803</v>
      </c>
      <c r="B173" s="43">
        <f>LN('2.ΤΙΜΕΣ ΚΛΕΙΣΙΜΑΤΟΣ'!B174/'2.ΤΙΜΕΣ ΚΛΕΙΣΙΜΑΤΟΣ'!B173)</f>
        <v>1.0212766845111544E-3</v>
      </c>
      <c r="C173" s="43">
        <f>LN('2.ΤΙΜΕΣ ΚΛΕΙΣΙΜΑΤΟΣ'!C174/'2.ΤΙΜΕΣ ΚΛΕΙΣΙΜΑΤΟΣ'!C173)</f>
        <v>2.9563953536025232E-3</v>
      </c>
      <c r="D173" s="43">
        <f>LN('2.ΤΙΜΕΣ ΚΛΕΙΣΙΜΑΤΟΣ'!D174/'2.ΤΙΜΕΣ ΚΛΕΙΣΙΜΑΤΟΣ'!D173)</f>
        <v>9.1399959932140038E-3</v>
      </c>
      <c r="E173" s="43">
        <f>LN('2.ΤΙΜΕΣ ΚΛΕΙΣΙΜΑΤΟΣ'!E174/'2.ΤΙΜΕΣ ΚΛΕΙΣΙΜΑΤΟΣ'!E173)</f>
        <v>4.3124426633754619E-2</v>
      </c>
      <c r="F173" s="43">
        <f>LN('2.ΤΙΜΕΣ ΚΛΕΙΣΙΜΑΤΟΣ'!F174/'2.ΤΙΜΕΣ ΚΛΕΙΣΙΜΑΤΟΣ'!F173)</f>
        <v>-4.7169898781387982E-3</v>
      </c>
      <c r="G173" s="43">
        <f>LN('2.ΤΙΜΕΣ ΚΛΕΙΣΙΜΑΤΟΣ'!G174/'2.ΤΙΜΕΣ ΚΛΕΙΣΙΜΑΤΟΣ'!G173)</f>
        <v>6.571765163234519E-3</v>
      </c>
      <c r="H173" s="43">
        <f>LN('2.ΤΙΜΕΣ ΚΛΕΙΣΙΜΑΤΟΣ'!H174/'2.ΤΙΜΕΣ ΚΛΕΙΣΙΜΑΤΟΣ'!H173)</f>
        <v>1.3487680381951429E-2</v>
      </c>
      <c r="I173" s="43">
        <f>LN('2.ΤΙΜΕΣ ΚΛΕΙΣΙΜΑΤΟΣ'!I174/'2.ΤΙΜΕΣ ΚΛΕΙΣΙΜΑΤΟΣ'!I173)</f>
        <v>5.815506741611502E-3</v>
      </c>
      <c r="J173" s="43">
        <f>LN('2.ΤΙΜΕΣ ΚΛΕΙΣΙΜΑΤΟΣ'!J174/'2.ΤΙΜΕΣ ΚΛΕΙΣΙΜΑΤΟΣ'!J173)</f>
        <v>9.4403937790871265E-3</v>
      </c>
      <c r="K173" s="43">
        <f>LN('2.ΤΙΜΕΣ ΚΛΕΙΣΙΜΑΤΟΣ'!K174/'2.ΤΙΜΕΣ ΚΛΕΙΣΙΜΑΤΟΣ'!K173)</f>
        <v>1.5504186535965254E-2</v>
      </c>
      <c r="L173" s="43">
        <f>LN('2.ΤΙΜΕΣ ΚΛΕΙΣΙΜΑΤΟΣ'!L174/'2.ΤΙΜΕΣ ΚΛΕΙΣΙΜΑΤΟΣ'!L173)</f>
        <v>4.5813264145625164E-3</v>
      </c>
      <c r="M173" s="43">
        <f>LN('2.ΤΙΜΕΣ ΚΛΕΙΣΙΜΑΤΟΣ'!M174/'2.ΤΙΜΕΣ ΚΛΕΙΣΙΜΑΤΟΣ'!M173)</f>
        <v>-2.1810259463601145E-3</v>
      </c>
      <c r="N173" s="43">
        <f>LN('2.ΤΙΜΕΣ ΚΛΕΙΣΙΜΑΤΟΣ'!N174/'2.ΤΙΜΕΣ ΚΛΕΙΣΙΜΑΤΟΣ'!N173)</f>
        <v>-1.7672483870366625E-2</v>
      </c>
      <c r="O173" s="43">
        <f>LN('2.ΤΙΜΕΣ ΚΛΕΙΣΙΜΑΤΟΣ'!O174/'2.ΤΙΜΕΣ ΚΛΕΙΣΙΜΑΤΟΣ'!O173)</f>
        <v>-6.7431138848901969E-3</v>
      </c>
      <c r="P173" s="43">
        <f>LN('2.ΤΙΜΕΣ ΚΛΕΙΣΙΜΑΤΟΣ'!P174/'2.ΤΙΜΕΣ ΚΛΕΙΣΙΜΑΤΟΣ'!P173)</f>
        <v>1.4419613169014058E-3</v>
      </c>
      <c r="Q173" s="43">
        <f>LN('2.ΤΙΜΕΣ ΚΛΕΙΣΙΜΑΤΟΣ'!Q174/'2.ΤΙΜΕΣ ΚΛΕΙΣΙΜΑΤΟΣ'!Q173)</f>
        <v>2.5650863774213058E-2</v>
      </c>
      <c r="R173" s="43">
        <f>LN('2.ΤΙΜΕΣ ΚΛΕΙΣΙΜΑΤΟΣ'!R174/'2.ΤΙΜΕΣ ΚΛΕΙΣΙΜΑΤΟΣ'!R173)</f>
        <v>2.1245108613736279E-2</v>
      </c>
      <c r="S173" s="43">
        <f>LN('2.ΤΙΜΕΣ ΚΛΕΙΣΙΜΑΤΟΣ'!S174/'2.ΤΙΜΕΣ ΚΛΕΙΣΙΜΑΤΟΣ'!S173)</f>
        <v>3.178607799872657E-2</v>
      </c>
      <c r="T173" s="43">
        <f>LN('2.ΤΙΜΕΣ ΚΛΕΙΣΙΜΑΤΟΣ'!T174/'2.ΤΙΜΕΣ ΚΛΕΙΣΙΜΑΤΟΣ'!T173)</f>
        <v>6.9013386406931807E-3</v>
      </c>
      <c r="U173" s="43">
        <f>LN('2.ΤΙΜΕΣ ΚΛΕΙΣΙΜΑΤΟΣ'!U174/'2.ΤΙΜΕΣ ΚΛΕΙΣΙΜΑΤΟΣ'!U173)</f>
        <v>1.1587615172387829E-2</v>
      </c>
      <c r="V173" s="43">
        <f>LN('2.ΤΙΜΕΣ ΚΛΕΙΣΙΜΑΤΟΣ'!V174/'2.ΤΙΜΕΣ ΚΛΕΙΣΙΜΑΤΟΣ'!V173)</f>
        <v>4.4247859803556357E-3</v>
      </c>
      <c r="W173" s="43">
        <f>LN('2.ΤΙΜΕΣ ΚΛΕΙΣΙΜΑΤΟΣ'!W174/'2.ΤΙΜΕΣ ΚΛΕΙΣΙΜΑΤΟΣ'!W173)</f>
        <v>3.0250340464665831E-2</v>
      </c>
      <c r="X173" s="43">
        <f>LN('2.ΤΙΜΕΣ ΚΛΕΙΣΙΜΑΤΟΣ'!X174/'2.ΤΙΜΕΣ ΚΛΕΙΣΙΜΑΤΟΣ'!X173)</f>
        <v>0</v>
      </c>
      <c r="Y173" s="43">
        <f>LN('2.ΤΙΜΕΣ ΚΛΕΙΣΙΜΑΤΟΣ'!Y174/'2.ΤΙΜΕΣ ΚΛΕΙΣΙΜΑΤΟΣ'!Y173)</f>
        <v>6.6006840313518724E-3</v>
      </c>
      <c r="Z173" s="43">
        <f>LN('2.ΤΙΜΕΣ ΚΛΕΙΣΙΜΑΤΟΣ'!Z174/'2.ΤΙΜΕΣ ΚΛΕΙΣΙΜΑΤΟΣ'!Z173)</f>
        <v>-1.1472401162236807E-2</v>
      </c>
      <c r="AA173" s="43">
        <f>LN('2.ΤΙΜΕΣ ΚΛΕΙΣΙΜΑΤΟΣ'!AA174/'2.ΤΙΜΕΣ ΚΛΕΙΣΙΜΑΤΟΣ'!AA173)</f>
        <v>2.7972046210612191E-3</v>
      </c>
      <c r="AB173" s="43">
        <f>LN('2.ΤΙΜΕΣ ΚΛΕΙΣΙΜΑΤΟΣ'!AB174/'2.ΤΙΜΕΣ ΚΛΕΙΣΙΜΑΤΟΣ'!AB173)</f>
        <v>2.2388994893478686E-2</v>
      </c>
      <c r="AC173" s="43">
        <f>LN('2.ΤΙΜΕΣ ΚΛΕΙΣΙΜΑΤΟΣ'!AC174/'2.ΤΙΜΕΣ ΚΛΕΙΣΙΜΑΤΟΣ'!AC173)</f>
        <v>-1.3976242666379726E-3</v>
      </c>
      <c r="AD173" s="43">
        <f>LN('2.ΤΙΜΕΣ ΚΛΕΙΣΙΜΑΤΟΣ'!AD174/'2.ΤΙΜΕΣ ΚΛΕΙΣΙΜΑΤΟΣ'!AD173)</f>
        <v>-9.2736367853292149E-3</v>
      </c>
      <c r="AE173" s="43">
        <f>LN('2.ΤΙΜΕΣ ΚΛΕΙΣΙΜΑΤΟΣ'!AE174/'2.ΤΙΜΕΣ ΚΛΕΙΣΙΜΑΤΟΣ'!AE173)</f>
        <v>-7.4349784875180902E-3</v>
      </c>
      <c r="AF173" s="43">
        <f>LN('2.ΤΙΜΕΣ ΚΛΕΙΣΙΜΑΤΟΣ'!AF174/'2.ΤΙΜΕΣ ΚΛΕΙΣΙΜΑΤΟΣ'!AF173)</f>
        <v>-1.4035318116383481E-2</v>
      </c>
      <c r="AG173" s="43">
        <f>LN('2.ΤΙΜΕΣ ΚΛΕΙΣΙΜΑΤΟΣ'!AG174/'2.ΤΙΜΕΣ ΚΛΕΙΣΙΜΑΤΟΣ'!AG173)</f>
        <v>1.9324272826402842E-2</v>
      </c>
      <c r="AH173" s="43">
        <f>LN('2.ΤΙΜΕΣ ΚΛΕΙΣΙΜΑΤΟΣ'!AH174/'2.ΤΙΜΕΣ ΚΛΕΙΣΙΜΑΤΟΣ'!AH173)</f>
        <v>9.3897403498391374E-3</v>
      </c>
      <c r="AI173" s="43">
        <f>LN('2.ΤΙΜΕΣ ΚΛΕΙΣΙΜΑΤΟΣ'!AI174/'2.ΤΙΜΕΣ ΚΛΕΙΣΙΜΑΤΟΣ'!AI173)</f>
        <v>-7.6045993852193036E-3</v>
      </c>
      <c r="AJ173" s="43">
        <f>LN('2.ΤΙΜΕΣ ΚΛΕΙΣΙΜΑΤΟΣ'!AJ174/'2.ΤΙΜΕΣ ΚΛΕΙΣΙΜΑΤΟΣ'!AJ173)</f>
        <v>-4.2826617920007359E-3</v>
      </c>
      <c r="AK173" s="43">
        <f>LN('2.ΤΙΜΕΣ ΚΛΕΙΣΙΜΑΤΟΣ'!AK174/'2.ΤΙΜΕΣ ΚΛΕΙΣΙΜΑΤΟΣ'!AK173)</f>
        <v>-1.4815085785140812E-2</v>
      </c>
      <c r="AL173" s="43">
        <f>LN('2.ΤΙΜΕΣ ΚΛΕΙΣΙΜΑΤΟΣ'!AL174/'2.ΤΙΜΕΣ ΚΛΕΙΣΙΜΑΤΟΣ'!AL173)</f>
        <v>1.1173300598125255E-2</v>
      </c>
      <c r="AM173" s="43">
        <f>LN('2.ΤΙΜΕΣ ΚΛΕΙΣΙΜΑΤΟΣ'!AM174/'2.ΤΙΜΕΣ ΚΛΕΙΣΙΜΑΤΟΣ'!AM173)</f>
        <v>-1.1363758650315095E-2</v>
      </c>
      <c r="AN173" s="43">
        <f>LN('2.ΤΙΜΕΣ ΚΛΕΙΣΙΜΑΤΟΣ'!AN174/'2.ΤΙΜΕΣ ΚΛΕΙΣΙΜΑΤΟΣ'!AN173)</f>
        <v>-2.6559273072354828E-2</v>
      </c>
      <c r="AO173" s="43">
        <f>LN('2.ΤΙΜΕΣ ΚΛΕΙΣΙΜΑΤΟΣ'!AO174/'2.ΤΙΜΕΣ ΚΛΕΙΣΙΜΑΤΟΣ'!AO173)</f>
        <v>0</v>
      </c>
      <c r="AP173" s="43">
        <f>LN('2.ΤΙΜΕΣ ΚΛΕΙΣΙΜΑΤΟΣ'!AP174/'2.ΤΙΜΕΣ ΚΛΕΙΣΙΜΑΤΟΣ'!AP173)</f>
        <v>2.8612322810321949E-3</v>
      </c>
      <c r="AQ173" s="43">
        <f>LN('2.ΤΙΜΕΣ ΚΛΕΙΣΙΜΑΤΟΣ'!AQ174/'2.ΤΙΜΕΣ ΚΛΕΙΣΙΜΑΤΟΣ'!AQ173)</f>
        <v>1.2247398958958697E-3</v>
      </c>
      <c r="AR173" s="43">
        <f>LN('2.ΤΙΜΕΣ ΚΛΕΙΣΙΜΑΤΟΣ'!AR174/'2.ΤΙΜΕΣ ΚΛΕΙΣΙΜΑΤΟΣ'!AR173)</f>
        <v>-2.6924703370592721E-2</v>
      </c>
      <c r="AS173" s="43">
        <f>LN('2.ΤΙΜΕΣ ΚΛΕΙΣΙΜΑΤΟΣ'!AS174/'2.ΤΙΜΕΣ ΚΛΕΙΣΙΜΑΤΟΣ'!AS173)</f>
        <v>1.17303397854896E-2</v>
      </c>
      <c r="AT173" s="43">
        <f>LN('2.ΤΙΜΕΣ ΚΛΕΙΣΙΜΑΤΟΣ'!AT174/'2.ΤΙΜΕΣ ΚΛΕΙΣΙΜΑΤΟΣ'!AT173)</f>
        <v>-2.6845653706689871E-3</v>
      </c>
      <c r="AU173" s="43">
        <f>LN('2.ΤΙΜΕΣ ΚΛΕΙΣΙΜΑΤΟΣ'!AU174/'2.ΤΙΜΕΣ ΚΛΕΙΣΙΜΑΤΟΣ'!AU173)</f>
        <v>8.3618196086915376E-3</v>
      </c>
    </row>
    <row r="174" spans="1:47">
      <c r="A174" s="41">
        <v>43804</v>
      </c>
      <c r="B174" s="43">
        <f>LN('2.ΤΙΜΕΣ ΚΛΕΙΣΙΜΑΤΟΣ'!B175/'2.ΤΙΜΕΣ ΚΛΕΙΣΙΜΑΤΟΣ'!B174)</f>
        <v>-1.3619341567205467E-3</v>
      </c>
      <c r="C174" s="43">
        <f>LN('2.ΤΙΜΕΣ ΚΛΕΙΣΙΜΑΤΟΣ'!C175/'2.ΤΙΜΕΣ ΚΛΕΙΣΙΜΑΤΟΣ'!C174)</f>
        <v>-5.9215569034373212E-3</v>
      </c>
      <c r="D174" s="43">
        <f>LN('2.ΤΙΜΕΣ ΚΛΕΙΣΙΜΑΤΟΣ'!D175/'2.ΤΙΜΕΣ ΚΛΕΙΣΙΜΑΤΟΣ'!D174)</f>
        <v>1.8180170446908258E-3</v>
      </c>
      <c r="E174" s="43">
        <f>LN('2.ΤΙΜΕΣ ΚΛΕΙΣΙΜΑΤΟΣ'!E175/'2.ΤΙΜΕΣ ΚΛΕΙΣΙΜΑΤΟΣ'!E174)</f>
        <v>-4.3384015985982417E-3</v>
      </c>
      <c r="F174" s="43">
        <f>LN('2.ΤΙΜΕΣ ΚΛΕΙΣΙΜΑΤΟΣ'!F175/'2.ΤΙΜΕΣ ΚΛΕΙΣΙΜΑΤΟΣ'!F174)</f>
        <v>-1.1890746521521786E-2</v>
      </c>
      <c r="G174" s="43">
        <f>LN('2.ΤΙΜΕΣ ΚΛΕΙΣΙΜΑΤΟΣ'!G175/'2.ΤΙΜΕΣ ΚΛΕΙΣΙΜΑΤΟΣ'!G174)</f>
        <v>-2.8794901947944755E-2</v>
      </c>
      <c r="H174" s="43">
        <f>LN('2.ΤΙΜΕΣ ΚΛΕΙΣΙΜΑΤΟΣ'!H175/'2.ΤΙΜΕΣ ΚΛΕΙΣΙΜΑΤΟΣ'!H174)</f>
        <v>-2.3234346234245626E-2</v>
      </c>
      <c r="I174" s="43">
        <f>LN('2.ΤΙΜΕΣ ΚΛΕΙΣΙΜΑΤΟΣ'!I175/'2.ΤΙΜΕΣ ΚΛΕΙΣΙΜΑΤΟΣ'!I174)</f>
        <v>-3.3229209446343611E-2</v>
      </c>
      <c r="J174" s="43">
        <f>LN('2.ΤΙΜΕΣ ΚΛΕΙΣΙΜΑΤΟΣ'!J175/'2.ΤΙΜΕΣ ΚΛΕΙΣΙΜΑΤΟΣ'!J174)</f>
        <v>-2.9974996220794855E-2</v>
      </c>
      <c r="K174" s="43">
        <f>LN('2.ΤΙΜΕΣ ΚΛΕΙΣΙΜΑΤΟΣ'!K175/'2.ΤΙΜΕΣ ΚΛΕΙΣΙΜΑΤΟΣ'!K174)</f>
        <v>1.1126679464757053E-2</v>
      </c>
      <c r="L174" s="43">
        <f>LN('2.ΤΙΜΕΣ ΚΛΕΙΣΙΜΑΤΟΣ'!L175/'2.ΤΙΜΕΣ ΚΛΕΙΣΙΜΑΤΟΣ'!L174)</f>
        <v>-1.1749815893175161E-2</v>
      </c>
      <c r="M174" s="43">
        <f>LN('2.ΤΙΜΕΣ ΚΛΕΙΣΙΜΑΤΟΣ'!M175/'2.ΤΙΜΕΣ ΚΛΕΙΣΙΜΑΤΟΣ'!M174)</f>
        <v>-1.0922993986089273E-3</v>
      </c>
      <c r="N174" s="43">
        <f>LN('2.ΤΙΜΕΣ ΚΛΕΙΣΙΜΑΤΟΣ'!N175/'2.ΤΙΜΕΣ ΚΛΕΙΣΙΜΑΤΟΣ'!N174)</f>
        <v>-6.9028942129278825E-3</v>
      </c>
      <c r="O174" s="43">
        <f>LN('2.ΤΙΜΕΣ ΚΛΕΙΣΙΜΑΤΟΣ'!O175/'2.ΤΙΜΕΣ ΚΛΕΙΣΙΜΑΤΟΣ'!O174)</f>
        <v>-8.1522190615502706E-3</v>
      </c>
      <c r="P174" s="43">
        <f>LN('2.ΤΙΜΕΣ ΚΛΕΙΣΙΜΑΤΟΣ'!P175/'2.ΤΙΜΕΣ ΚΛΕΙΣΙΜΑΤΟΣ'!P174)</f>
        <v>-1.3053122244579329E-2</v>
      </c>
      <c r="Q174" s="43">
        <f>LN('2.ΤΙΜΕΣ ΚΛΕΙΣΙΜΑΤΟΣ'!Q175/'2.ΤΙΜΕΣ ΚΛΕΙΣΙΜΑΤΟΣ'!Q174)</f>
        <v>-3.4349480014637682E-2</v>
      </c>
      <c r="R174" s="43">
        <f>LN('2.ΤΙΜΕΣ ΚΛΕΙΣΙΜΑΤΟΣ'!R175/'2.ΤΙΜΕΣ ΚΛΕΙΣΙΜΑΤΟΣ'!R174)</f>
        <v>-1.0262691945127274E-2</v>
      </c>
      <c r="S174" s="43">
        <f>LN('2.ΤΙΜΕΣ ΚΛΕΙΣΙΜΑΤΟΣ'!S175/'2.ΤΙΜΕΣ ΚΛΕΙΣΙΜΑΤΟΣ'!S174)</f>
        <v>-1.282816425411234E-2</v>
      </c>
      <c r="T174" s="43">
        <f>LN('2.ΤΙΜΕΣ ΚΛΕΙΣΙΜΑΤΟΣ'!T175/'2.ΤΙΜΕΣ ΚΛΕΙΣΙΜΑΤΟΣ'!T174)</f>
        <v>-2.2254047730278396E-2</v>
      </c>
      <c r="U174" s="43">
        <f>LN('2.ΤΙΜΕΣ ΚΛΕΙΣΙΜΑΤΟΣ'!U175/'2.ΤΙΜΕΣ ΚΛΕΙΣΙΜΑΤΟΣ'!U174)</f>
        <v>-4.6189458562944166E-3</v>
      </c>
      <c r="V174" s="43">
        <f>LN('2.ΤΙΜΕΣ ΚΛΕΙΣΙΜΑΤΟΣ'!V175/'2.ΤΙΜΕΣ ΚΛΕΙΣΙΜΑΤΟΣ'!V174)</f>
        <v>-6.6445427186685013E-3</v>
      </c>
      <c r="W174" s="43">
        <f>LN('2.ΤΙΜΕΣ ΚΛΕΙΣΙΜΑΤΟΣ'!W175/'2.ΤΙΜΕΣ ΚΛΕΙΣΙΜΑΤΟΣ'!W174)</f>
        <v>-4.7789816163508036E-3</v>
      </c>
      <c r="X174" s="43">
        <f>LN('2.ΤΙΜΕΣ ΚΛΕΙΣΙΜΑΤΟΣ'!X175/'2.ΤΙΜΕΣ ΚΛΕΙΣΙΜΑΤΟΣ'!X174)</f>
        <v>5.4347959859569949E-3</v>
      </c>
      <c r="Y174" s="43">
        <f>LN('2.ΤΙΜΕΣ ΚΛΕΙΣΙΜΑΤΟΣ'!Y175/'2.ΤΙΜΕΣ ΚΛΕΙΣΙΜΑΤΟΣ'!Y174)</f>
        <v>-1.9934214900817253E-2</v>
      </c>
      <c r="Z174" s="43">
        <f>LN('2.ΤΙΜΕΣ ΚΛΕΙΣΙΜΑΤΟΣ'!Z175/'2.ΤΙΜΕΣ ΚΛΕΙΣΙΜΑΤΟΣ'!Z174)</f>
        <v>-7.7220460939102778E-3</v>
      </c>
      <c r="AA174" s="43">
        <f>LN('2.ΤΙΜΕΣ ΚΛΕΙΣΙΜΑΤΟΣ'!AA175/'2.ΤΙΜΕΣ ΚΛΕΙΣΙΜΑΤΟΣ'!AA174)</f>
        <v>-1.1236073266925842E-2</v>
      </c>
      <c r="AB174" s="43">
        <f>LN('2.ΤΙΜΕΣ ΚΛΕΙΣΙΜΑΤΟΣ'!AB175/'2.ΤΙΜΕΣ ΚΛΕΙΣΙΜΑΤΟΣ'!AB174)</f>
        <v>2.0092000082688646E-2</v>
      </c>
      <c r="AC174" s="43">
        <f>LN('2.ΤΙΜΕΣ ΚΛΕΙΣΙΜΑΤΟΣ'!AC175/'2.ΤΙΜΕΣ ΚΛΕΙΣΙΜΑΤΟΣ'!AC174)</f>
        <v>-1.3995803544232435E-3</v>
      </c>
      <c r="AD174" s="43">
        <f>LN('2.ΤΙΜΕΣ ΚΛΕΙΣΙΜΑΤΟΣ'!AD175/'2.ΤΙΜΕΣ ΚΛΕΙΣΙΜΑΤΟΣ'!AD174)</f>
        <v>-7.7942717268187972E-3</v>
      </c>
      <c r="AE174" s="43">
        <f>LN('2.ΤΙΜΕΣ ΚΛΕΙΣΙΜΑΤΟΣ'!AE175/'2.ΤΙΜΕΣ ΚΛΕΙΣΙΜΑΤΟΣ'!AE174)</f>
        <v>-7.4906717291576257E-3</v>
      </c>
      <c r="AF174" s="43">
        <f>LN('2.ΤΙΜΕΣ ΚΛΕΙΣΙΜΑΤΟΣ'!AF175/'2.ΤΙΜΕΣ ΚΛΕΙΣΙΜΑΤΟΣ'!AF174)</f>
        <v>-3.2318791255167401E-2</v>
      </c>
      <c r="AG174" s="43">
        <f>LN('2.ΤΙΜΕΣ ΚΛΕΙΣΙΜΑΤΟΣ'!AG175/'2.ΤΙΜΕΣ ΚΛΕΙΣΙΜΑΤΟΣ'!AG174)</f>
        <v>-1.2033839563723565E-2</v>
      </c>
      <c r="AH174" s="43">
        <f>LN('2.ΤΙΜΕΣ ΚΛΕΙΣΙΜΑΤΟΣ'!AH175/'2.ΤΙΜΕΣ ΚΛΕΙΣΙΜΑΤΟΣ'!AH174)</f>
        <v>2.4008540052009055E-2</v>
      </c>
      <c r="AI174" s="43">
        <f>LN('2.ΤΙΜΕΣ ΚΛΕΙΣΙΜΑΤΟΣ'!AI175/'2.ΤΙΜΕΣ ΚΛΕΙΣΙΜΑΤΟΣ'!AI174)</f>
        <v>7.6045993852192125E-3</v>
      </c>
      <c r="AJ174" s="43">
        <f>LN('2.ΤΙΜΕΣ ΚΛΕΙΣΙΜΑΤΟΣ'!AJ175/'2.ΤΙΜΕΣ ΚΛΕΙΣΙΜΑΤΟΣ'!AJ174)</f>
        <v>-1.2959144642505341E-2</v>
      </c>
      <c r="AK174" s="43">
        <f>LN('2.ΤΙΜΕΣ ΚΛΕΙΣΙΜΑΤΟΣ'!AK175/'2.ΤΙΜΕΣ ΚΛΕΙΣΙΜΑΤΟΣ'!AK174)</f>
        <v>-4.9875415110389393E-3</v>
      </c>
      <c r="AL174" s="43">
        <f>LN('2.ΤΙΜΕΣ ΚΛΕΙΣΙΜΑΤΟΣ'!AL175/'2.ΤΙΜΕΣ ΚΛΕΙΣΙΜΑΤΟΣ'!AL174)</f>
        <v>0</v>
      </c>
      <c r="AM174" s="43">
        <f>LN('2.ΤΙΜΕΣ ΚΛΕΙΣΙΜΑΤΟΣ'!AM175/'2.ΤΙΜΕΣ ΚΛΕΙΣΙΜΑΤΟΣ'!AM174)</f>
        <v>0</v>
      </c>
      <c r="AN174" s="43">
        <f>LN('2.ΤΙΜΕΣ ΚΛΕΙΣΙΜΑΤΟΣ'!AN175/'2.ΤΙΜΕΣ ΚΛΕΙΣΙΜΑΤΟΣ'!AN174)</f>
        <v>-3.1548357734925897E-2</v>
      </c>
      <c r="AO174" s="43">
        <f>LN('2.ΤΙΜΕΣ ΚΛΕΙΣΙΜΑΤΟΣ'!AO175/'2.ΤΙΜΕΣ ΚΛΕΙΣΙΜΑΤΟΣ'!AO174)</f>
        <v>-8.7848295557329155E-3</v>
      </c>
      <c r="AP174" s="43">
        <f>LN('2.ΤΙΜΕΣ ΚΛΕΙΣΙΜΑΤΟΣ'!AP175/'2.ΤΙΜΕΣ ΚΛΕΙΣΙΜΑΤΟΣ'!AP174)</f>
        <v>-2.3122417420854264E-2</v>
      </c>
      <c r="AQ174" s="43">
        <f>LN('2.ΤΙΜΕΣ ΚΛΕΙΣΙΜΑΤΟΣ'!AQ175/'2.ΤΙΜΕΣ ΚΛΕΙΣΙΜΑΤΟΣ'!AQ174)</f>
        <v>-1.4796817441439349E-2</v>
      </c>
      <c r="AR174" s="43">
        <f>LN('2.ΤΙΜΕΣ ΚΛΕΙΣΙΜΑΤΟΣ'!AR175/'2.ΤΙΜΕΣ ΚΛΕΙΣΙΜΑΤΟΣ'!AR174)</f>
        <v>1.3552966404703668E-2</v>
      </c>
      <c r="AS174" s="43">
        <f>LN('2.ΤΙΜΕΣ ΚΛΕΙΣΙΜΑΤΟΣ'!AS175/'2.ΤΙΜΕΣ ΚΛΕΙΣΙΜΑΤΟΣ'!AS174)</f>
        <v>0</v>
      </c>
      <c r="AT174" s="43">
        <f>LN('2.ΤΙΜΕΣ ΚΛΕΙΣΙΜΑΤΟΣ'!AT175/'2.ΤΙΜΕΣ ΚΛΕΙΣΙΜΑΤΟΣ'!AT174)</f>
        <v>-5.3908486348764233E-3</v>
      </c>
      <c r="AU174" s="43">
        <f>LN('2.ΤΙΜΕΣ ΚΛΕΙΣΙΜΑΤΟΣ'!AU175/'2.ΤΙΜΕΣ ΚΛΕΙΣΙΜΑΤΟΣ'!AU174)</f>
        <v>-1.1441629981258611E-2</v>
      </c>
    </row>
    <row r="175" spans="1:47">
      <c r="A175" s="41">
        <v>43805</v>
      </c>
      <c r="B175" s="43">
        <f>LN('2.ΤΙΜΕΣ ΚΛΕΙΣΙΜΑΤΟΣ'!B176/'2.ΤΙΜΕΣ ΚΛΕΙΣΙΜΑΤΟΣ'!B175)</f>
        <v>3.4013638234902605E-3</v>
      </c>
      <c r="C175" s="43">
        <f>LN('2.ΤΙΜΕΣ ΚΛΕΙΣΙΜΑΤΟΣ'!C176/'2.ΤΙΜΕΣ ΚΛΕΙΣΙΜΑΤΟΣ'!C175)</f>
        <v>-1.4205846373984945E-2</v>
      </c>
      <c r="D175" s="43">
        <f>LN('2.ΤΙΜΕΣ ΚΛΕΙΣΙΜΑΤΟΣ'!D176/'2.ΤΙΜΕΣ ΚΛΕΙΣΙΜΑΤΟΣ'!D175)</f>
        <v>-1.8180170446906725E-3</v>
      </c>
      <c r="E175" s="43">
        <f>LN('2.ΤΙΜΕΣ ΚΛΕΙΣΙΜΑΤΟΣ'!E176/'2.ΤΙΜΕΣ ΚΛΕΙΣΙΜΑΤΟΣ'!E175)</f>
        <v>-2.2534616652498153E-2</v>
      </c>
      <c r="F175" s="43">
        <f>LN('2.ΤΙΜΕΣ ΚΛΕΙΣΙΜΑΤΟΣ'!F176/'2.ΤΙΜΕΣ ΚΛΕΙΣΙΜΑΤΟΣ'!F175)</f>
        <v>-5.9988182292532678E-3</v>
      </c>
      <c r="G175" s="43">
        <f>LN('2.ΤΙΜΕΣ ΚΛΕΙΣΙΜΑΤΟΣ'!G176/'2.ΤΙΜΕΣ ΚΛΕΙΣΙΜΑΤΟΣ'!G175)</f>
        <v>-1.8141087070650038E-2</v>
      </c>
      <c r="H175" s="43">
        <f>LN('2.ΤΙΜΕΣ ΚΛΕΙΣΙΜΑΤΟΣ'!H176/'2.ΤΙΜΕΣ ΚΛΕΙΣΙΜΑΤΟΣ'!H175)</f>
        <v>-3.9254221161056473E-3</v>
      </c>
      <c r="I175" s="43">
        <f>LN('2.ΤΙΜΕΣ ΚΛΕΙΣΙΜΑΤΟΣ'!I176/'2.ΤΙΜΕΣ ΚΛΕΙΣΙΜΑΤΟΣ'!I175)</f>
        <v>-1.2061549733819659E-2</v>
      </c>
      <c r="J175" s="43">
        <f>LN('2.ΤΙΜΕΣ ΚΛΕΙΣΙΜΑΤΟΣ'!J176/'2.ΤΙΜΕΣ ΚΛΕΙΣΙΜΑΤΟΣ'!J175)</f>
        <v>-4.158010148663677E-3</v>
      </c>
      <c r="K175" s="43">
        <f>LN('2.ΤΙΜΕΣ ΚΛΕΙΣΙΜΑΤΟΣ'!K176/'2.ΤΙΜΕΣ ΚΛΕΙΣΙΜΑΤΟΣ'!K175)</f>
        <v>2.7624326959100796E-3</v>
      </c>
      <c r="L175" s="43">
        <f>LN('2.ΤΙΜΕΣ ΚΛΕΙΣΙΜΑΤΟΣ'!L176/'2.ΤΙΜΕΣ ΚΛΕΙΣΙΜΑΤΟΣ'!L175)</f>
        <v>-1.0850016024065818E-2</v>
      </c>
      <c r="M175" s="43">
        <f>LN('2.ΤΙΜΕΣ ΚΛΕΙΣΙΜΑΤΟΣ'!M176/'2.ΤΙΜΕΣ ΚΛΕΙΣΙΜΑΤΟΣ'!M175)</f>
        <v>1.0869672236903891E-2</v>
      </c>
      <c r="N175" s="43">
        <f>LN('2.ΤΙΜΕΣ ΚΛΕΙΣΙΜΑΤΟΣ'!N176/'2.ΤΙΜΕΣ ΚΛΕΙΣΙΜΑΤΟΣ'!N175)</f>
        <v>1.4126291372981883E-3</v>
      </c>
      <c r="O175" s="43">
        <f>LN('2.ΤΙΜΕΣ ΚΛΕΙΣΙΜΑΤΟΣ'!O176/'2.ΤΙΜΕΣ ΚΛΕΙΣΙΜΑΤΟΣ'!O175)</f>
        <v>-9.5956870618554378E-3</v>
      </c>
      <c r="P175" s="43">
        <f>LN('2.ΤΙΜΕΣ ΚΛΕΙΣΙΜΑΤΟΣ'!P176/'2.ΤΙΜΕΣ ΚΛΕΙΣΙΜΑΤΟΣ'!P175)</f>
        <v>7.2727593290798781E-3</v>
      </c>
      <c r="Q175" s="43">
        <f>LN('2.ΤΙΜΕΣ ΚΛΕΙΣΙΜΑΤΟΣ'!Q176/'2.ΤΙΜΕΣ ΚΛΕΙΣΙΜΑΤΟΣ'!Q175)</f>
        <v>3.3545821461532627E-3</v>
      </c>
      <c r="R175" s="43">
        <f>LN('2.ΤΙΜΕΣ ΚΛΕΙΣΙΜΑΤΟΣ'!R176/'2.ΤΙΜΕΣ ΚΛΕΙΣΙΜΑΤΟΣ'!R175)</f>
        <v>-5.4761317255872929E-3</v>
      </c>
      <c r="S175" s="43">
        <f>LN('2.ΤΙΜΕΣ ΚΛΕΙΣΙΜΑΤΟΣ'!S176/'2.ΤΙΜΕΣ ΚΛΕΙΣΙΜΑΤΟΣ'!S175)</f>
        <v>-2.6160826038671935E-2</v>
      </c>
      <c r="T175" s="43">
        <f>LN('2.ΤΙΜΕΣ ΚΛΕΙΣΙΜΑΤΟΣ'!T176/'2.ΤΙΜΕΣ ΚΛΕΙΣΙΜΑΤΟΣ'!T175)</f>
        <v>2.8089906110549518E-3</v>
      </c>
      <c r="U175" s="43">
        <f>LN('2.ΤΙΜΕΣ ΚΛΕΙΣΙΜΑΤΟΣ'!U176/'2.ΤΙΜΕΣ ΚΛΕΙΣΙΜΑΤΟΣ'!U175)</f>
        <v>-9.3023926623135612E-3</v>
      </c>
      <c r="V175" s="43">
        <f>LN('2.ΤΙΜΕΣ ΚΛΕΙΣΙΜΑΤΟΣ'!V176/'2.ΤΙΜΕΣ ΚΛΕΙΣΙΜΑΤΟΣ'!V175)</f>
        <v>-1.3423020332140774E-2</v>
      </c>
      <c r="W175" s="43">
        <f>LN('2.ΤΙΜΕΣ ΚΛΕΙΣΙΜΑΤΟΣ'!W176/'2.ΤΙΜΕΣ ΚΛΕΙΣΙΜΑΤΟΣ'!W175)</f>
        <v>1.1968882338461726E-3</v>
      </c>
      <c r="X175" s="43">
        <f>LN('2.ΤΙΜΕΣ ΚΛΕΙΣΙΜΑΤΟΣ'!X176/'2.ΤΙΜΕΣ ΚΛΕΙΣΙΜΑΤΟΣ'!X175)</f>
        <v>-2.7137058715961618E-3</v>
      </c>
      <c r="Y175" s="43">
        <f>LN('2.ΤΙΜΕΣ ΚΛΕΙΣΙΜΑΤΟΣ'!Y176/'2.ΤΙΜΕΣ ΚΛΕΙΣΙΜΑΤΟΣ'!Y175)</f>
        <v>-8.9888245684332183E-3</v>
      </c>
      <c r="Z175" s="43">
        <f>LN('2.ΤΙΜΕΣ ΚΛΕΙΣΙΜΑΤΟΣ'!Z176/'2.ΤΙΜΕΣ ΚΛΕΙΣΙΜΑΤΟΣ'!Z175)</f>
        <v>-3.883500026397633E-3</v>
      </c>
      <c r="AA175" s="43">
        <f>LN('2.ΤΙΜΕΣ ΚΛΕΙΣΙΜΑΤΟΣ'!AA176/'2.ΤΙΜΕΣ ΚΛΕΙΣΙΜΑΤΟΣ'!AA175)</f>
        <v>1.123607326692597E-2</v>
      </c>
      <c r="AB175" s="43">
        <f>LN('2.ΤΙΜΕΣ ΚΛΕΙΣΙΜΑΤΟΣ'!AB176/'2.ΤΙΜΕΣ ΚΛΕΙΣΙΜΑΤΟΣ'!AB175)</f>
        <v>0</v>
      </c>
      <c r="AC175" s="43">
        <f>LN('2.ΤΙΜΕΣ ΚΛΕΙΣΙΜΑΤΟΣ'!AC176/'2.ΤΙΜΕΣ ΚΛΕΙΣΙΜΑΤΟΣ'!AC175)</f>
        <v>-1.4015419252884445E-3</v>
      </c>
      <c r="AD175" s="43">
        <f>LN('2.ΤΙΜΕΣ ΚΛΕΙΣΙΜΑΤΟΣ'!AD176/'2.ΤΙΜΕΣ ΚΛΕΙΣΙΜΑΤΟΣ'!AD175)</f>
        <v>1.5637219761827589E-3</v>
      </c>
      <c r="AE175" s="43">
        <f>LN('2.ΤΙΜΕΣ ΚΛΕΙΣΙΜΑΤΟΣ'!AE176/'2.ΤΙΜΕΣ ΚΛΕΙΣΙΜΑΤΟΣ'!AE175)</f>
        <v>1.1215070820140003E-2</v>
      </c>
      <c r="AF175" s="43">
        <f>LN('2.ΤΙΜΕΣ ΚΛΕΙΣΙΜΑΤΟΣ'!AF176/'2.ΤΙΜΕΣ ΚΛΕΙΣΙΜΑΤΟΣ'!AF175)</f>
        <v>-4.6056677273771371E-2</v>
      </c>
      <c r="AG175" s="43">
        <f>LN('2.ΤΙΜΕΣ ΚΛΕΙΣΙΜΑΤΟΣ'!AG176/'2.ΤΙΜΕΣ ΚΛΕΙΣΙΜΑΤΟΣ'!AG175)</f>
        <v>-3.4486176071169203E-2</v>
      </c>
      <c r="AH175" s="43">
        <f>LN('2.ΤΙΜΕΣ ΚΛΕΙΣΙΜΑΤΟΣ'!AH176/'2.ΤΙΜΕΣ ΚΛΕΙΣΙΜΑΤΟΣ'!AH175)</f>
        <v>1.0889399799268317E-2</v>
      </c>
      <c r="AI175" s="43">
        <f>LN('2.ΤΙΜΕΣ ΚΛΕΙΣΙΜΑΤΟΣ'!AI176/'2.ΤΙΜΕΣ ΚΛΕΙΣΙΜΑΤΟΣ'!AI175)</f>
        <v>-7.6045993852193036E-3</v>
      </c>
      <c r="AJ175" s="43">
        <f>LN('2.ΤΙΜΕΣ ΚΛΕΙΣΙΜΑΤΟΣ'!AJ176/'2.ΤΙΜΕΣ ΚΛΕΙΣΙΜΑΤΟΣ'!AJ175)</f>
        <v>-2.6433257068155368E-2</v>
      </c>
      <c r="AK175" s="43">
        <f>LN('2.ΤΙΜΕΣ ΚΛΕΙΣΙΜΑΤΟΣ'!AK176/'2.ΤΙΜΕΣ ΚΛΕΙΣΙΜΑΤΟΣ'!AK175)</f>
        <v>0</v>
      </c>
      <c r="AL175" s="43">
        <f>LN('2.ΤΙΜΕΣ ΚΛΕΙΣΙΜΑΤΟΣ'!AL176/'2.ΤΙΜΕΣ ΚΛΕΙΣΙΜΑΤΟΣ'!AL175)</f>
        <v>-2.2472855852058628E-2</v>
      </c>
      <c r="AM175" s="43">
        <f>LN('2.ΤΙΜΕΣ ΚΛΕΙΣΙΜΑΤΟΣ'!AM176/'2.ΤΙΜΕΣ ΚΛΕΙΣΙΜΑΤΟΣ'!AM175)</f>
        <v>1.1363758650315003E-2</v>
      </c>
      <c r="AN175" s="43">
        <f>LN('2.ΤΙΜΕΣ ΚΛΕΙΣΙΜΑΤΟΣ'!AN176/'2.ΤΙΜΕΣ ΚΛΕΙΣΙΜΑΤΟΣ'!AN175)</f>
        <v>-3.7000956414968374E-2</v>
      </c>
      <c r="AO175" s="43">
        <f>LN('2.ΤΙΜΕΣ ΚΛΕΙΣΙΜΑΤΟΣ'!AO176/'2.ΤΙΜΕΣ ΚΛΕΙΣΙΜΑΤΟΣ'!AO175)</f>
        <v>0</v>
      </c>
      <c r="AP175" s="43">
        <f>LN('2.ΤΙΜΕΣ ΚΛΕΙΣΙΜΑΤΟΣ'!AP176/'2.ΤΙΜΕΣ ΚΛΕΙΣΙΜΑΤΟΣ'!AP175)</f>
        <v>0</v>
      </c>
      <c r="AQ175" s="43">
        <f>LN('2.ΤΙΜΕΣ ΚΛΕΙΣΙΜΑΤΟΣ'!AQ176/'2.ΤΙΜΕΣ ΚΛΕΙΣΙΜΑΤΟΣ'!AQ175)</f>
        <v>7.4257766968494768E-3</v>
      </c>
      <c r="AR175" s="43">
        <f>LN('2.ΤΙΜΕΣ ΚΛΕΙΣΙΜΑΤΟΣ'!AR176/'2.ΤΙΜΕΣ ΚΛΕΙΣΙΜΑΤΟΣ'!AR175)</f>
        <v>-3.9220713153281385E-2</v>
      </c>
      <c r="AS175" s="43">
        <f>LN('2.ΤΙΜΕΣ ΚΛΕΙΣΙΜΑΤΟΣ'!AS176/'2.ΤΙΜΕΣ ΚΛΕΙΣΙΜΑΤΟΣ'!AS175)</f>
        <v>2.9112102074583131E-3</v>
      </c>
      <c r="AT175" s="43">
        <f>LN('2.ΤΙΜΕΣ ΚΛΕΙΣΙΜΑΤΟΣ'!AT176/'2.ΤΙΜΕΣ ΚΛΕΙΣΙΜΑΤΟΣ'!AT175)</f>
        <v>-8.1411575836998849E-3</v>
      </c>
      <c r="AU175" s="43">
        <f>LN('2.ΤΙΜΕΣ ΚΛΕΙΣΙΜΑΤΟΣ'!AU176/'2.ΤΙΜΕΣ ΚΛΕΙΣΙΜΑΤΟΣ'!AU175)</f>
        <v>-6.1195089873582534E-3</v>
      </c>
    </row>
    <row r="176" spans="1:47">
      <c r="A176" s="41">
        <v>43808</v>
      </c>
      <c r="B176" s="43">
        <f>LN('2.ΤΙΜΕΣ ΚΛΕΙΣΙΜΑΤΟΣ'!B177/'2.ΤΙΜΕΣ ΚΛΕΙΣΙΜΑΤΟΣ'!B176)</f>
        <v>2.7127856582357468E-3</v>
      </c>
      <c r="C176" s="43">
        <f>LN('2.ΤΙΜΕΣ ΚΛΕΙΣΙΜΑΤΟΣ'!C177/'2.ΤΙΜΕΣ ΚΛΕΙΣΙΜΑΤΟΣ'!C176)</f>
        <v>2.2564883587326097E-3</v>
      </c>
      <c r="D176" s="43">
        <f>LN('2.ΤΙΜΕΣ ΚΛΕΙΣΙΜΑΤΟΣ'!D177/'2.ΤΙΜΕΣ ΚΛΕΙΣΙΜΑΤΟΣ'!D176)</f>
        <v>-6.3892148711720102E-3</v>
      </c>
      <c r="E176" s="43">
        <f>LN('2.ΤΙΜΕΣ ΚΛΕΙΣΙΜΑΤΟΣ'!E177/'2.ΤΙΜΕΣ ΚΛΕΙΣΙΜΑΤΟΣ'!E176)</f>
        <v>-9.4946259197783382E-3</v>
      </c>
      <c r="F176" s="43">
        <f>LN('2.ΤΙΜΕΣ ΚΛΕΙΣΙΜΑΤΟΣ'!F177/'2.ΤΙΜΕΣ ΚΛΕΙΣΙΜΑΤΟΣ'!F176)</f>
        <v>-1.3325454597149509E-2</v>
      </c>
      <c r="G176" s="43">
        <f>LN('2.ΤΙΜΕΣ ΚΛΕΙΣΙΜΑΤΟΣ'!G177/'2.ΤΙΜΕΣ ΚΛΕΙΣΙΜΑΤΟΣ'!G176)</f>
        <v>-2.432082816385632E-2</v>
      </c>
      <c r="H176" s="43">
        <f>LN('2.ΤΙΜΕΣ ΚΛΕΙΣΙΜΑΤΟΣ'!H177/'2.ΤΙΜΕΣ ΚΛΕΙΣΙΜΑΤΟΣ'!H176)</f>
        <v>2.9455102297567446E-3</v>
      </c>
      <c r="I176" s="43">
        <f>LN('2.ΤΙΜΕΣ ΚΛΕΙΣΙΜΑΤΟΣ'!I177/'2.ΤΙΜΕΣ ΚΛΕΙΣΙΜΑΤΟΣ'!I176)</f>
        <v>-2.2874079589824719E-2</v>
      </c>
      <c r="J176" s="43">
        <f>LN('2.ΤΙΜΕΣ ΚΛΕΙΣΙΜΑΤΟΣ'!J177/'2.ΤΙΜΕΣ ΚΛΕΙΣΙΜΑΤΟΣ'!J176)</f>
        <v>-2.4250002223459705E-2</v>
      </c>
      <c r="K176" s="43">
        <f>LN('2.ΤΙΜΕΣ ΚΛΕΙΣΙΜΑΤΟΣ'!K177/'2.ΤΙΜΕΣ ΚΛΕΙΣΙΜΑΤΟΣ'!K176)</f>
        <v>9.6088591066368894E-3</v>
      </c>
      <c r="L176" s="43">
        <f>LN('2.ΤΙΜΕΣ ΚΛΕΙΣΙΜΑΤΟΣ'!L177/'2.ΤΙΜΕΣ ΚΛΕΙΣΙΜΑΤΟΣ'!L176)</f>
        <v>-1.6234972975861007E-2</v>
      </c>
      <c r="M176" s="43">
        <f>LN('2.ΤΙΜΕΣ ΚΛΕΙΣΙΜΑΤΟΣ'!M177/'2.ΤΙΜΕΣ ΚΛΕΙΣΙΜΑΤΟΣ'!M176)</f>
        <v>-1.9651287397288615E-2</v>
      </c>
      <c r="N176" s="43">
        <f>LN('2.ΤΙΜΕΣ ΚΛΕΙΣΙΜΑΤΟΣ'!N177/'2.ΤΙΜΕΣ ΚΛΕΙΣΙΜΑΤΟΣ'!N176)</f>
        <v>0</v>
      </c>
      <c r="O176" s="43">
        <f>LN('2.ΤΙΜΕΣ ΚΛΕΙΣΙΜΑΤΟΣ'!O177/'2.ΤΙΜΕΣ ΚΛΕΙΣΙΜΑΤΟΣ'!O176)</f>
        <v>8.2304991365154435E-3</v>
      </c>
      <c r="P176" s="43">
        <f>LN('2.ΤΙΜΕΣ ΚΛΕΙΣΙΜΑΤΟΣ'!P177/'2.ΤΙΜΕΣ ΚΛΕΙΣΙΜΑΤΟΣ'!P176)</f>
        <v>-3.8409448114871299E-2</v>
      </c>
      <c r="Q176" s="43">
        <f>LN('2.ΤΙΜΕΣ ΚΛΕΙΣΙΜΑΤΟΣ'!Q177/'2.ΤΙΜΕΣ ΚΛΕΙΣΙΜΑΤΟΣ'!Q176)</f>
        <v>-2.5094568782559171E-2</v>
      </c>
      <c r="R176" s="43">
        <f>LN('2.ΤΙΜΕΣ ΚΛΕΙΣΙΜΑΤΟΣ'!R177/'2.ΤΙΜΕΣ ΚΛΕΙΣΙΜΑΤΟΣ'!R176)</f>
        <v>-1.0426344068471378E-2</v>
      </c>
      <c r="S176" s="43">
        <f>LN('2.ΤΙΜΕΣ ΚΛΕΙΣΙΜΑΤΟΣ'!S177/'2.ΤΙΜΕΣ ΚΛΕΙΣΙΜΑΤΟΣ'!S176)</f>
        <v>-1.9465334788103351E-2</v>
      </c>
      <c r="T176" s="43">
        <f>LN('2.ΤΙΜΕΣ ΚΛΕΙΣΙΜΑΤΟΣ'!T177/'2.ΤΙΜΕΣ ΚΛΕΙΣΙΜΑΤΟΣ'!T176)</f>
        <v>-2.7009459907491404E-2</v>
      </c>
      <c r="U176" s="43">
        <f>LN('2.ΤΙΜΕΣ ΚΛΕΙΣΙΜΑΤΟΣ'!U177/'2.ΤΙΜΕΣ ΚΛΕΙΣΙΜΑΤΟΣ'!U176)</f>
        <v>-4.6838493124264262E-3</v>
      </c>
      <c r="V176" s="43">
        <f>LN('2.ΤΙΜΕΣ ΚΛΕΙΣΙΜΑΤΟΣ'!V177/'2.ΤΙΜΕΣ ΚΛΕΙΣΙΜΑΤΟΣ'!V176)</f>
        <v>-1.13251493570534E-2</v>
      </c>
      <c r="W176" s="43">
        <f>LN('2.ΤΙΜΕΣ ΚΛΕΙΣΙΜΑΤΟΣ'!W177/'2.ΤΙΜΕΣ ΚΛΕΙΣΙΜΑΤΟΣ'!W176)</f>
        <v>-8.4084579494066638E-3</v>
      </c>
      <c r="X176" s="43">
        <f>LN('2.ΤΙΜΕΣ ΚΛΕΙΣΙΜΑΤΟΣ'!X177/'2.ΤΙΜΕΣ ΚΛΕΙΣΙΜΑΤΟΣ'!X176)</f>
        <v>-1.3680103904080266E-2</v>
      </c>
      <c r="Y176" s="43">
        <f>LN('2.ΤΙΜΕΣ ΚΛΕΙΣΙΜΑΤΟΣ'!Y177/'2.ΤΙΜΕΣ ΚΛΕΙΣΙΜΑΤΟΣ'!Y176)</f>
        <v>5.6274768657283893E-3</v>
      </c>
      <c r="Z176" s="43">
        <f>LN('2.ΤΙΜΕΣ ΚΛΕΙΣΙΜΑΤΟΣ'!Z177/'2.ΤΙΜΕΣ ΚΛΕΙΣΙΜΑΤΟΣ'!Z176)</f>
        <v>-1.1741817876683287E-2</v>
      </c>
      <c r="AA176" s="43">
        <f>LN('2.ΤΙΜΕΣ ΚΛΕΙΣΙΜΑΤΟΣ'!AA177/'2.ΤΙΜΕΣ ΚΛΕΙΣΙΜΑΤΟΣ'!AA176)</f>
        <v>-5.6022555486698981E-3</v>
      </c>
      <c r="AB176" s="43">
        <f>LN('2.ΤΙΜΕΣ ΚΛΕΙΣΙΜΑΤΟΣ'!AB177/'2.ΤΙΜΕΣ ΚΛΕΙΣΙΜΑΤΟΣ'!AB176)</f>
        <v>-2.3788861964014713E-2</v>
      </c>
      <c r="AC176" s="43">
        <f>LN('2.ΤΙΜΕΣ ΚΛΕΙΣΙΜΑΤΟΣ'!AC177/'2.ΤΙΜΕΣ ΚΛΕΙΣΙΜΑΤΟΣ'!AC176)</f>
        <v>-5.6258938821684371E-3</v>
      </c>
      <c r="AD176" s="43">
        <f>LN('2.ΤΙΜΕΣ ΚΛΕΙΣΙΜΑΤΟΣ'!AD177/'2.ΤΙΜΕΣ ΚΛΕΙΣΙΜΑΤΟΣ'!AD176)</f>
        <v>-7.8431774610258926E-3</v>
      </c>
      <c r="AE176" s="43">
        <f>LN('2.ΤΙΜΕΣ ΚΛΕΙΣΙΜΑΤΟΣ'!AE177/'2.ΤΙΜΕΣ ΚΛΕΙΣΙΜΑΤΟΣ'!AE176)</f>
        <v>3.7105793965357746E-3</v>
      </c>
      <c r="AF176" s="43">
        <f>LN('2.ΤΙΜΕΣ ΚΛΕΙΣΙΜΑΤΟΣ'!AF177/'2.ΤΙΜΕΣ ΚΛΕΙΣΙΜΑΤΟΣ'!AF176)</f>
        <v>-6.38979809877101E-3</v>
      </c>
      <c r="AG176" s="43">
        <f>LN('2.ΤΙΜΕΣ ΚΛΕΙΣΙΜΑΤΟΣ'!AG177/'2.ΤΙΜΕΣ ΚΛΕΙΣΙΜΑΤΟΣ'!AG176)</f>
        <v>-1.515180502060222E-2</v>
      </c>
      <c r="AH176" s="43">
        <f>LN('2.ΤΙΜΕΣ ΚΛΕΙΣΙΜΑΤΟΣ'!AH177/'2.ΤΙΜΕΣ ΚΛΕΙΣΙΜΑΤΟΣ'!AH176)</f>
        <v>-7.2464085207671978E-3</v>
      </c>
      <c r="AI176" s="43">
        <f>LN('2.ΤΙΜΕΣ ΚΛΕΙΣΙΜΑΤΟΣ'!AI177/'2.ΤΙΜΕΣ ΚΛΕΙΣΙΜΑΤΟΣ'!AI176)</f>
        <v>-7.6628727455691371E-3</v>
      </c>
      <c r="AJ176" s="43">
        <f>LN('2.ΤΙΜΕΣ ΚΛΕΙΣΙΜΑΤΟΣ'!AJ177/'2.ΤΙΜΕΣ ΚΛΕΙΣΙΜΑΤΟΣ'!AJ176)</f>
        <v>-1.8018505502678365E-2</v>
      </c>
      <c r="AK176" s="43">
        <f>LN('2.ΤΙΜΕΣ ΚΛΕΙΣΙΜΑΤΟΣ'!AK177/'2.ΤΙΜΕΣ ΚΛΕΙΣΙΜΑΤΟΣ'!AK176)</f>
        <v>-1.765493523872071E-2</v>
      </c>
      <c r="AL176" s="43">
        <f>LN('2.ΤΙΜΕΣ ΚΛΕΙΣΙΜΑΤΟΣ'!AL177/'2.ΤΙΜΕΣ ΚΛΕΙΣΙΜΑΤΟΣ'!AL176)</f>
        <v>-3.4685557987889873E-2</v>
      </c>
      <c r="AM176" s="43">
        <f>LN('2.ΤΙΜΕΣ ΚΛΕΙΣΙΜΑΤΟΣ'!AM177/'2.ΤΙΜΕΣ ΚΛΕΙΣΙΜΑΤΟΣ'!AM176)</f>
        <v>-1.4224990931347213E-2</v>
      </c>
      <c r="AN176" s="43">
        <f>LN('2.ΤΙΜΕΣ ΚΛΕΙΣΙΜΑΤΟΣ'!AN177/'2.ΤΙΜΕΣ ΚΛΕΙΣΙΜΑΤΟΣ'!AN176)</f>
        <v>-3.3825096153644089E-2</v>
      </c>
      <c r="AO176" s="43">
        <f>LN('2.ΤΙΜΕΣ ΚΛΕΙΣΙΜΑΤΟΣ'!AO177/'2.ΤΙΜΕΣ ΚΛΕΙΣΙΜΑΤΟΣ'!AO176)</f>
        <v>0</v>
      </c>
      <c r="AP176" s="43">
        <f>LN('2.ΤΙΜΕΣ ΚΛΕΙΣΙΜΑΤΟΣ'!AP177/'2.ΤΙΜΕΣ ΚΛΕΙΣΙΜΑΤΟΣ'!AP176)</f>
        <v>-2.9282597790883341E-3</v>
      </c>
      <c r="AQ176" s="43">
        <f>LN('2.ΤΙΜΕΣ ΚΛΕΙΣΙΜΑΤΟΣ'!AQ177/'2.ΤΙΜΕΣ ΚΛΕΙΣΙΜΑΤΟΣ'!AQ176)</f>
        <v>-3.003980569800976E-2</v>
      </c>
      <c r="AR176" s="43">
        <f>LN('2.ΤΙΜΕΣ ΚΛΕΙΣΙΜΑΤΟΣ'!AR177/'2.ΤΙΜΕΣ ΚΛΕΙΣΙΜΑΤΟΣ'!AR176)</f>
        <v>-1.816397062767118E-2</v>
      </c>
      <c r="AS176" s="43">
        <f>LN('2.ΤΙΜΕΣ ΚΛΕΙΣΙΜΑΤΟΣ'!AS177/'2.ΤΙΜΕΣ ΚΛΕΙΣΙΜΑΤΟΣ'!AS176)</f>
        <v>-4.7628048989254705E-2</v>
      </c>
      <c r="AT176" s="43">
        <f>LN('2.ΤΙΜΕΣ ΚΛΕΙΣΙΜΑΤΟΣ'!AT177/'2.ΤΙΜΕΣ ΚΛΕΙΣΙΜΑΤΟΣ'!AT176)</f>
        <v>-2.4828861653869997E-2</v>
      </c>
      <c r="AU176" s="43">
        <f>LN('2.ΤΙΜΕΣ ΚΛΕΙΣΙΜΑΤΟΣ'!AU177/'2.ΤΙΜΕΣ ΚΛΕΙΣΙΜΑΤΟΣ'!AU176)</f>
        <v>-1.086954707845336E-2</v>
      </c>
    </row>
    <row r="177" spans="1:47">
      <c r="A177" s="41">
        <v>43809</v>
      </c>
      <c r="B177" s="43">
        <f>LN('2.ΤΙΜΕΣ ΚΛΕΙΣΙΜΑΤΟΣ'!B178/'2.ΤΙΜΕΣ ΚΛΕΙΣΙΜΑΤΟΣ'!B177)</f>
        <v>-4.7522153250052898E-3</v>
      </c>
      <c r="C177" s="43">
        <f>LN('2.ΤΙΜΕΣ ΚΛΕΙΣΙΜΑΤΟΣ'!C178/'2.ΤΙΜΕΣ ΚΛΕΙΣΙΜΑΤΟΣ'!C177)</f>
        <v>-1.3615944092315421E-2</v>
      </c>
      <c r="D177" s="43">
        <f>LN('2.ΤΙΜΕΣ ΚΛΕΙΣΙΜΑΤΟΣ'!D178/'2.ΤΙΜΕΣ ΚΛΕΙΣΙΜΑΤΟΣ'!D177)</f>
        <v>1.0837499633357835E-2</v>
      </c>
      <c r="E177" s="43">
        <f>LN('2.ΤΙΜΕΣ ΚΛΕΙΣΙΜΑΤΟΣ'!E178/'2.ΤΙΜΕΣ ΚΛΕΙΣΙΜΑΤΟΣ'!E177)</f>
        <v>-9.585638663357602E-3</v>
      </c>
      <c r="F177" s="43">
        <f>LN('2.ΤΙΜΕΣ ΚΛΕΙΣΙΜΑΤΟΣ'!F178/'2.ΤΙΜΕΣ ΚΛΕΙΣΙΜΑΤΟΣ'!F177)</f>
        <v>-1.2202564052293744E-3</v>
      </c>
      <c r="G177" s="43">
        <f>LN('2.ΤΙΜΕΣ ΚΛΕΙΣΙΜΑΤΟΣ'!G178/'2.ΤΙΜΕΣ ΚΛΕΙΣΙΜΑΤΟΣ'!G177)</f>
        <v>3.5108286500630209E-3</v>
      </c>
      <c r="H177" s="43">
        <f>LN('2.ΤΙΜΕΣ ΚΛΕΙΣΙΜΑΤΟΣ'!H178/'2.ΤΙΜΕΣ ΚΛΕΙΣΙΜΑΤΟΣ'!H177)</f>
        <v>-1.9802627296179643E-2</v>
      </c>
      <c r="I177" s="43">
        <f>LN('2.ΤΙΜΕΣ ΚΛΕΙΣΙΜΑΤΟΣ'!I178/'2.ΤΙΜΕΣ ΚΛΕΙΣΙΜΑΤΟΣ'!I177)</f>
        <v>-1.129305597151414E-3</v>
      </c>
      <c r="J177" s="43">
        <f>LN('2.ΤΙΜΕΣ ΚΛΕΙΣΙΜΑΤΟΣ'!J178/'2.ΤΙΜΕΣ ΚΛΕΙΣΙΜΑΤΟΣ'!J177)</f>
        <v>1.3778702356164475E-2</v>
      </c>
      <c r="K177" s="43">
        <f>LN('2.ΤΙΜΕΣ ΚΛΕΙΣΙΜΑΤΟΣ'!K178/'2.ΤΙΜΕΣ ΚΛΕΙΣΙΜΑΤΟΣ'!K177)</f>
        <v>9.5174069868901711E-3</v>
      </c>
      <c r="L177" s="43">
        <f>LN('2.ΤΙΜΕΣ ΚΛΕΙΣΙΜΑΤΟΣ'!L178/'2.ΤΙΜΕΣ ΚΛΕΙΣΙΜΑΤΟΣ'!L177)</f>
        <v>8.4122472946519238E-3</v>
      </c>
      <c r="M177" s="43">
        <f>LN('2.ΤΙΜΕΣ ΚΛΕΙΣΙΜΑΤΟΣ'!M178/'2.ΤΙΜΕΣ ΚΛΕΙΣΙΜΑΤΟΣ'!M177)</f>
        <v>-6.6371925067987298E-3</v>
      </c>
      <c r="N177" s="43">
        <f>LN('2.ΤΙΜΕΣ ΚΛΕΙΣΙΜΑΤΟΣ'!N178/'2.ΤΙΜΕΣ ΚΛΕΙΣΙΜΑΤΟΣ'!N177)</f>
        <v>2.0538619272227686E-2</v>
      </c>
      <c r="O177" s="43">
        <f>LN('2.ΤΙΜΕΣ ΚΛΕΙΣΙΜΑΤΟΣ'!O178/'2.ΤΙΜΕΣ ΚΛΕΙΣΙΜΑΤΟΣ'!O177)</f>
        <v>-1.7919156240264834E-2</v>
      </c>
      <c r="P177" s="43">
        <f>LN('2.ΤΙΜΕΣ ΚΛΕΙΣΙΜΑΤΟΣ'!P178/'2.ΤΙΜΕΣ ΚΛΕΙΣΙΜΑΤΟΣ'!P177)</f>
        <v>0</v>
      </c>
      <c r="Q177" s="43">
        <f>LN('2.ΤΙΜΕΣ ΚΛΕΙΣΙΜΑΤΟΣ'!Q178/'2.ΤΙΜΕΣ ΚΛΕΙΣΙΜΑΤΟΣ'!Q177)</f>
        <v>2.7434859457508339E-3</v>
      </c>
      <c r="R177" s="43">
        <f>LN('2.ΤΙΜΕΣ ΚΛΕΙΣΙΜΑΤΟΣ'!R178/'2.ΤΙΜΕΣ ΚΛΕΙΣΙΜΑΤΟΣ'!R177)</f>
        <v>1.5902475794058606E-2</v>
      </c>
      <c r="S177" s="43">
        <f>LN('2.ΤΙΜΕΣ ΚΛΕΙΣΙΜΑΤΟΣ'!S178/'2.ΤΙΜΕΣ ΚΛΕΙΣΙΜΑΤΟΣ'!S177)</f>
        <v>-6.1614489440486872E-3</v>
      </c>
      <c r="T177" s="43">
        <f>LN('2.ΤΙΜΕΣ ΚΛΕΙΣΙΜΑΤΟΣ'!T178/'2.ΤΙΜΕΣ ΚΛΕΙΣΙΜΑΤΟΣ'!T177)</f>
        <v>4.3134502537193475E-3</v>
      </c>
      <c r="U177" s="43">
        <f>LN('2.ΤΙΜΕΣ ΚΛΕΙΣΙΜΑΤΟΣ'!U178/'2.ΤΙΜΕΣ ΚΛΕΙΣΙΜΑΤΟΣ'!U177)</f>
        <v>-1.6568426347232594E-2</v>
      </c>
      <c r="V177" s="43">
        <f>LN('2.ΤΙΜΕΣ ΚΛΕΙΣΙΜΑΤΟΣ'!V178/'2.ΤΙΜΕΣ ΚΛΕΙΣΙΜΑΤΟΣ'!V177)</f>
        <v>-9.1533819864872482E-3</v>
      </c>
      <c r="W177" s="43">
        <f>LN('2.ΤΙΜΕΣ ΚΛΕΙΣΙΜΑΤΟΣ'!W178/'2.ΤΙΜΕΣ ΚΛΕΙΣΙΜΑΤΟΣ'!W177)</f>
        <v>-7.2639544582250573E-3</v>
      </c>
      <c r="X177" s="43">
        <f>LN('2.ΤΙΜΕΣ ΚΛΕΙΣΙΜΑΤΟΣ'!X178/'2.ΤΙΜΕΣ ΚΛΕΙΣΙΜΑΤΟΣ'!X177)</f>
        <v>-8.2988028146950658E-3</v>
      </c>
      <c r="Y177" s="43">
        <f>LN('2.ΤΙΜΕΣ ΚΛΕΙΣΙΜΑΤΟΣ'!Y178/'2.ΤΙΜΕΣ ΚΛΕΙΣΙΜΑΤΟΣ'!Y177)</f>
        <v>-6.7567824628798736E-3</v>
      </c>
      <c r="Z177" s="43">
        <f>LN('2.ΤΙΜΕΣ ΚΛΕΙΣΙΜΑΤΟΣ'!Z178/'2.ΤΙΜΕΣ ΚΛΕΙΣΙΜΑΤΟΣ'!Z177)</f>
        <v>3.1010236742560218E-2</v>
      </c>
      <c r="AA177" s="43">
        <f>LN('2.ΤΙΜΕΣ ΚΛΕΙΣΙΜΑΤΟΣ'!AA178/'2.ΤΙΜΕΣ ΚΛΕΙΣΙΜΑΤΟΣ'!AA177)</f>
        <v>-2.8129413766147236E-3</v>
      </c>
      <c r="AB177" s="43">
        <f>LN('2.ΤΙΜΕΣ ΚΛΕΙΣΙΜΑΤΟΣ'!AB178/'2.ΤΙΜΕΣ ΚΛΕΙΣΙΜΑΤΟΣ'!AB177)</f>
        <v>-1.8692133012152633E-2</v>
      </c>
      <c r="AC177" s="43">
        <f>LN('2.ΤΙΜΕΣ ΚΛΕΙΣΙΜΑΤΟΣ'!AC178/'2.ΤΙΜΕΣ ΚΛΕΙΣΙΜΑΤΟΣ'!AC177)</f>
        <v>1.4094435032336039E-3</v>
      </c>
      <c r="AD177" s="43">
        <f>LN('2.ΤΙΜΕΣ ΚΛΕΙΣΙΜΑΤΟΣ'!AD178/'2.ΤΙΜΕΣ ΚΛΕΙΣΙΜΑΤΟΣ'!AD177)</f>
        <v>0</v>
      </c>
      <c r="AE177" s="43">
        <f>LN('2.ΤΙΜΕΣ ΚΛΕΙΣΙΜΑΤΟΣ'!AE178/'2.ΤΙΜΕΣ ΚΛΕΙΣΙΜΑΤΟΣ'!AE177)</f>
        <v>-3.710579396535713E-3</v>
      </c>
      <c r="AF177" s="43">
        <f>LN('2.ΤΙΜΕΣ ΚΛΕΙΣΙΜΑΤΟΣ'!AF178/'2.ΤΙΜΕΣ ΚΛΕΙΣΙΜΑΤΟΣ'!AF177)</f>
        <v>-2.3347363996991177E-2</v>
      </c>
      <c r="AG177" s="43">
        <f>LN('2.ΤΙΜΕΣ ΚΛΕΙΣΙΜΑΤΟΣ'!AG178/'2.ΤΙΜΕΣ ΚΛΕΙΣΙΜΑΤΟΣ'!AG177)</f>
        <v>-3.3638359148829802E-2</v>
      </c>
      <c r="AH177" s="43">
        <f>LN('2.ΤΙΜΕΣ ΚΛΕΙΣΙΜΑΤΟΣ'!AH178/'2.ΤΙΜΕΣ ΚΛΕΙΣΙΜΑΤΟΣ'!AH177)</f>
        <v>-1.8349138668196541E-2</v>
      </c>
      <c r="AI177" s="43">
        <f>LN('2.ΤΙΜΕΣ ΚΛΕΙΣΙΜΑΤΟΣ'!AI178/'2.ΤΙΜΕΣ ΚΛΕΙΣΙΜΑΤΟΣ'!AI177)</f>
        <v>3.7740327982847113E-2</v>
      </c>
      <c r="AJ177" s="43">
        <f>LN('2.ΤΙΜΕΣ ΚΛΕΙΣΙΜΑΤΟΣ'!AJ178/'2.ΤΙΜΕΣ ΚΛΕΙΣΙΜΑΤΟΣ'!AJ177)</f>
        <v>0</v>
      </c>
      <c r="AK177" s="43">
        <f>LN('2.ΤΙΜΕΣ ΚΛΕΙΣΙΜΑΤΟΣ'!AK178/'2.ΤΙΜΕΣ ΚΛΕΙΣΙΜΑΤΟΣ'!AK177)</f>
        <v>2.5412974286725481E-3</v>
      </c>
      <c r="AL177" s="43">
        <f>LN('2.ΤΙΜΕΣ ΚΛΕΙΣΙΜΑΤΟΣ'!AL178/'2.ΤΙΜΕΣ ΚΛΕΙΣΙΜΑΤΟΣ'!AL177)</f>
        <v>0</v>
      </c>
      <c r="AM177" s="43">
        <f>LN('2.ΤΙΜΕΣ ΚΛΕΙΣΙΜΑΤΟΣ'!AM178/'2.ΤΙΜΕΣ ΚΛΕΙΣΙΜΑΤΟΣ'!AM177)</f>
        <v>1.1396134730869582E-2</v>
      </c>
      <c r="AN177" s="43">
        <f>LN('2.ΤΙΜΕΣ ΚΛΕΙΣΙΜΑΤΟΣ'!AN178/'2.ΤΙΜΕΣ ΚΛΕΙΣΙΜΑΤΟΣ'!AN177)</f>
        <v>-2.296212260350268E-3</v>
      </c>
      <c r="AO177" s="43">
        <f>LN('2.ΤΙΜΕΣ ΚΛΕΙΣΙΜΑΤΟΣ'!AO178/'2.ΤΙΜΕΣ ΚΛΕΙΣΙΜΑΤΟΣ'!AO177)</f>
        <v>-1.1834457647002796E-2</v>
      </c>
      <c r="AP177" s="43">
        <f>LN('2.ΤΙΜΕΣ ΚΛΕΙΣΙΜΑΤΟΣ'!AP178/'2.ΤΙΜΕΣ ΚΛΕΙΣΙΜΑΤΟΣ'!AP177)</f>
        <v>-2.936859673309825E-3</v>
      </c>
      <c r="AQ177" s="43">
        <f>LN('2.ΤΙΜΕΣ ΚΛΕΙΣΙΜΑΤΟΣ'!AQ178/'2.ΤΙΜΕΣ ΚΛΕΙΣΙΜΑΤΟΣ'!AQ177)</f>
        <v>-8.9343287337658554E-3</v>
      </c>
      <c r="AR177" s="43">
        <f>LN('2.ΤΙΜΕΣ ΚΛΕΙΣΙΜΑΤΟΣ'!AR178/'2.ΤΙΜΕΣ ΚΛΕΙΣΙΜΑΤΟΣ'!AR177)</f>
        <v>-0.33851097331106123</v>
      </c>
      <c r="AS177" s="43">
        <f>LN('2.ΤΙΜΕΣ ΚΛΕΙΣΙΜΑΤΟΣ'!AS178/'2.ΤΙΜΕΣ ΚΛΕΙΣΙΜΑΤΟΣ'!AS177)</f>
        <v>-1.2270092591814247E-2</v>
      </c>
      <c r="AT177" s="43">
        <f>LN('2.ΤΙΜΕΣ ΚΛΕΙΣΙΜΑΤΟΣ'!AT178/'2.ΤΙΜΕΣ ΚΛΕΙΣΙΜΑΤΟΣ'!AT177)</f>
        <v>0</v>
      </c>
      <c r="AU177" s="43">
        <f>LN('2.ΤΙΜΕΣ ΚΛΕΙΣΙΜΑΤΟΣ'!AU178/'2.ΤΙΜΕΣ ΚΛΕΙΣΙΜΑΤΟΣ'!AU177)</f>
        <v>-2.4341629229657521E-3</v>
      </c>
    </row>
    <row r="178" spans="1:47">
      <c r="A178" s="41">
        <v>43810</v>
      </c>
      <c r="B178" s="43">
        <f>LN('2.ΤΙΜΕΣ ΚΛΕΙΣΙΜΑΤΟΣ'!B179/'2.ΤΙΜΕΣ ΚΛΕΙΣΙΜΑΤΟΣ'!B178)</f>
        <v>5.7676156491750273E-3</v>
      </c>
      <c r="C178" s="43">
        <f>LN('2.ΤΙΜΕΣ ΚΛΕΙΣΙΜΑΤΟΣ'!C179/'2.ΤΙΜΕΣ ΚΛΕΙΣΙΜΑΤΟΣ'!C178)</f>
        <v>1.5867352172772804E-2</v>
      </c>
      <c r="D178" s="43">
        <f>LN('2.ΤΙΜΕΣ ΚΛΕΙΣΙΜΑΤΟΣ'!D179/'2.ΤΙΜΕΣ ΚΛΕΙΣΙΜΑΤΟΣ'!D178)</f>
        <v>3.8209890292330288E-2</v>
      </c>
      <c r="E178" s="43">
        <f>LN('2.ΤΙΜΕΣ ΚΛΕΙΣΙΜΑΤΟΣ'!E179/'2.ΤΙΜΕΣ ΚΛΕΙΣΙΜΑΤΟΣ'!E178)</f>
        <v>4.1071255236924065E-2</v>
      </c>
      <c r="F178" s="43">
        <f>LN('2.ΤΙΜΕΣ ΚΛΕΙΣΙΜΑΤΟΣ'!F179/'2.ΤΙΜΕΣ ΚΛΕΙΣΙΜΑΤΟΣ'!F178)</f>
        <v>1.092907053219023E-2</v>
      </c>
      <c r="G178" s="43">
        <f>LN('2.ΤΙΜΕΣ ΚΛΕΙΣΙΜΑΤΟΣ'!G179/'2.ΤΙΜΕΣ ΚΛΕΙΣΙΜΑΤΟΣ'!G178)</f>
        <v>4.4553342133113211E-2</v>
      </c>
      <c r="H178" s="43">
        <f>LN('2.ΤΙΜΕΣ ΚΛΕΙΣΙΜΑΤΟΣ'!H179/'2.ΤΙΜΕΣ ΚΛΕΙΣΙΜΑΤΟΣ'!H178)</f>
        <v>3.5367143837291344E-2</v>
      </c>
      <c r="I178" s="43">
        <f>LN('2.ΤΙΜΕΣ ΚΛΕΙΣΙΜΑΤΟΣ'!I179/'2.ΤΙΜΕΣ ΚΛΕΙΣΙΜΑΤΟΣ'!I178)</f>
        <v>5.4423981887687913E-2</v>
      </c>
      <c r="J178" s="43">
        <f>LN('2.ΤΙΜΕΣ ΚΛΕΙΣΙΜΑΤΟΣ'!J179/'2.ΤΙΜΕΣ ΚΛΕΙΣΙΜΑΤΟΣ'!J178)</f>
        <v>2.8706795714754742E-2</v>
      </c>
      <c r="K178" s="43">
        <f>LN('2.ΤΙΜΕΣ ΚΛΕΙΣΙΜΑΤΟΣ'!K179/'2.ΤΙΜΕΣ ΚΛΕΙΣΙΜΑΤΟΣ'!K178)</f>
        <v>1.3522652500137541E-3</v>
      </c>
      <c r="L178" s="43">
        <f>LN('2.ΤΙΜΕΣ ΚΛΕΙΣΙΜΑΤΟΣ'!L179/'2.ΤΙΜΕΣ ΚΛΕΙΣΙΜΑΤΟΣ'!L178)</f>
        <v>2.482030204978003E-2</v>
      </c>
      <c r="M178" s="43">
        <f>LN('2.ΤΙΜΕΣ ΚΛΕΙΣΙΜΑΤΟΣ'!M179/'2.ΤΙΜΕΣ ΚΛΕΙΣΙΜΑΤΟΣ'!M178)</f>
        <v>3.1679328538963852E-2</v>
      </c>
      <c r="N178" s="43">
        <f>LN('2.ΤΙΜΕΣ ΚΛΕΙΣΙΜΑΤΟΣ'!N179/'2.ΤΙΜΕΣ ΚΛΕΙΣΙΜΑΤΟΣ'!N178)</f>
        <v>2.6241296737685884E-3</v>
      </c>
      <c r="O178" s="43">
        <f>LN('2.ΤΙΜΕΣ ΚΛΕΙΣΙΜΑΤΟΣ'!O179/'2.ΤΙΜΕΣ ΚΛΕΙΣΙΜΑΤΟΣ'!O178)</f>
        <v>1.5183176421390028E-2</v>
      </c>
      <c r="P178" s="43">
        <f>LN('2.ΤΙΜΕΣ ΚΛΕΙΣΙΜΑΤΟΣ'!P179/'2.ΤΙΜΕΣ ΚΛΕΙΣΙΜΑΤΟΣ'!P178)</f>
        <v>2.2338978082262335E-2</v>
      </c>
      <c r="Q178" s="43">
        <f>LN('2.ΤΙΜΕΣ ΚΛΕΙΣΙΜΑΤΟΣ'!Q179/'2.ΤΙΜΕΣ ΚΛΕΙΣΙΜΑΤΟΣ'!Q178)</f>
        <v>4.4213497142020282E-2</v>
      </c>
      <c r="R178" s="43">
        <f>LN('2.ΤΙΜΕΣ ΚΛΕΙΣΙΜΑΤΟΣ'!R179/'2.ΤΙΜΕΣ ΚΛΕΙΣΙΜΑΤΟΣ'!R178)</f>
        <v>5.719212416711069E-2</v>
      </c>
      <c r="S178" s="43">
        <f>LN('2.ΤΙΜΕΣ ΚΛΕΙΣΙΜΑΤΟΣ'!S179/'2.ΤΙΜΕΣ ΚΛΕΙΣΙΜΑΤΟΣ'!S178)</f>
        <v>1.1063419544255354E-2</v>
      </c>
      <c r="T178" s="43">
        <f>LN('2.ΤΙΜΕΣ ΚΛΕΙΣΙΜΑΤΟΣ'!T179/'2.ΤΙΜΕΣ ΚΛΕΙΣΙΜΑΤΟΣ'!T178)</f>
        <v>3.107594696052296E-2</v>
      </c>
      <c r="U178" s="43">
        <f>LN('2.ΤΙΜΕΣ ΚΛΕΙΣΙΜΑΤΟΣ'!U179/'2.ΤΙΜΕΣ ΚΛΕΙΣΙΜΑΤΟΣ'!U178)</f>
        <v>2.591428876547015E-2</v>
      </c>
      <c r="V178" s="43">
        <f>LN('2.ΤΙΜΕΣ ΚΛΕΙΣΙΜΑΤΟΣ'!V179/'2.ΤΙΜΕΣ ΚΛΕΙΣΙΜΑΤΟΣ'!V178)</f>
        <v>1.142869582362285E-2</v>
      </c>
      <c r="W178" s="43">
        <f>LN('2.ΤΙΜΕΣ ΚΛΕΙΣΙΜΑΤΟΣ'!W179/'2.ΤΙΜΕΣ ΚΛΕΙΣΙΜΑΤΟΣ'!W178)</f>
        <v>2.4271856576111375E-3</v>
      </c>
      <c r="X178" s="43">
        <f>LN('2.ΤΙΜΕΣ ΚΛΕΙΣΙΜΑΤΟΣ'!X179/'2.ΤΙΜΕΣ ΚΛΕΙΣΙΜΑΤΟΣ'!X178)</f>
        <v>2.4692612590371414E-2</v>
      </c>
      <c r="Y178" s="43">
        <f>LN('2.ΤΙΜΕΣ ΚΛΕΙΣΙΜΑΤΟΣ'!Y179/'2.ΤΙΜΕΣ ΚΛΕΙΣΙΜΑΤΟΣ'!Y178)</f>
        <v>1.2352767967001126E-2</v>
      </c>
      <c r="Z178" s="43">
        <f>LN('2.ΤΙΜΕΣ ΚΛΕΙΣΙΜΑΤΟΣ'!Z179/'2.ΤΙΜΕΣ ΚΛΕΙΣΙΜΑΤΟΣ'!Z178)</f>
        <v>-1.5384918839479343E-2</v>
      </c>
      <c r="AA178" s="43">
        <f>LN('2.ΤΙΜΕΣ ΚΛΕΙΣΙΜΑΤΟΣ'!AA179/'2.ΤΙΜΕΣ ΚΛΕΙΣΙΜΑΤΟΣ'!AA178)</f>
        <v>0</v>
      </c>
      <c r="AB178" s="43">
        <f>LN('2.ΤΙΜΕΣ ΚΛΕΙΣΙΜΑΤΟΣ'!AB179/'2.ΤΙΜΕΣ ΚΛΕΙΣΙΜΑΤΟΣ'!AB178)</f>
        <v>9.3897403498389171E-3</v>
      </c>
      <c r="AC178" s="43">
        <f>LN('2.ΤΙΜΕΣ ΚΛΕΙΣΙΜΑΤΟΣ'!AC179/'2.ΤΙΜΕΣ ΚΛΕΙΣΙΜΑΤΟΣ'!AC178)</f>
        <v>5.6179923042232738E-3</v>
      </c>
      <c r="AD178" s="43">
        <f>LN('2.ΤΙΜΕΣ ΚΛΕΙΣΙΜΑΤΟΣ'!AD179/'2.ΤΙΜΕΣ ΚΛΕΙΣΙΜΑΤΟΣ'!AD178)</f>
        <v>1.5625317903080815E-2</v>
      </c>
      <c r="AE178" s="43">
        <f>LN('2.ΤΙΜΕΣ ΚΛΕΙΣΙΜΑΤΟΣ'!AE179/'2.ΤΙΜΕΣ ΚΛΕΙΣΙΜΑΤΟΣ'!AE178)</f>
        <v>1.8416726786231286E-2</v>
      </c>
      <c r="AF178" s="43">
        <f>LN('2.ΤΙΜΕΣ ΚΛΕΙΣΙΜΑΤΟΣ'!AF179/'2.ΤΙΜΕΣ ΚΛΕΙΣΙΜΑΤΟΣ'!AF178)</f>
        <v>5.7377112583302636E-2</v>
      </c>
      <c r="AG178" s="43">
        <f>LN('2.ΤΙΜΕΣ ΚΛΕΙΣΙΜΑΤΟΣ'!AG179/'2.ΤΙΜΕΣ ΚΛΕΙΣΙΜΑΤΟΣ'!AG178)</f>
        <v>7.8637364602144513E-3</v>
      </c>
      <c r="AH178" s="43">
        <f>LN('2.ΤΙΜΕΣ ΚΛΕΙΣΙΜΑΤΟΣ'!AH179/'2.ΤΙΜΕΣ ΚΛΕΙΣΙΜΑΤΟΣ'!AH178)</f>
        <v>2.1978906718775167E-2</v>
      </c>
      <c r="AI178" s="43">
        <f>LN('2.ΤΙΜΕΣ ΚΛΕΙΣΙΜΑΤΟΣ'!AI179/'2.ΤΙΜΕΣ ΚΛΕΙΣΙΜΑΤΟΣ'!AI178)</f>
        <v>0</v>
      </c>
      <c r="AJ178" s="43">
        <f>LN('2.ΤΙΜΕΣ ΚΛΕΙΣΙΜΑΤΟΣ'!AJ179/'2.ΤΙΜΕΣ ΚΛΕΙΣΙΜΑΤΟΣ'!AJ178)</f>
        <v>9.0498355199178562E-3</v>
      </c>
      <c r="AK178" s="43">
        <f>LN('2.ΤΙΜΕΣ ΚΛΕΙΣΙΜΑΤΟΣ'!AK179/'2.ΤΙΜΕΣ ΚΛΕΙΣΙΜΑΤΟΣ'!AK178)</f>
        <v>2.506396866321622E-2</v>
      </c>
      <c r="AL178" s="43">
        <f>LN('2.ΤΙΜΕΣ ΚΛΕΙΣΙΜΑΤΟΣ'!AL179/'2.ΤΙΜΕΣ ΚΛΕΙΣΙΜΑΤΟΣ'!AL178)</f>
        <v>3.4685557987889894E-2</v>
      </c>
      <c r="AM178" s="43">
        <f>LN('2.ΤΙΜΕΣ ΚΛΕΙΣΙΜΑΤΟΣ'!AM179/'2.ΤΙΜΕΣ ΚΛΕΙΣΙΜΑΤΟΣ'!AM178)</f>
        <v>-5.6818334674309462E-3</v>
      </c>
      <c r="AN178" s="43">
        <f>LN('2.ΤΙΜΕΣ ΚΛΕΙΣΙΜΑΤΟΣ'!AN179/'2.ΤΙΜΕΣ ΚΛΕΙΣΙΜΑΤΟΣ'!AN178)</f>
        <v>6.0218859993054874E-2</v>
      </c>
      <c r="AO178" s="43">
        <f>LN('2.ΤΙΜΕΣ ΚΛΕΙΣΙΜΑΤΟΣ'!AO179/'2.ΤΙΜΕΣ ΚΛΕΙΣΙΜΑΤΟΣ'!AO178)</f>
        <v>5.9347355198145265E-3</v>
      </c>
      <c r="AP178" s="43">
        <f>LN('2.ΤΙΜΕΣ ΚΛΕΙΣΙΜΑΤΟΣ'!AP179/'2.ΤΙΜΕΣ ΚΛΕΙΣΙΜΑΤΟΣ'!AP178)</f>
        <v>2.0379162336652264E-2</v>
      </c>
      <c r="AQ178" s="43">
        <f>LN('2.ΤΙΜΕΣ ΚΛΕΙΣΙΜΑΤΟΣ'!AQ179/'2.ΤΙΜΕΣ ΚΛΕΙΣΙΜΑΤΟΣ'!AQ178)</f>
        <v>1.5267472130788381E-2</v>
      </c>
      <c r="AR178" s="43">
        <f>LN('2.ΤΙΜΕΣ ΚΛΕΙΣΙΜΑΤΟΣ'!AR179/'2.ΤΙΜΕΣ ΚΛΕΙΣΙΜΑΤΟΣ'!AR178)</f>
        <v>1.6997576368571077E-2</v>
      </c>
      <c r="AS178" s="43">
        <f>LN('2.ΤΙΜΕΣ ΚΛΕΙΣΙΜΑΤΟΣ'!AS179/'2.ΤΙΜΕΣ ΚΛΕΙΣΙΜΑΤΟΣ'!AS178)</f>
        <v>3.0816665374081144E-3</v>
      </c>
      <c r="AT178" s="43">
        <f>LN('2.ΤΙΜΕΣ ΚΛΕΙΣΙΜΑΤΟΣ'!AT179/'2.ΤΙΜΕΣ ΚΛΕΙΣΙΜΑΤΟΣ'!AT178)</f>
        <v>4.6393039569710491E-2</v>
      </c>
      <c r="AU178" s="43">
        <f>LN('2.ΤΙΜΕΣ ΚΛΕΙΣΙΜΑΤΟΣ'!AU179/'2.ΤΙΜΕΣ ΚΛΕΙΣΙΜΑΤΟΣ'!AU178)</f>
        <v>2.5539446006213346E-2</v>
      </c>
    </row>
    <row r="179" spans="1:47">
      <c r="A179" s="41">
        <v>43811</v>
      </c>
      <c r="B179" s="43">
        <f>LN('2.ΤΙΜΕΣ ΚΛΕΙΣΙΜΑΤΟΣ'!B180/'2.ΤΙΜΕΣ ΚΛΕΙΣΙΜΑΤΟΣ'!B179)</f>
        <v>-5.0873435140973734E-3</v>
      </c>
      <c r="C179" s="43">
        <f>LN('2.ΤΙΜΕΣ ΚΛΕΙΣΙΜΑΤΟΣ'!C180/'2.ΤΙΜΕΣ ΚΛΕΙΣΙΜΑΤΟΣ'!C179)</f>
        <v>-9.7929219532436017E-3</v>
      </c>
      <c r="D179" s="43">
        <f>LN('2.ΤΙΜΕΣ ΚΛΕΙΣΙΜΑΤΟΣ'!D180/'2.ΤΙΜΕΣ ΚΛΕΙΣΙΜΑΤΟΣ'!D179)</f>
        <v>2.1561853007587155E-2</v>
      </c>
      <c r="E179" s="43">
        <f>LN('2.ΤΙΜΕΣ ΚΛΕΙΣΙΜΑΤΟΣ'!E180/'2.ΤΙΜΕΣ ΚΛΕΙΣΙΜΑΤΟΣ'!E179)</f>
        <v>1.9386713800190084E-2</v>
      </c>
      <c r="F179" s="43">
        <f>LN('2.ΤΙΜΕΣ ΚΛΕΙΣΙΜΑΤΟΣ'!F180/'2.ΤΙΜΕΣ ΚΛΕΙΣΙΜΑΤΟΣ'!F179)</f>
        <v>-3.6297680505786127E-3</v>
      </c>
      <c r="G179" s="43">
        <f>LN('2.ΤΙΜΕΣ ΚΛΕΙΣΙΜΑΤΟΣ'!G180/'2.ΤΙΜΕΣ ΚΛΕΙΣΙΜΑΤΟΣ'!G179)</f>
        <v>-1.1179431013412834E-3</v>
      </c>
      <c r="H179" s="43">
        <f>LN('2.ΤΙΜΕΣ ΚΛΕΙΣΙΜΑΤΟΣ'!H180/'2.ΤΙΜΕΣ ΚΛΕΙΣΙΜΑΤΟΣ'!H179)</f>
        <v>-1.0674531246919737E-2</v>
      </c>
      <c r="I179" s="43">
        <f>LN('2.ΤΙΜΕΣ ΚΛΕΙΣΙΜΑΤΟΣ'!I180/'2.ΤΙΜΕΣ ΚΛΕΙΣΙΜΑΤΟΣ'!I179)</f>
        <v>5.3490239306950649E-4</v>
      </c>
      <c r="J179" s="43">
        <f>LN('2.ΤΙΜΕΣ ΚΛΕΙΣΙΜΑΤΟΣ'!J180/'2.ΤΙΜΕΣ ΚΛΕΙΣΙΜΑΤΟΣ'!J179)</f>
        <v>7.8112130906414709E-3</v>
      </c>
      <c r="K179" s="43">
        <f>LN('2.ΤΙΜΕΣ ΚΛΕΙΣΙΜΑΤΟΣ'!K180/'2.ΤΙΜΕΣ ΚΛΕΙΣΙΜΑΤΟΣ'!K179)</f>
        <v>-2.7398974188114503E-2</v>
      </c>
      <c r="L179" s="43">
        <f>LN('2.ΤΙΜΕΣ ΚΛΕΙΣΙΜΑΤΟΣ'!L180/'2.ΤΙΜΕΣ ΚΛΕΙΣΙΜΑΤΟΣ'!L179)</f>
        <v>2.5503711860055101E-3</v>
      </c>
      <c r="M179" s="43">
        <f>LN('2.ΤΙΜΕΣ ΚΛΕΙΣΙΜΑΤΟΣ'!M180/'2.ΤΙΜΕΣ ΚΛΕΙΣΙΜΑΤΟΣ'!M179)</f>
        <v>0</v>
      </c>
      <c r="N179" s="43">
        <f>LN('2.ΤΙΜΕΣ ΚΛΕΙΣΙΜΑΤΟΣ'!N180/'2.ΤΙΜΕΣ ΚΛΕΙΣΙΜΑΤΟΣ'!N179)</f>
        <v>0</v>
      </c>
      <c r="O179" s="43">
        <f>LN('2.ΤΙΜΕΣ ΚΛΕΙΣΙΜΑΤΟΣ'!O180/'2.ΤΙΜΕΣ ΚΛΕΙΣΙΜΑΤΟΣ'!O179)</f>
        <v>-8.2531417567204141E-3</v>
      </c>
      <c r="P179" s="43">
        <f>LN('2.ΤΙΜΕΣ ΚΛΕΙΣΙΜΑΤΟΣ'!P180/'2.ΤΙΜΕΣ ΚΛΕΙΣΙΜΑΤΟΣ'!P179)</f>
        <v>-1.4738396183005527E-3</v>
      </c>
      <c r="Q179" s="43">
        <f>LN('2.ΤΙΜΕΣ ΚΛΕΙΣΙΜΑΤΟΣ'!Q180/'2.ΤΙΜΕΣ ΚΛΕΙΣΙΜΑΤΟΣ'!Q179)</f>
        <v>-9.2166551049240632E-3</v>
      </c>
      <c r="R179" s="43">
        <f>LN('2.ΤΙΜΕΣ ΚΛΕΙΣΙΜΑΤΟΣ'!R180/'2.ΤΙΜΕΣ ΚΛΕΙΣΙΜΑΤΟΣ'!R179)</f>
        <v>8.7727452924273835E-2</v>
      </c>
      <c r="S179" s="43">
        <f>LN('2.ΤΙΜΕΣ ΚΛΕΙΣΙΜΑΤΟΣ'!S180/'2.ΤΙΜΕΣ ΚΛΕΙΣΙΜΑΤΟΣ'!S179)</f>
        <v>-1.353866833279818E-2</v>
      </c>
      <c r="T179" s="43">
        <f>LN('2.ΤΙΜΕΣ ΚΛΕΙΣΙΜΑΤΟΣ'!T180/'2.ΤΙΜΕΣ ΚΛΕΙΣΙΜΑΤΟΣ'!T179)</f>
        <v>5.547864437717963E-3</v>
      </c>
      <c r="U179" s="43">
        <f>LN('2.ΤΙΜΕΣ ΚΛΕΙΣΙΜΑΤΟΣ'!U180/'2.ΤΙΜΕΣ ΚΛΕΙΣΙΜΑΤΟΣ'!U179)</f>
        <v>9.2593254127967262E-3</v>
      </c>
      <c r="V179" s="43">
        <f>LN('2.ΤΙΜΕΣ ΚΛΕΙΣΙΜΑΤΟΣ'!V180/'2.ΤΙΜΕΣ ΚΛΕΙΣΙΜΑΤΟΣ'!V179)</f>
        <v>-4.5558165358608018E-3</v>
      </c>
      <c r="W179" s="43">
        <f>LN('2.ΤΙΜΕΣ ΚΛΕΙΣΙΜΑΤΟΣ'!W180/'2.ΤΙΜΕΣ ΚΛΕΙΣΙΜΑΤΟΣ'!W179)</f>
        <v>-1.0969031370573933E-2</v>
      </c>
      <c r="X179" s="43">
        <f>LN('2.ΤΙΜΕΣ ΚΛΕΙΣΙΜΑΤΟΣ'!X180/'2.ΤΙΜΕΣ ΚΛΕΙΣΙΜΑΤΟΣ'!X179)</f>
        <v>0</v>
      </c>
      <c r="Y179" s="43">
        <f>LN('2.ΤΙΜΕΣ ΚΛΕΙΣΙΜΑΤΟΣ'!Y180/'2.ΤΙΜΕΣ ΚΛΕΙΣΙΜΑΤΟΣ'!Y179)</f>
        <v>1.1098893068048765E-2</v>
      </c>
      <c r="Z179" s="43">
        <f>LN('2.ΤΙΜΕΣ ΚΛΕΙΣΙΜΑΤΟΣ'!Z180/'2.ΤΙΜΕΣ ΚΛΕΙΣΙΜΑΤΟΣ'!Z179)</f>
        <v>-7.7821404420549628E-3</v>
      </c>
      <c r="AA179" s="43">
        <f>LN('2.ΤΙΜΕΣ ΚΛΕΙΣΙΜΑΤΟΣ'!AA180/'2.ΤΙΜΕΣ ΚΛΕΙΣΙΜΑΤΟΣ'!AA179)</f>
        <v>0</v>
      </c>
      <c r="AB179" s="43">
        <f>LN('2.ΤΙΜΕΣ ΚΛΕΙΣΙΜΑΤΟΣ'!AB180/'2.ΤΙΜΕΣ ΚΛΕΙΣΙΜΑΤΟΣ'!AB179)</f>
        <v>5.5918132657779345E-3</v>
      </c>
      <c r="AC179" s="43">
        <f>LN('2.ΤΙΜΕΣ ΚΛΕΙΣΙΜΑΤΟΣ'!AC180/'2.ΤΙΜΕΣ ΚΛΕΙΣΙΜΑΤΟΣ'!AC179)</f>
        <v>1.5288692515090336E-2</v>
      </c>
      <c r="AD179" s="43">
        <f>LN('2.ΤΙΜΕΣ ΚΛΕΙΣΙΜΑΤΟΣ'!AD180/'2.ΤΙΜΕΣ ΚΛΕΙΣΙΜΑΤΟΣ'!AD179)</f>
        <v>0</v>
      </c>
      <c r="AE179" s="43">
        <f>LN('2.ΤΙΜΕΣ ΚΛΕΙΣΙΜΑΤΟΣ'!AE180/'2.ΤΙΜΕΣ ΚΛΕΙΣΙΜΑΤΟΣ'!AE179)</f>
        <v>-1.4706147389695449E-2</v>
      </c>
      <c r="AF179" s="43">
        <f>LN('2.ΤΙΜΕΣ ΚΛΕΙΣΙΜΑΤΟΣ'!AF180/'2.ΤΙΜΕΣ ΚΛΕΙΣΙΜΑΤΟΣ'!AF179)</f>
        <v>4.9443858454640659E-3</v>
      </c>
      <c r="AG179" s="43">
        <f>LN('2.ΤΙΜΕΣ ΚΛΕΙΣΙΜΑΤΟΣ'!AG180/'2.ΤΙΜΕΣ ΚΛΕΙΣΙΜΑΤΟΣ'!AG179)</f>
        <v>6.5680166862155651E-2</v>
      </c>
      <c r="AH179" s="43">
        <f>LN('2.ΤΙΜΕΣ ΚΛΕΙΣΙΜΑΤΟΣ'!AH180/'2.ΤΙΜΕΣ ΚΛΕΙΣΙΜΑΤΟΣ'!AH179)</f>
        <v>-3.6297680505787237E-3</v>
      </c>
      <c r="AI179" s="43">
        <f>LN('2.ΤΙΜΕΣ ΚΛΕΙΣΙΜΑΤΟΣ'!AI180/'2.ΤΙΜΕΣ ΚΛΕΙΣΙΜΑΤΟΣ'!AI179)</f>
        <v>0</v>
      </c>
      <c r="AJ179" s="43">
        <f>LN('2.ΤΙΜΕΣ ΚΛΕΙΣΙΜΑΤΟΣ'!AJ180/'2.ΤΙΜΕΣ ΚΛΕΙΣΙΜΑΤΟΣ'!AJ179)</f>
        <v>-9.0498355199179273E-3</v>
      </c>
      <c r="AK179" s="43">
        <f>LN('2.ΤΙΜΕΣ ΚΛΕΙΣΙΜΑΤΟΣ'!AK180/'2.ΤΙΜΕΣ ΚΛΕΙΣΙΜΑΤΟΣ'!AK179)</f>
        <v>-2.7605266091888857E-2</v>
      </c>
      <c r="AL179" s="43">
        <f>LN('2.ΤΙΜΕΣ ΚΛΕΙΣΙΜΑΤΟΣ'!AL180/'2.ΤΙΜΕΣ ΚΛΕΙΣΙΜΑΤΟΣ'!AL179)</f>
        <v>0</v>
      </c>
      <c r="AM179" s="43">
        <f>LN('2.ΤΙΜΕΣ ΚΛΕΙΣΙΜΑΤΟΣ'!AM180/'2.ΤΙΜΕΣ ΚΛΕΙΣΙΜΑΤΟΣ'!AM179)</f>
        <v>-1.434744840814154E-2</v>
      </c>
      <c r="AN179" s="43">
        <f>LN('2.ΤΙΜΕΣ ΚΛΕΙΣΙΜΑΤΟΣ'!AN180/'2.ΤΙΜΕΣ ΚΛΕΙΣΙΜΑΤΟΣ'!AN179)</f>
        <v>-2.6317308317373417E-2</v>
      </c>
      <c r="AO179" s="43">
        <f>LN('2.ΤΙΜΕΣ ΚΛΕΙΣΙΜΑΤΟΣ'!AO180/'2.ΤΙΜΕΣ ΚΛΕΙΣΙΜΑΤΟΣ'!AO179)</f>
        <v>-1.1904902506318427E-2</v>
      </c>
      <c r="AP179" s="43">
        <f>LN('2.ΤΙΜΕΣ ΚΛΕΙΣΙΜΑΤΟΣ'!AP180/'2.ΤΙΜΕΣ ΚΛΕΙΣΙΜΑΤΟΣ'!AP179)</f>
        <v>1.1461443519006598E-2</v>
      </c>
      <c r="AQ179" s="43">
        <f>LN('2.ΤΙΜΕΣ ΚΛΕΙΣΙΜΑΤΟΣ'!AQ180/'2.ΤΙΜΕΣ ΚΛΕΙΣΙΜΑΤΟΣ'!AQ179)</f>
        <v>-3.7950709685516094E-3</v>
      </c>
      <c r="AR179" s="43">
        <f>LN('2.ΤΙΜΕΣ ΚΛΕΙΣΙΜΑΤΟΣ'!AR180/'2.ΤΙΜΕΣ ΚΛΕΙΣΙΜΑΤΟΣ'!AR179)</f>
        <v>-5.7819570888826249E-2</v>
      </c>
      <c r="AS179" s="43">
        <f>LN('2.ΤΙΜΕΣ ΚΛΕΙΣΙΜΑΤΟΣ'!AS180/'2.ΤΙΜΕΣ ΚΛΕΙΣΙΜΑΤΟΣ'!AS179)</f>
        <v>6.1349885675159293E-3</v>
      </c>
      <c r="AT179" s="43">
        <f>LN('2.ΤΙΜΕΣ ΚΛΕΙΣΙΜΑΤΟΣ'!AT180/'2.ΤΙΜΕΣ ΚΛΕΙΣΙΜΑΤΟΣ'!AT179)</f>
        <v>2.6631174194836284E-3</v>
      </c>
      <c r="AU179" s="43">
        <f>LN('2.ΤΙΜΕΣ ΚΛΕΙΣΙΜΑΤΟΣ'!AU180/'2.ΤΙΜΕΣ ΚΛΕΙΣΙΜΑΤΟΣ'!AU179)</f>
        <v>1.413092250041672E-3</v>
      </c>
    </row>
    <row r="180" spans="1:47">
      <c r="A180" s="41">
        <v>43812</v>
      </c>
      <c r="B180" s="43">
        <f>LN('2.ΤΙΜΕΣ ΚΛΕΙΣΙΜΑΤΟΣ'!B181/'2.ΤΙΜΕΣ ΚΛΕΙΣΙΜΑΤΟΣ'!B180)</f>
        <v>-1.0205818201724551E-3</v>
      </c>
      <c r="C180" s="43">
        <f>LN('2.ΤΙΜΕΣ ΚΛΕΙΣΙΜΑΤΟΣ'!C181/'2.ΤΙΜΕΣ ΚΛΕΙΣΙΜΑΤΟΣ'!C180)</f>
        <v>-1.6024761072697225E-2</v>
      </c>
      <c r="D180" s="43">
        <f>LN('2.ΤΙΜΕΣ ΚΛΕΙΣΙΜΑΤΟΣ'!D181/'2.ΤΙΜΕΣ ΚΛΕΙΣΙΜΑΤΟΣ'!D180)</f>
        <v>1.9434494228652913E-2</v>
      </c>
      <c r="E180" s="43">
        <f>LN('2.ΤΙΜΕΣ ΚΛΕΙΣΙΜΑΤΟΣ'!E181/'2.ΤΙΜΕΣ ΚΛΕΙΣΙΜΑΤΟΣ'!E180)</f>
        <v>1.3245226750020723E-2</v>
      </c>
      <c r="F180" s="43">
        <f>LN('2.ΤΙΜΕΣ ΚΛΕΙΣΙΜΑΤΟΣ'!F181/'2.ΤΙΜΕΣ ΚΛΕΙΣΙΜΑΤΟΣ'!F180)</f>
        <v>1.2048338516174355E-2</v>
      </c>
      <c r="G180" s="43">
        <f>LN('2.ΤΙΜΕΣ ΚΛΕΙΣΙΜΑΤΟΣ'!G181/'2.ΤΙΜΕΣ ΚΛΕΙΣΙΜΑΤΟΣ'!G180)</f>
        <v>6.6889881507967101E-3</v>
      </c>
      <c r="H180" s="43">
        <f>LN('2.ΤΙΜΕΣ ΚΛΕΙΣΙΜΑΤΟΣ'!H181/'2.ΤΙΜΕΣ ΚΛΕΙΣΙΜΑΤΟΣ'!H180)</f>
        <v>-5.870858349783745E-3</v>
      </c>
      <c r="I180" s="43">
        <f>LN('2.ΤΙΜΕΣ ΚΛΕΙΣΙΜΑΤΟΣ'!I181/'2.ΤΙΜΕΣ ΚΛΕΙΣΙΜΑΤΟΣ'!I180)</f>
        <v>1.3807972966334597E-2</v>
      </c>
      <c r="J180" s="43">
        <f>LN('2.ΤΙΜΕΣ ΚΛΕΙΣΙΜΑΤΟΣ'!J181/'2.ΤΙΜΕΣ ΚΛΕΙΣΙΜΑΤΟΣ'!J180)</f>
        <v>1.4441896680916671E-2</v>
      </c>
      <c r="K180" s="43">
        <f>LN('2.ΤΙΜΕΣ ΚΛΕΙΣΙΜΑΤΟΣ'!K181/'2.ΤΙΜΕΣ ΚΛΕΙΣΙΜΑΤΟΣ'!K180)</f>
        <v>-2.781642961876914E-3</v>
      </c>
      <c r="L180" s="43">
        <f>LN('2.ΤΙΜΕΣ ΚΛΕΙΣΙΜΑΤΟΣ'!L181/'2.ΤΙΜΕΣ ΚΛΕΙΣΙΜΑΤΟΣ'!L180)</f>
        <v>-1.5294420518980484E-3</v>
      </c>
      <c r="M180" s="43">
        <f>LN('2.ΤΙΜΕΣ ΚΛΕΙΣΙΜΑΤΟΣ'!M181/'2.ΤΙΜΕΣ ΚΛΕΙΣΙΜΑΤΟΣ'!M180)</f>
        <v>0</v>
      </c>
      <c r="N180" s="43">
        <f>LN('2.ΤΙΜΕΣ ΚΛΕΙΣΙΜΑΤΟΣ'!N181/'2.ΤΙΜΕΣ ΚΛΕΙΣΙΜΑΤΟΣ'!N180)</f>
        <v>4.8855843457492241E-2</v>
      </c>
      <c r="O180" s="43">
        <f>LN('2.ΤΙΜΕΣ ΚΛΕΙΣΙΜΑΤΟΣ'!O181/'2.ΤΙΜΕΣ ΚΛΕΙΣΙΜΑΤΟΣ'!O180)</f>
        <v>6.8823396229417376E-3</v>
      </c>
      <c r="P180" s="43">
        <f>LN('2.ΤΙΜΕΣ ΚΛΕΙΣΙΜΑΤΟΣ'!P181/'2.ΤΙΜΕΣ ΚΛΕΙΣΙΜΑΤΟΣ'!P180)</f>
        <v>1.7544309650909525E-2</v>
      </c>
      <c r="Q180" s="43">
        <f>LN('2.ΤΙΜΕΣ ΚΛΕΙΣΙΜΑΤΟΣ'!Q181/'2.ΤΙΜΕΣ ΚΛΕΙΣΙΜΑΤΟΣ'!Q180)</f>
        <v>1.9821612039912025E-3</v>
      </c>
      <c r="R180" s="43">
        <f>LN('2.ΤΙΜΕΣ ΚΛΕΙΣΙΜΑΤΟΣ'!R181/'2.ΤΙΜΕΣ ΚΛΕΙΣΙΜΑΤΟΣ'!R180)</f>
        <v>2.8462464663761452E-2</v>
      </c>
      <c r="S180" s="43">
        <f>LN('2.ΤΙΜΕΣ ΚΛΕΙΣΙΜΑΤΟΣ'!S181/'2.ΤΙΜΕΣ ΚΛΕΙΣΙΜΑΤΟΣ'!S180)</f>
        <v>2.2059718064732257E-2</v>
      </c>
      <c r="T180" s="43">
        <f>LN('2.ΤΙΜΕΣ ΚΛΕΙΣΙΜΑΤΟΣ'!T181/'2.ΤΙΜΕΣ ΚΛΕΙΣΙΜΑΤΟΣ'!T180)</f>
        <v>-6.9396531105405911E-3</v>
      </c>
      <c r="U180" s="43">
        <f>LN('2.ΤΙΜΕΣ ΚΛΕΙΣΙΜΑΤΟΣ'!U181/'2.ΤΙΜΕΣ ΚΛΕΙΣΙΜΑΤΟΣ'!U180)</f>
        <v>2.0525235944730852E-2</v>
      </c>
      <c r="V180" s="43">
        <f>LN('2.ΤΙΜΕΣ ΚΛΕΙΣΙΜΑΤΟΣ'!V181/'2.ΤΙΜΕΣ ΚΛΕΙΣΙΜΑΤΟΣ'!V180)</f>
        <v>-4.5766670274117547E-3</v>
      </c>
      <c r="W180" s="43">
        <f>LN('2.ΤΙΜΕΣ ΚΛΕΙΣΙΜΑΤΟΣ'!W181/'2.ΤΙΜΕΣ ΚΛΕΙΣΙΜΑΤΟΣ'!W180)</f>
        <v>-6.1463008486941778E-3</v>
      </c>
      <c r="X180" s="43">
        <f>LN('2.ΤΙΜΕΣ ΚΛΕΙΣΙΜΑΤΟΣ'!X181/'2.ΤΙΜΕΣ ΚΛΕΙΣΙΜΑΤΟΣ'!X180)</f>
        <v>-5.4347959859569446E-3</v>
      </c>
      <c r="Y180" s="43">
        <f>LN('2.ΤΙΜΕΣ ΚΛΕΙΣΙΜΑΤΟΣ'!Y181/'2.ΤΙΜΕΣ ΚΛΕΙΣΙΜΑΤΟΣ'!Y180)</f>
        <v>5.5035912169789092E-3</v>
      </c>
      <c r="Z180" s="43">
        <f>LN('2.ΤΙΜΕΣ ΚΛΕΙΣΙΜΑΤΟΣ'!Z181/'2.ΤΙΜΕΣ ΚΛΕΙΣΙΜΑΤΟΣ'!Z180)</f>
        <v>-3.9138993211363287E-3</v>
      </c>
      <c r="AA180" s="43">
        <f>LN('2.ΤΙΜΕΣ ΚΛΕΙΣΙΜΑΤΟΣ'!AA181/'2.ΤΙΜΕΣ ΚΛΕΙΣΙΜΑΤΟΣ'!AA180)</f>
        <v>5.6179923042232738E-3</v>
      </c>
      <c r="AB180" s="43">
        <f>LN('2.ΤΙΜΕΣ ΚΛΕΙΣΙΜΑΤΟΣ'!AB181/'2.ΤΙΜΕΣ ΚΛΕΙΣΙΜΑΤΟΣ'!AB180)</f>
        <v>2.3876248991130094E-2</v>
      </c>
      <c r="AC180" s="43">
        <f>LN('2.ΤΙΜΕΣ ΚΛΕΙΣΙΜΑΤΟΣ'!AC181/'2.ΤΙΜΕΣ ΚΛΕΙΣΙΜΑΤΟΣ'!AC180)</f>
        <v>0</v>
      </c>
      <c r="AD180" s="43">
        <f>LN('2.ΤΙΜΕΣ ΚΛΕΙΣΙΜΑΤΟΣ'!AD181/'2.ΤΙΜΕΣ ΚΛΕΙΣΙΜΑΤΟΣ'!AD180)</f>
        <v>1.9954614529544834E-2</v>
      </c>
      <c r="AE180" s="43">
        <f>LN('2.ΤΙΜΕΣ ΚΛΕΙΣΙΜΑΤΟΣ'!AE181/'2.ΤΙΜΕΣ ΚΛΕΙΣΙΜΑΤΟΣ'!AE180)</f>
        <v>-3.710579396535713E-3</v>
      </c>
      <c r="AF180" s="43">
        <f>LN('2.ΤΙΜΕΣ ΚΛΕΙΣΙΜΑΤΟΣ'!AF181/'2.ΤΙΜΕΣ ΚΛΕΙΣΙΜΑΤΟΣ'!AF180)</f>
        <v>1.3472340940766899E-2</v>
      </c>
      <c r="AG180" s="43">
        <f>LN('2.ΤΙΜΕΣ ΚΛΕΙΣΙΜΑΤΟΣ'!AG181/'2.ΤΙΜΕΣ ΚΛΕΙΣΙΜΑΤΟΣ'!AG180)</f>
        <v>3.8374012881615044E-2</v>
      </c>
      <c r="AH180" s="43">
        <f>LN('2.ΤΙΜΕΣ ΚΛΕΙΣΙΜΑΤΟΣ'!AH181/'2.ΤΙΜΕΣ ΚΛΕΙΣΙΜΑΤΟΣ'!AH180)</f>
        <v>1.4440684154794428E-2</v>
      </c>
      <c r="AI180" s="43">
        <f>LN('2.ΤΙΜΕΣ ΚΛΕΙΣΙΜΑΤΟΣ'!AI181/'2.ΤΙΜΕΣ ΚΛΕΙΣΙΜΑΤΟΣ'!AI180)</f>
        <v>0</v>
      </c>
      <c r="AJ180" s="43">
        <f>LN('2.ΤΙΜΕΣ ΚΛΕΙΣΙΜΑΤΟΣ'!AJ181/'2.ΤΙΜΕΣ ΚΛΕΙΣΙΜΑΤΟΣ'!AJ180)</f>
        <v>7.0204258673248351E-2</v>
      </c>
      <c r="AK180" s="43">
        <f>LN('2.ΤΙΜΕΣ ΚΛΕΙΣΙΜΑΤΟΣ'!AK181/'2.ΤΙΜΕΣ ΚΛΕΙΣΙΜΑΤΟΣ'!AK180)</f>
        <v>7.6045993852192125E-3</v>
      </c>
      <c r="AL180" s="43">
        <f>LN('2.ΤΙΜΕΣ ΚΛΕΙΣΙΜΑΤΟΣ'!AL181/'2.ΤΙΜΕΣ ΚΛΕΙΣΙΜΑΤΟΣ'!AL180)</f>
        <v>2.2472855852058576E-2</v>
      </c>
      <c r="AM180" s="43">
        <f>LN('2.ΤΙΜΕΣ ΚΛΕΙΣΙΜΑΤΟΣ'!AM181/'2.ΤΙΜΕΣ ΚΛΕΙΣΙΜΑΤΟΣ'!AM180)</f>
        <v>1.1494379425735212E-2</v>
      </c>
      <c r="AN180" s="43">
        <f>LN('2.ΤΙΜΕΣ ΚΛΕΙΣΙΜΑΤΟΣ'!AN181/'2.ΤΙΜΕΣ ΚΛΕΙΣΙΜΑΤΟΣ'!AN180)</f>
        <v>1.5435808129839248E-2</v>
      </c>
      <c r="AO180" s="43">
        <f>LN('2.ΤΙΜΕΣ ΚΛΕΙΣΙΜΑΤΟΣ'!AO181/'2.ΤΙΜΕΣ ΚΛΕΙΣΙΜΑΤΟΣ'!AO180)</f>
        <v>5.9701669865037544E-3</v>
      </c>
      <c r="AP180" s="43">
        <f>LN('2.ΤΙΜΕΣ ΚΛΕΙΣΙΜΑΤΟΣ'!AP181/'2.ΤΙΜΕΣ ΚΛΕΙΣΙΜΑΤΟΣ'!AP180)</f>
        <v>-1.434744840814154E-2</v>
      </c>
      <c r="AQ180" s="43">
        <f>LN('2.ΤΙΜΕΣ ΚΛΕΙΣΙΜΑΤΟΣ'!AQ181/'2.ΤΙΜΕΣ ΚΛΕΙΣΙΜΑΤΟΣ'!AQ180)</f>
        <v>7.5757938084577226E-3</v>
      </c>
      <c r="AR180" s="43">
        <f>LN('2.ΤΙΜΕΣ ΚΛΕΙΣΙΜΑΤΟΣ'!AR181/'2.ΤΙΜΕΣ ΚΛΕΙΣΙΜΑΤΟΣ'!AR180)</f>
        <v>-5.970166986503796E-3</v>
      </c>
      <c r="AS180" s="43">
        <f>LN('2.ΤΙΜΕΣ ΚΛΕΙΣΙΜΑΤΟΣ'!AS181/'2.ΤΙΜΕΣ ΚΛΕΙΣΙΜΑΤΟΣ'!AS180)</f>
        <v>1.5174798019235132E-2</v>
      </c>
      <c r="AT180" s="43">
        <f>LN('2.ΤΙΜΕΣ ΚΛΕΙΣΙΜΑΤΟΣ'!AT181/'2.ΤΙΜΕΣ ΚΛΕΙΣΙΜΑΤΟΣ'!AT180)</f>
        <v>1.0582109330537008E-2</v>
      </c>
      <c r="AU180" s="43">
        <f>LN('2.ΤΙΜΕΣ ΚΛΕΙΣΙΜΑΤΟΣ'!AU181/'2.ΤΙΜΕΣ ΚΛΕΙΣΙΜΑΤΟΣ'!AU180)</f>
        <v>6.6093052015272942E-3</v>
      </c>
    </row>
    <row r="181" spans="1:47">
      <c r="A181" s="41">
        <v>43815</v>
      </c>
      <c r="B181" s="43">
        <f>LN('2.ΤΙΜΕΣ ΚΛΕΙΣΙΜΑΤΟΣ'!B182/'2.ΤΙΜΕΣ ΚΛΕΙΣΙΜΑΤΟΣ'!B181)</f>
        <v>1.2514961245907497E-2</v>
      </c>
      <c r="C181" s="43">
        <f>LN('2.ΤΙΜΕΣ ΚΛΕΙΣΙΜΑΤΟΣ'!C182/'2.ΤΙΜΕΣ ΚΛΕΙΣΙΜΑΤΟΣ'!C181)</f>
        <v>-6.1728591070809675E-3</v>
      </c>
      <c r="D181" s="43">
        <f>LN('2.ΤΙΜΕΣ ΚΛΕΙΣΙΜΑΤΟΣ'!D182/'2.ΤΙΜΕΣ ΚΛΕΙΣΙΜΑΤΟΣ'!D181)</f>
        <v>-3.4912017297566163E-2</v>
      </c>
      <c r="E181" s="43">
        <f>LN('2.ΤΙΜΕΣ ΚΛΕΙΣΙΜΑΤΟΣ'!E182/'2.ΤΙΜΕΣ ΚΛΕΙΣΙΜΑΤΟΣ'!E181)</f>
        <v>-1.5915455305899568E-2</v>
      </c>
      <c r="F181" s="43">
        <f>LN('2.ΤΙΜΕΣ ΚΛΕΙΣΙΜΑΤΟΣ'!F182/'2.ΤΙΜΕΣ ΚΛΕΙΣΙΜΑΤΟΣ'!F181)</f>
        <v>5.9701669865039747E-3</v>
      </c>
      <c r="G181" s="43">
        <f>LN('2.ΤΙΜΕΣ ΚΛΕΙΣΙΜΑΤΟΣ'!G182/'2.ΤΙΜΕΣ ΚΛΕΙΣΙΜΑΤΟΣ'!G181)</f>
        <v>-3.0459207484708574E-2</v>
      </c>
      <c r="H181" s="43">
        <f>LN('2.ΤΙΜΕΣ ΚΛΕΙΣΙΜΑΤΟΣ'!H182/'2.ΤΙΜΕΣ ΚΛΕΙΣΙΜΑΤΟΣ'!H181)</f>
        <v>-4.9188490715962657E-3</v>
      </c>
      <c r="I181" s="43">
        <f>LN('2.ΤΙΜΕΣ ΚΛΕΙΣΙΜΑΤΟΣ'!I182/'2.ΤΙΜΕΣ ΚΛΕΙΣΙΜΑΤΟΣ'!I181)</f>
        <v>-1.0604553248797112E-2</v>
      </c>
      <c r="J181" s="43">
        <f>LN('2.ΤΙΜΕΣ ΚΛΕΙΣΙΜΑΤΟΣ'!J182/'2.ΤΙΜΕΣ ΚΛΕΙΣΙΜΑΤΟΣ'!J181)</f>
        <v>-3.5293788741913551E-2</v>
      </c>
      <c r="K181" s="43">
        <f>LN('2.ΤΙΜΕΣ ΚΛΕΙΣΙΜΑΤΟΣ'!K182/'2.ΤΙΜΕΣ ΚΛΕΙΣΙΜΑΤΟΣ'!K181)</f>
        <v>-1.1204599012863132E-2</v>
      </c>
      <c r="L181" s="43">
        <f>LN('2.ΤΙΜΕΣ ΚΛΕΙΣΙΜΑΤΟΣ'!L182/'2.ΤΙΜΕΣ ΚΛΕΙΣΙΜΑΤΟΣ'!L181)</f>
        <v>-1.7499159866492035E-2</v>
      </c>
      <c r="M181" s="43">
        <f>LN('2.ΤΙΜΕΣ ΚΛΕΙΣΙΜΑΤΟΣ'!M182/'2.ΤΙΜΕΣ ΚΛΕΙΣΙΜΑΤΟΣ'!M181)</f>
        <v>-2.173998663640599E-2</v>
      </c>
      <c r="N181" s="43">
        <f>LN('2.ΤΙΜΕΣ ΚΛΕΙΣΙΜΑΤΟΣ'!N182/'2.ΤΙΜΕΣ ΚΛΕΙΣΙΜΑΤΟΣ'!N181)</f>
        <v>5.1097392539309703E-3</v>
      </c>
      <c r="O181" s="43">
        <f>LN('2.ΤΙΜΕΣ ΚΛΕΙΣΙΜΑΤΟΣ'!O182/'2.ΤΙΜΕΣ ΚΛΕΙΣΙΜΑΤΟΣ'!O181)</f>
        <v>-5.5020771539834217E-3</v>
      </c>
      <c r="P181" s="43">
        <f>LN('2.ΤΙΜΕΣ ΚΛΕΙΣΙΜΑΤΟΣ'!P182/'2.ΤΙΜΕΣ ΚΛΕΙΣΙΜΑΤΟΣ'!P181)</f>
        <v>-2.9027596579614626E-3</v>
      </c>
      <c r="Q181" s="43">
        <f>LN('2.ΤΙΜΕΣ ΚΛΕΙΣΙΜΑΤΟΣ'!Q182/'2.ΤΙΜΕΣ ΚΛΕΙΣΙΜΑΤΟΣ'!Q181)</f>
        <v>-1.7982502550432246E-2</v>
      </c>
      <c r="R181" s="43">
        <f>LN('2.ΤΙΜΕΣ ΚΛΕΙΣΙΜΑΤΟΣ'!R182/'2.ΤΙΜΕΣ ΚΛΕΙΣΙΜΑΤΟΣ'!R181)</f>
        <v>-7.68249617201617E-3</v>
      </c>
      <c r="S181" s="43">
        <f>LN('2.ΤΙΜΕΣ ΚΛΕΙΣΙΜΑΤΟΣ'!S182/'2.ΤΙΜΕΣ ΚΛΕΙΣΙΜΑΤΟΣ'!S181)</f>
        <v>-1.2195273093818243E-2</v>
      </c>
      <c r="T181" s="43">
        <f>LN('2.ΤΙΜΕΣ ΚΛΕΙΣΙΜΑΤΟΣ'!T182/'2.ΤΙΜΕΣ ΚΛΕΙΣΙΜΑΤΟΣ'!T181)</f>
        <v>-1.9691212890181709E-2</v>
      </c>
      <c r="U181" s="43">
        <f>LN('2.ΤΙΜΕΣ ΚΛΕΙΣΙΜΑΤΟΣ'!U182/'2.ΤΙΜΕΣ ΚΛΕΙΣΙΜΑΤΟΣ'!U181)</f>
        <v>-6.7950431328286896E-3</v>
      </c>
      <c r="V181" s="43">
        <f>LN('2.ΤΙΜΕΣ ΚΛΕΙΣΙΜΑΤΟΣ'!V182/'2.ΤΙΜΕΣ ΚΛΕΙΣΙΜΑΤΟΣ'!V181)</f>
        <v>1.140263209781177E-2</v>
      </c>
      <c r="W181" s="43">
        <f>LN('2.ΤΙΜΕΣ ΚΛΕΙΣΙΜΑΤΟΣ'!W182/'2.ΤΙΜΕΣ ΚΛΕΙΣΙΜΑΤΟΣ'!W181)</f>
        <v>-1.2338064489284325E-3</v>
      </c>
      <c r="X181" s="43">
        <f>LN('2.ΤΙΜΕΣ ΚΛΕΙΣΙΜΑΤΟΣ'!X182/'2.ΤΙΜΕΣ ΚΛΕΙΣΙΜΑΤΟΣ'!X181)</f>
        <v>0</v>
      </c>
      <c r="Y181" s="43">
        <f>LN('2.ΤΙΜΕΣ ΚΛΕΙΣΙΜΑΤΟΣ'!Y182/'2.ΤΙΜΕΣ ΚΛΕΙΣΙΜΑΤΟΣ'!Y181)</f>
        <v>-6.6079535600320179E-3</v>
      </c>
      <c r="Z181" s="43">
        <f>LN('2.ΤΙΜΕΣ ΚΛΕΙΣΙΜΑΤΟΣ'!Z182/'2.ΤΙΜΕΣ ΚΛΕΙΣΙΜΑΤΟΣ'!Z181)</f>
        <v>0</v>
      </c>
      <c r="AA181" s="43">
        <f>LN('2.ΤΙΜΕΣ ΚΛΕΙΣΙΜΑΤΟΣ'!AA182/'2.ΤΙΜΕΣ ΚΛΕΙΣΙΜΑΤΟΣ'!AA181)</f>
        <v>-2.8050509276086096E-3</v>
      </c>
      <c r="AB181" s="43">
        <f>LN('2.ΤΙΜΕΣ ΚΛΕΙΣΙΜΑΤΟΣ'!AB182/'2.ΤΙΜΕΣ ΚΛΕΙΣΙΜΑΤΟΣ'!AB181)</f>
        <v>-2.2019238243917334E-2</v>
      </c>
      <c r="AC181" s="43">
        <f>LN('2.ΤΙΜΕΣ ΚΛΕΙΣΙΜΑΤΟΣ'!AC182/'2.ΤΙΜΕΣ ΚΛΕΙΣΙΜΑΤΟΣ'!AC181)</f>
        <v>0</v>
      </c>
      <c r="AD181" s="43">
        <f>LN('2.ΤΙΜΕΣ ΚΛΕΙΣΙΜΑΤΟΣ'!AD182/'2.ΤΙΜΕΣ ΚΛΕΙΣΙΜΑΤΟΣ'!AD181)</f>
        <v>-2.306020708769789E-2</v>
      </c>
      <c r="AE181" s="43">
        <f>LN('2.ΤΙΜΕΣ ΚΛΕΙΣΙΜΑΤΟΣ'!AE182/'2.ΤΙΜΕΣ ΚΛΕΙΣΙΜΑΤΟΣ'!AE181)</f>
        <v>-3.7243990909823282E-3</v>
      </c>
      <c r="AF181" s="43">
        <f>LN('2.ΤΙΜΕΣ ΚΛΕΙΣΙΜΑΤΟΣ'!AF182/'2.ΤΙΜΕΣ ΚΛΕΙΣΙΜΑΤΟΣ'!AF181)</f>
        <v>-8.5522818153172531E-3</v>
      </c>
      <c r="AG181" s="43">
        <f>LN('2.ΤΙΜΕΣ ΚΛΕΙΣΙΜΑΤΟΣ'!AG182/'2.ΤΙΜΕΣ ΚΛΕΙΣΙΜΑΤΟΣ'!AG181)</f>
        <v>-1.4218249002279137E-2</v>
      </c>
      <c r="AH181" s="43">
        <f>LN('2.ΤΙΜΕΣ ΚΛΕΙΣΙΜΑΤΟΣ'!AH182/'2.ΤΙΜΕΣ ΚΛΕΙΣΙΜΑΤΟΣ'!AH181)</f>
        <v>2.6526754333428385E-2</v>
      </c>
      <c r="AI181" s="43">
        <f>LN('2.ΤΙΜΕΣ ΚΛΕΙΣΙΜΑΤΟΣ'!AI182/'2.ΤΙΜΕΣ ΚΛΕΙΣΙΜΑΤΟΣ'!AI181)</f>
        <v>1.4706147389695487E-2</v>
      </c>
      <c r="AJ181" s="43">
        <f>LN('2.ΤΙΜΕΣ ΚΛΕΙΣΙΜΑΤΟΣ'!AJ182/'2.ΤΙΜΕΣ ΚΛΕΙΣΙΜΑΤΟΣ'!AJ181)</f>
        <v>-2.1414094503816473E-2</v>
      </c>
      <c r="AK181" s="43">
        <f>LN('2.ΤΙΜΕΣ ΚΛΕΙΣΙΜΑΤΟΣ'!AK182/'2.ΤΙΜΕΣ ΚΛΕΙΣΙΜΑΤΟΣ'!AK181)</f>
        <v>2.5220694327099391E-3</v>
      </c>
      <c r="AL181" s="43">
        <f>LN('2.ΤΙΜΕΣ ΚΛΕΙΣΙΜΑΤΟΣ'!AL182/'2.ΤΙΜΕΣ ΚΛΕΙΣΙΜΑΤΟΣ'!AL181)</f>
        <v>-2.2472855852058628E-2</v>
      </c>
      <c r="AM181" s="43">
        <f>LN('2.ΤΙΜΕΣ ΚΛΕΙΣΙΜΑΤΟΣ'!AM182/'2.ΤΙΜΕΣ ΚΛΕΙΣΙΜΑΤΟΣ'!AM181)</f>
        <v>0</v>
      </c>
      <c r="AN181" s="43">
        <f>LN('2.ΤΙΜΕΣ ΚΛΕΙΣΙΜΑΤΟΣ'!AN182/'2.ΤΙΜΕΣ ΚΛΕΙΣΙΜΑΤΟΣ'!AN181)</f>
        <v>-4.704114754517047E-2</v>
      </c>
      <c r="AO181" s="43">
        <f>LN('2.ΤΙΜΕΣ ΚΛΕΙΣΙΜΑΤΟΣ'!AO182/'2.ΤΙΜΕΣ ΚΛΕΙΣΙΜΑΤΟΣ'!AO181)</f>
        <v>-5.970166986503796E-3</v>
      </c>
      <c r="AP181" s="43">
        <f>LN('2.ΤΙΜΕΣ ΚΛΕΙΣΙΜΑΤΟΣ'!AP182/'2.ΤΙΜΕΣ ΚΛΕΙΣΙΜΑΤΟΣ'!AP181)</f>
        <v>-1.749315744751723E-2</v>
      </c>
      <c r="AQ181" s="43">
        <f>LN('2.ΤΙΜΕΣ ΚΛΕΙΣΙΜΑΤΟΣ'!AQ182/'2.ΤΙΜΕΣ ΚΛΕΙΣΙΜΑΤΟΣ'!AQ181)</f>
        <v>-1.1385322225125352E-2</v>
      </c>
      <c r="AR181" s="43">
        <f>LN('2.ΤΙΜΕΣ ΚΛΕΙΣΙΜΑΤΟΣ'!AR182/'2.ΤΙΜΕΣ ΚΛΕΙΣΙΜΑΤΟΣ'!AR181)</f>
        <v>-8.4185704655957896E-3</v>
      </c>
      <c r="AS181" s="43">
        <f>LN('2.ΤΙΜΕΣ ΚΛΕΙΣΙΜΑΤΟΣ'!AS182/'2.ΤΙΜΕΣ ΚΛΕΙΣΙΜΑΤΟΣ'!AS181)</f>
        <v>-3.9943866131643899E-2</v>
      </c>
      <c r="AT181" s="43">
        <f>LN('2.ΤΙΜΕΣ ΚΛΕΙΣΙΜΑΤΟΣ'!AT182/'2.ΤΙΜΕΣ ΚΛΕΙΣΙΜΑΤΟΣ'!AT181)</f>
        <v>-4.027389913793996E-2</v>
      </c>
      <c r="AU181" s="43">
        <f>LN('2.ΤΙΜΕΣ ΚΛΕΙΣΙΜΑΤΟΣ'!AU182/'2.ΤΙΜΕΣ ΚΛΕΙΣΙΜΑΤΟΣ'!AU181)</f>
        <v>-1.164903908008854E-2</v>
      </c>
    </row>
    <row r="182" spans="1:47">
      <c r="A182" s="41">
        <v>43816</v>
      </c>
      <c r="B182" s="43">
        <f>LN('2.ΤΙΜΕΣ ΚΛΕΙΣΙΜΑΤΟΣ'!B183/'2.ΤΙΜΕΣ ΚΛΕΙΣΙΜΑΤΟΣ'!B182)</f>
        <v>-8.4388686458645949E-3</v>
      </c>
      <c r="C182" s="43">
        <f>LN('2.ΤΙΜΕΣ ΚΛΕΙΣΙΜΑΤΟΣ'!C183/'2.ΤΙΜΕΣ ΚΛΕΙΣΙΜΑΤΟΣ'!C182)</f>
        <v>2.7482645693831884E-2</v>
      </c>
      <c r="D182" s="43">
        <f>LN('2.ΤΙΜΕΣ ΚΛΕΙΣΙΜΑΤΟΣ'!D183/'2.ΤΙΜΕΣ ΚΛΕΙΣΙΜΑΤΟΣ'!D182)</f>
        <v>4.4903774029486684E-2</v>
      </c>
      <c r="E182" s="43">
        <f>LN('2.ΤΙΜΕΣ ΚΛΕΙΣΙΜΑΤΟΣ'!E183/'2.ΤΙΜΕΣ ΚΛΕΙΣΙΜΑΤΟΣ'!E182)</f>
        <v>5.3333459753626029E-3</v>
      </c>
      <c r="F182" s="43">
        <f>LN('2.ΤΙΜΕΣ ΚΛΕΙΣΙΜΑΤΟΣ'!F183/'2.ΤΙΜΕΣ ΚΛΕΙΣΙΜΑΤΟΣ'!F182)</f>
        <v>-1.1976191046715649E-2</v>
      </c>
      <c r="G182" s="43">
        <f>LN('2.ΤΙΜΕΣ ΚΛΕΙΣΙΜΑΤΟΣ'!G183/'2.ΤΙΜΕΣ ΚΛΕΙΣΙΜΑΤΟΣ'!G182)</f>
        <v>-5.7438411792520147E-3</v>
      </c>
      <c r="H182" s="43">
        <f>LN('2.ΤΙΜΕΣ ΚΛΕΙΣΙΜΑΤΟΣ'!H183/'2.ΤΙΜΕΣ ΚΛΕΙΣΙΜΑΤΟΣ'!H182)</f>
        <v>1.5655897072553063E-2</v>
      </c>
      <c r="I182" s="43">
        <f>LN('2.ΤΙΜΕΣ ΚΛΕΙΣΙΜΑΤΟΣ'!I183/'2.ΤΙΜΕΣ ΚΛΕΙΣΙΜΑΤΟΣ'!I182)</f>
        <v>0</v>
      </c>
      <c r="J182" s="43">
        <f>LN('2.ΤΙΜΕΣ ΚΛΕΙΣΙΜΑΤΟΣ'!J183/'2.ΤΙΜΕΣ ΚΛΕΙΣΙΜΑΤΟΣ'!J182)</f>
        <v>5.8550193094810202E-3</v>
      </c>
      <c r="K182" s="43">
        <f>LN('2.ΤΙΜΕΣ ΚΛΕΙΣΙΜΑΤΟΣ'!K183/'2.ΤΙΜΕΣ ΚΛΕΙΣΙΜΑΤΟΣ'!K182)</f>
        <v>4.6776064797730908E-2</v>
      </c>
      <c r="L182" s="43">
        <f>LN('2.ΤΙΜΕΣ ΚΛΕΙΣΙΜΑΤΟΣ'!L183/'2.ΤΙΜΕΣ ΚΛΕΙΣΙΜΑΤΟΣ'!L182)</f>
        <v>2.7651531330509949E-2</v>
      </c>
      <c r="M182" s="43">
        <f>LN('2.ΤΙΜΕΣ ΚΛΕΙΣΙΜΑΤΟΣ'!M183/'2.ΤΙΜΕΣ ΚΛΕΙΣΙΜΑΤΟΣ'!M182)</f>
        <v>2.4960601336448229E-2</v>
      </c>
      <c r="N182" s="43">
        <f>LN('2.ΤΙΜΕΣ ΚΛΕΙΣΙΜΑΤΟΣ'!N183/'2.ΤΙΜΕΣ ΚΛΕΙΣΙΜΑΤΟΣ'!N182)</f>
        <v>1.3059947004507271E-3</v>
      </c>
      <c r="O182" s="43">
        <f>LN('2.ΤΙΜΕΣ ΚΛΕΙΣΙΜΑΤΟΣ'!O183/'2.ΤΙΜΕΣ ΚΛΕΙΣΙΜΑΤΟΣ'!O182)</f>
        <v>3.3901551675681416E-2</v>
      </c>
      <c r="P182" s="43">
        <f>LN('2.ΤΙΜΕΣ ΚΛΕΙΣΙΜΑΤΟΣ'!P183/'2.ΤΙΜΕΣ ΚΛΕΙΣΙΜΑΤΟΣ'!P182)</f>
        <v>1.7291497110061043E-2</v>
      </c>
      <c r="Q182" s="43">
        <f>LN('2.ΤΙΜΕΣ ΚΛΕΙΣΙΜΑΤΟΣ'!Q183/'2.ΤΙΜΕΣ ΚΛΕΙΣΙΜΑΤΟΣ'!Q182)</f>
        <v>1.3431835464677597E-3</v>
      </c>
      <c r="R182" s="43">
        <f>LN('2.ΤΙΜΕΣ ΚΛΕΙΣΙΜΑΤΟΣ'!R183/'2.ΤΙΜΕΣ ΚΛΕΙΣΙΜΑΤΟΣ'!R182)</f>
        <v>5.7929324837912209E-2</v>
      </c>
      <c r="S182" s="43">
        <f>LN('2.ΤΙΜΕΣ ΚΛΕΙΣΙΜΑΤΟΣ'!S183/'2.ΤΙΜΕΣ ΚΛΕΙΣΙΜΑΤΟΣ'!S182)</f>
        <v>1.3406660280115279E-2</v>
      </c>
      <c r="T182" s="43">
        <f>LN('2.ΤΙΜΕΣ ΚΛΕΙΣΙΜΑΤΟΣ'!T183/'2.ΤΙΜΕΣ ΚΛΕΙΣΙΜΑΤΟΣ'!T182)</f>
        <v>1.6901810802603254E-2</v>
      </c>
      <c r="U182" s="43">
        <f>LN('2.ΤΙΜΕΣ ΚΛΕΙΣΙΜΑΤΟΣ'!U183/'2.ΤΙΜΕΣ ΚΛΕΙΣΙΜΑΤΟΣ'!U182)</f>
        <v>7.0204258673248351E-2</v>
      </c>
      <c r="V182" s="43">
        <f>LN('2.ΤΙΜΕΣ ΚΛΕΙΣΙΜΑΤΟΣ'!V183/'2.ΤΙΜΕΣ ΚΛΕΙΣΙΜΑΤΟΣ'!V182)</f>
        <v>4.5248945982895028E-3</v>
      </c>
      <c r="W182" s="43">
        <f>LN('2.ΤΙΜΕΣ ΚΛΕΙΣΙΜΑΤΟΣ'!W183/'2.ΤΙΜΕΣ ΚΛΕΙΣΙΜΑΤΟΣ'!W182)</f>
        <v>2.7999394500358189E-2</v>
      </c>
      <c r="X182" s="43">
        <f>LN('2.ΤΙΜΕΣ ΚΛΕΙΣΙΜΑΤΟΣ'!X183/'2.ΤΙΜΕΣ ΚΛΕΙΣΙΜΑΤΟΣ'!X182)</f>
        <v>-5.4644944720787375E-3</v>
      </c>
      <c r="Y182" s="43">
        <f>LN('2.ΤΙΜΕΣ ΚΛΕΙΣΙΜΑΤΟΣ'!Y183/'2.ΤΙΜΕΣ ΚΛΕΙΣΙΜΑΤΟΣ'!Y182)</f>
        <v>2.2939290946253226E-2</v>
      </c>
      <c r="Z182" s="43">
        <f>LN('2.ΤΙΜΕΣ ΚΛΕΙΣΙΜΑΤΟΣ'!Z183/'2.ΤΙΜΕΣ ΚΛΕΙΣΙΜΑΤΟΣ'!Z182)</f>
        <v>1.5564516541111548E-2</v>
      </c>
      <c r="AA182" s="43">
        <f>LN('2.ΤΙΜΕΣ ΚΛΕΙΣΙΜΑΤΟΣ'!AA183/'2.ΤΙΜΕΣ ΚΛΕΙΣΙΜΑΤΟΣ'!AA182)</f>
        <v>-2.8129413766147236E-3</v>
      </c>
      <c r="AB182" s="43">
        <f>LN('2.ΤΙΜΕΣ ΚΛΕΙΣΙΜΑΤΟΣ'!AB183/'2.ΤΙΜΕΣ ΚΛΕΙΣΙΜΑΤΟΣ'!AB182)</f>
        <v>2.0202707317519469E-2</v>
      </c>
      <c r="AC182" s="43">
        <f>LN('2.ΤΙΜΕΣ ΚΛΕΙΣΙΜΑΤΟΣ'!AC183/'2.ΤΙΜΕΣ ΚΛΕΙΣΙΜΑΤΟΣ'!AC182)</f>
        <v>0</v>
      </c>
      <c r="AD182" s="43">
        <f>LN('2.ΤΙΜΕΣ ΚΛΕΙΣΙΜΑΤΟΣ'!AD183/'2.ΤΙΜΕΣ ΚΛΕΙΣΙΜΑΤΟΣ'!AD182)</f>
        <v>3.1055925581530666E-3</v>
      </c>
      <c r="AE182" s="43">
        <f>LN('2.ΤΙΜΕΣ ΚΛΕΙΣΙΜΑΤΟΣ'!AE183/'2.ΤΙΜΕΣ ΚΛΕΙΣΙΜΑΤΟΣ'!AE182)</f>
        <v>3.7243990909822727E-3</v>
      </c>
      <c r="AF182" s="43">
        <f>LN('2.ΤΙΜΕΣ ΚΛΕΙΣΙΜΑΤΟΣ'!AF183/'2.ΤΙΜΕΣ ΚΛΕΙΣΙΜΑΤΟΣ'!AF182)</f>
        <v>-3.6877730791846247E-3</v>
      </c>
      <c r="AG182" s="43">
        <f>LN('2.ΤΙΜΕΣ ΚΛΕΙΣΙΜΑΤΟΣ'!AG183/'2.ΤΙΜΕΣ ΚΛΕΙΣΙΜΑΤΟΣ'!AG182)</f>
        <v>1.4218249002279172E-2</v>
      </c>
      <c r="AH182" s="43">
        <f>LN('2.ΤΙΜΕΣ ΚΛΕΙΣΙΜΑΤΟΣ'!AH183/'2.ΤΙΜΕΣ ΚΛΕΙΣΙΜΑΤΟΣ'!AH182)</f>
        <v>1.9015266113487531E-2</v>
      </c>
      <c r="AI182" s="43">
        <f>LN('2.ΤΙΜΕΣ ΚΛΕΙΣΙΜΑΤΟΣ'!AI183/'2.ΤΙΜΕΣ ΚΛΕΙΣΙΜΑΤΟΣ'!AI182)</f>
        <v>3.5846131773135878E-2</v>
      </c>
      <c r="AJ182" s="43">
        <f>LN('2.ΤΙΜΕΣ ΚΛΕΙΣΙΜΑΤΟΣ'!AJ183/'2.ΤΙΜΕΣ ΚΛΕΙΣΙΜΑΤΟΣ'!AJ182)</f>
        <v>0</v>
      </c>
      <c r="AK182" s="43">
        <f>LN('2.ΤΙΜΕΣ ΚΛΕΙΣΙΜΑΤΟΣ'!AK183/'2.ΤΙΜΕΣ ΚΛΕΙΣΙΜΑΤΟΣ'!AK182)</f>
        <v>1.7478597273959545E-2</v>
      </c>
      <c r="AL182" s="43">
        <f>LN('2.ΤΙΜΕΣ ΚΛΕΙΣΙΜΑΤΟΣ'!AL183/'2.ΤΙΜΕΣ ΚΛΕΙΣΙΜΑΤΟΣ'!AL182)</f>
        <v>4.4451762570833796E-2</v>
      </c>
      <c r="AM182" s="43">
        <f>LN('2.ΤΙΜΕΣ ΚΛΕΙΣΙΜΑΤΟΣ'!AM183/'2.ΤΙΜΕΣ ΚΛΕΙΣΙΜΑΤΟΣ'!AM182)</f>
        <v>0</v>
      </c>
      <c r="AN182" s="43">
        <f>LN('2.ΤΙΜΕΣ ΚΛΕΙΣΙΜΑΤΟΣ'!AN183/'2.ΤΙΜΕΣ ΚΛΕΙΣΙΜΑΤΟΣ'!AN182)</f>
        <v>1.5927526696101278E-2</v>
      </c>
      <c r="AO182" s="43">
        <f>LN('2.ΤΙΜΕΣ ΚΛΕΙΣΙΜΑΤΟΣ'!AO183/'2.ΤΙΜΕΣ ΚΛΕΙΣΙΜΑΤΟΣ'!AO182)</f>
        <v>5.9701669865037544E-3</v>
      </c>
      <c r="AP182" s="43">
        <f>LN('2.ΤΙΜΕΣ ΚΛΕΙΣΙΜΑΤΟΣ'!AP183/'2.ΤΙΜΕΣ ΚΛΕΙΣΙΜΑΤΟΣ'!AP182)</f>
        <v>0</v>
      </c>
      <c r="AQ182" s="43">
        <f>LN('2.ΤΙΜΕΣ ΚΛΕΙΣΙΜΑΤΟΣ'!AQ183/'2.ΤΙΜΕΣ ΚΛΕΙΣΙΜΑΤΟΣ'!AQ182)</f>
        <v>7.6045993852192125E-3</v>
      </c>
      <c r="AR182" s="43">
        <f>LN('2.ΤΙΜΕΣ ΚΛΕΙΣΙΜΑΤΟΣ'!AR183/'2.ΤΙΜΕΣ ΚΛΕΙΣΙΜΑΤΟΣ'!AR182)</f>
        <v>7.2202479734870973E-3</v>
      </c>
      <c r="AS182" s="43">
        <f>LN('2.ΤΙΜΕΣ ΚΛΕΙΣΙΜΑΤΟΣ'!AS183/'2.ΤΙΜΕΣ ΚΛΕΙΣΙΜΑΤΟΣ'!AS182)</f>
        <v>-2.8618805305652563E-2</v>
      </c>
      <c r="AT182" s="43">
        <f>LN('2.ΤΙΜΕΣ ΚΛΕΙΣΙΜΑΤΟΣ'!AT183/'2.ΤΙΜΕΣ ΚΛΕΙΣΙΜΑΤΟΣ'!AT182)</f>
        <v>-5.4945193176407017E-3</v>
      </c>
      <c r="AU182" s="43">
        <f>LN('2.ΤΙΜΕΣ ΚΛΕΙΣΙΜΑΤΟΣ'!AU183/'2.ΤΙΜΕΣ ΚΛΕΙΣΙΜΑΤΟΣ'!AU182)</f>
        <v>1.546855233984978E-2</v>
      </c>
    </row>
    <row r="183" spans="1:47">
      <c r="A183" s="41">
        <v>43817</v>
      </c>
      <c r="B183" s="43">
        <f>LN('2.ΤΙΜΕΣ ΚΛΕΙΣΙΜΑΤΟΣ'!B184/'2.ΤΙΜΕΣ ΚΛΕΙΣΙΜΑΤΟΣ'!B183)</f>
        <v>2.3451661035049882E-2</v>
      </c>
      <c r="C183" s="43">
        <f>LN('2.ΤΙΜΕΣ ΚΛΕΙΣΙΜΑΤΟΣ'!C184/'2.ΤΙΜΕΣ ΚΛΕΙΣΙΜΑΤΟΣ'!C183)</f>
        <v>3.1136688785791389E-2</v>
      </c>
      <c r="D183" s="43">
        <f>LN('2.ΤΙΜΕΣ ΚΛΕΙΣΙΜΑΤΟΣ'!D184/'2.ΤΙΜΕΣ ΚΛΕΙΣΙΜΑΤΟΣ'!D183)</f>
        <v>-8.3195155395582761E-3</v>
      </c>
      <c r="E183" s="43">
        <f>LN('2.ΤΙΜΕΣ ΚΛΕΙΣΙΜΑΤΟΣ'!E184/'2.ΤΙΜΕΣ ΚΛΕΙΣΙΜΑΤΟΣ'!E183)</f>
        <v>2.3134575401656889E-2</v>
      </c>
      <c r="F183" s="43">
        <f>LN('2.ΤΙΜΕΣ ΚΛΕΙΣΙΜΑΤΟΣ'!F184/'2.ΤΙΜΕΣ ΚΛΕΙΣΙΜΑΤΟΣ'!F183)</f>
        <v>1.5541257211211778E-2</v>
      </c>
      <c r="G183" s="43">
        <f>LN('2.ΤΙΜΕΣ ΚΛΕΙΣΙΜΑΤΟΣ'!G184/'2.ΤΙΜΕΣ ΚΛΕΙΣΙΜΑΤΟΣ'!G183)</f>
        <v>1.0315277711832799E-2</v>
      </c>
      <c r="H183" s="43">
        <f>LN('2.ΤΙΜΕΣ ΚΛΕΙΣΙΜΑΤΟΣ'!H184/'2.ΤΙΜΕΣ ΚΛΕΙΣΙΜΑΤΟΣ'!H183)</f>
        <v>-1.1718884113213488E-2</v>
      </c>
      <c r="I183" s="43">
        <f>LN('2.ΤΙΜΕΣ ΚΛΕΙΣΙΜΑΤΟΣ'!I184/'2.ΤΙΜΕΣ ΚΛΕΙΣΙΜΑΤΟΣ'!I183)</f>
        <v>1.5864954647977561E-2</v>
      </c>
      <c r="J183" s="43">
        <f>LN('2.ΤΙΜΕΣ ΚΛΕΙΣΙΜΑΤΟΣ'!J184/'2.ΤΙΜΕΣ ΚΛΕΙΣΙΜΑΤΟΣ'!J183)</f>
        <v>1.4658520523622043E-2</v>
      </c>
      <c r="K183" s="43">
        <f>LN('2.ΤΙΜΕΣ ΚΛΕΙΣΙΜΑΤΟΣ'!K184/'2.ΤΙΜΕΣ ΚΛΕΙΣΙΜΑΤΟΣ'!K183)</f>
        <v>5.7457055024787214E-2</v>
      </c>
      <c r="L183" s="43">
        <f>LN('2.ΤΙΜΕΣ ΚΛΕΙΣΙΜΑΤΟΣ'!L184/'2.ΤΙΜΕΣ ΚΛΕΙΣΙΜΑΤΟΣ'!L183)</f>
        <v>0</v>
      </c>
      <c r="M183" s="43">
        <f>LN('2.ΤΙΜΕΣ ΚΛΕΙΣΙΜΑΤΟΣ'!M184/'2.ΤΙΜΕΣ ΚΛΕΙΣΙΜΑΤΟΣ'!M183)</f>
        <v>-3.2206147000421719E-3</v>
      </c>
      <c r="N183" s="43">
        <f>LN('2.ΤΙΜΕΣ ΚΛΕΙΣΙΜΑΤΟΣ'!N184/'2.ΤΙΜΕΣ ΚΛΕΙΣΙΜΑΤΟΣ'!N183)</f>
        <v>6.3748345723662917E-3</v>
      </c>
      <c r="O183" s="43">
        <f>LN('2.ΤΙΜΕΣ ΚΛΕΙΣΙΜΑΤΟΣ'!O184/'2.ΤΙΜΕΣ ΚΛΕΙΣΙΜΑΤΟΣ'!O183)</f>
        <v>1.3245226750020505E-2</v>
      </c>
      <c r="P183" s="43">
        <f>LN('2.ΤΙΜΕΣ ΚΛΕΙΣΙΜΑΤΟΣ'!P184/'2.ΤΙΜΕΣ ΚΛΕΙΣΙΜΑΤΟΣ'!P183)</f>
        <v>1.2775191488722869E-2</v>
      </c>
      <c r="Q183" s="43">
        <f>LN('2.ΤΙΜΕΣ ΚΛΕΙΣΙΜΑΤΟΣ'!Q184/'2.ΤΙΜΕΣ ΚΛΕΙΣΙΜΑΤΟΣ'!Q183)</f>
        <v>3.3500868852820269E-3</v>
      </c>
      <c r="R183" s="43">
        <f>LN('2.ΤΙΜΕΣ ΚΛΕΙΣΙΜΑΤΟΣ'!R184/'2.ΤΙΜΕΣ ΚΛΕΙΣΙΜΑΤΟΣ'!R183)</f>
        <v>-1.2695483013763611E-2</v>
      </c>
      <c r="S183" s="43">
        <f>LN('2.ΤΙΜΕΣ ΚΛΕΙΣΙΜΑΤΟΣ'!S184/'2.ΤΙΜΕΣ ΚΛΕΙΣΙΜΑΤΟΣ'!S183)</f>
        <v>2.1557721074979056E-2</v>
      </c>
      <c r="T183" s="43">
        <f>LN('2.ΤΙΜΕΣ ΚΛΕΙΣΙΜΑΤΟΣ'!T184/'2.ΤΙΜΕΣ ΚΛΕΙΣΙΜΑΤΟΣ'!T183)</f>
        <v>1.2491487894029053E-2</v>
      </c>
      <c r="U183" s="43">
        <f>LN('2.ΤΙΜΕΣ ΚΛΕΙΣΙΜΑΤΟΣ'!U184/'2.ΤΙΜΕΣ ΚΛΕΙΣΙΜΑΤΟΣ'!U183)</f>
        <v>2.9229638314938525E-2</v>
      </c>
      <c r="V183" s="43">
        <f>LN('2.ΤΙΜΕΣ ΚΛΕΙΣΙΜΑΤΟΣ'!V184/'2.ΤΙΜΕΣ ΚΛΕΙΣΙΜΑΤΟΣ'!V183)</f>
        <v>0</v>
      </c>
      <c r="W183" s="43">
        <f>LN('2.ΤΙΜΕΣ ΚΛΕΙΣΙΜΑΤΟΣ'!W184/'2.ΤΙΜΕΣ ΚΛΕΙΣΙΜΑΤΟΣ'!W183)</f>
        <v>1.1997601919040951E-3</v>
      </c>
      <c r="X183" s="43">
        <f>LN('2.ΤΙΜΕΣ ΚΛΕΙΣΙΜΑΤΟΣ'!X184/'2.ΤΙΜΕΣ ΚΛΕΙΣΙΜΑΤΟΣ'!X183)</f>
        <v>-2.7434859457508326E-3</v>
      </c>
      <c r="Y183" s="43">
        <f>LN('2.ΤΙΜΕΣ ΚΛΕΙΣΙΜΑΤΟΣ'!Y184/'2.ΤΙΜΕΣ ΚΛΕΙΣΙΜΑΤΟΣ'!Y183)</f>
        <v>4.3103515011222631E-3</v>
      </c>
      <c r="Z183" s="43">
        <f>LN('2.ΤΙΜΕΣ ΚΛΕΙΣΙΜΑΤΟΣ'!Z184/'2.ΤΙΜΕΣ ΚΛΕΙΣΙΜΑΤΟΣ'!Z183)</f>
        <v>7.6923456231558652E-3</v>
      </c>
      <c r="AA183" s="43">
        <f>LN('2.ΤΙΜΕΣ ΚΛΕΙΣΙΜΑΤΟΣ'!AA184/'2.ΤΙΜΕΣ ΚΛΕΙΣΙΜΑΤΟΣ'!AA183)</f>
        <v>2.8129413766146577E-3</v>
      </c>
      <c r="AB183" s="43">
        <f>LN('2.ΤΙΜΕΣ ΚΛΕΙΣΙΜΑΤΟΣ'!AB184/'2.ΤΙΜΕΣ ΚΛΕΙΣΙΜΑΤΟΣ'!AB183)</f>
        <v>3.0441025501235553E-2</v>
      </c>
      <c r="AC183" s="43">
        <f>LN('2.ΤΙΜΕΣ ΚΛΕΙΣΙΜΑΤΟΣ'!AC184/'2.ΤΙΜΕΣ ΚΛΕΙΣΙΜΑΤΟΣ'!AC183)</f>
        <v>0</v>
      </c>
      <c r="AD183" s="43">
        <f>LN('2.ΤΙΜΕΣ ΚΛΕΙΣΙΜΑΤΟΣ'!AD184/'2.ΤΙΜΕΣ ΚΛΕΙΣΙΜΑΤΟΣ'!AD183)</f>
        <v>1.0794245130880394E-2</v>
      </c>
      <c r="AE183" s="43">
        <f>LN('2.ΤΙΜΕΣ ΚΛΕΙΣΙΜΑΤΟΣ'!AE184/'2.ΤΙΜΕΣ ΚΛΕΙΣΙΜΑΤΟΣ'!AE183)</f>
        <v>-1.1215070820139957E-2</v>
      </c>
      <c r="AF183" s="43">
        <f>LN('2.ΤΙΜΕΣ ΚΛΕΙΣΙΜΑΤΟΣ'!AF184/'2.ΤΙΜΕΣ ΚΛΕΙΣΙΜΑΤΟΣ'!AF183)</f>
        <v>2.1925360628965468E-2</v>
      </c>
      <c r="AG183" s="43">
        <f>LN('2.ΤΙΜΕΣ ΚΛΕΙΣΙΜΑΤΟΣ'!AG184/'2.ΤΙΜΕΣ ΚΛΕΙΣΙΜΑΤΟΣ'!AG183)</f>
        <v>-7.0674957669936173E-2</v>
      </c>
      <c r="AH183" s="43">
        <f>LN('2.ΤΙΜΕΣ ΚΛΕΙΣΙΜΑΤΟΣ'!AH184/'2.ΤΙΜΕΣ ΚΛΕΙΣΙΜΑΤΟΣ'!AH183)</f>
        <v>-2.4264621999631208E-2</v>
      </c>
      <c r="AI183" s="43">
        <f>LN('2.ΤΙΜΕΣ ΚΛΕΙΣΙΜΑΤΟΣ'!AI184/'2.ΤΙΜΕΣ ΚΛΕΙΣΙΜΑΤΟΣ'!AI183)</f>
        <v>3.4605529177475523E-2</v>
      </c>
      <c r="AJ183" s="43">
        <f>LN('2.ΤΙΜΕΣ ΚΛΕΙΣΙΜΑΤΟΣ'!AJ184/'2.ΤΙΜΕΣ ΚΛΕΙΣΙΜΑΤΟΣ'!AJ183)</f>
        <v>2.9852963149681128E-2</v>
      </c>
      <c r="AK183" s="43">
        <f>LN('2.ΤΙΜΕΣ ΚΛΕΙΣΙΜΑΤΟΣ'!AK184/'2.ΤΙΜΕΣ ΚΛΕΙΣΙΜΑΤΟΣ'!AK183)</f>
        <v>0</v>
      </c>
      <c r="AL183" s="43">
        <f>LN('2.ΤΙΜΕΣ ΚΛΕΙΣΙΜΑΤΟΣ'!AL184/'2.ΤΙΜΕΣ ΚΛΕΙΣΙΜΑΤΟΣ'!AL183)</f>
        <v>-1.0929070532190317E-2</v>
      </c>
      <c r="AM183" s="43">
        <f>LN('2.ΤΙΜΕΣ ΚΛΕΙΣΙΜΑΤΟΣ'!AM184/'2.ΤΙΜΕΣ ΚΛΕΙΣΙΜΑΤΟΣ'!AM183)</f>
        <v>-2.8612322810321234E-3</v>
      </c>
      <c r="AN183" s="43">
        <f>LN('2.ΤΙΜΕΣ ΚΛΕΙΣΙΜΑΤΟΣ'!AN184/'2.ΤΙΜΕΣ ΚΛΕΙΣΙΜΑΤΟΣ'!AN183)</f>
        <v>-1.5927526696101306E-2</v>
      </c>
      <c r="AO183" s="43">
        <f>LN('2.ΤΙΜΕΣ ΚΛΕΙΣΙΜΑΤΟΣ'!AO184/'2.ΤΙΜΕΣ ΚΛΕΙΣΙΜΑΤΟΣ'!AO183)</f>
        <v>0</v>
      </c>
      <c r="AP183" s="43">
        <f>LN('2.ΤΙΜΕΣ ΚΛΕΙΣΙΜΑΤΟΣ'!AP184/'2.ΤΙΜΕΣ ΚΛΕΙΣΙΜΑΤΟΣ'!AP183)</f>
        <v>2.8987536873252406E-2</v>
      </c>
      <c r="AQ183" s="43">
        <f>LN('2.ΤΙΜΕΣ ΚΛΕΙΣΙΜΑΤΟΣ'!AQ184/'2.ΤΙΜΕΣ ΚΛΕΙΣΙΜΑΤΟΣ'!AQ183)</f>
        <v>4.6864308976217572E-2</v>
      </c>
      <c r="AR183" s="43">
        <f>LN('2.ΤΙΜΕΣ ΚΛΕΙΣΙΜΑΤΟΣ'!AR184/'2.ΤΙΜΕΣ ΚΛΕΙΣΙΜΑΤΟΣ'!AR183)</f>
        <v>8.2805903684232685E-2</v>
      </c>
      <c r="AS183" s="43">
        <f>LN('2.ΤΙΜΕΣ ΚΛΕΙΣΙΜΑΤΟΣ'!AS184/'2.ΤΙΜΕΣ ΚΛΕΙΣΙΜΑΤΟΣ'!AS183)</f>
        <v>3.174869831458027E-2</v>
      </c>
      <c r="AT183" s="43">
        <f>LN('2.ΤΙΜΕΣ ΚΛΕΙΣΙΜΑΤΟΣ'!AT184/'2.ΤΙΜΕΣ ΚΛΕΙΣΙΜΑΤΟΣ'!AT183)</f>
        <v>2.7175585378964816E-2</v>
      </c>
      <c r="AU183" s="43">
        <f>LN('2.ΤΙΜΕΣ ΚΛΕΙΣΙΜΑΤΟΣ'!AU184/'2.ΤΙΜΕΣ ΚΛΕΙΣΙΜΑΤΟΣ'!AU183)</f>
        <v>1.2388152628342865E-2</v>
      </c>
    </row>
    <row r="184" spans="1:47">
      <c r="A184" s="41">
        <v>43818</v>
      </c>
      <c r="B184" s="43">
        <f>LN('2.ΤΙΜΕΣ ΚΛΕΙΣΙΜΑΤΟΣ'!B185/'2.ΤΙΜΕΣ ΚΛΕΙΣΙΜΑΤΟΣ'!B184)</f>
        <v>-1.4340749353138933E-2</v>
      </c>
      <c r="C184" s="43">
        <f>LN('2.ΤΙΜΕΣ ΚΛΕΙΣΙΜΑΤΟΣ'!C185/'2.ΤΙΜΕΣ ΚΛΕΙΣΙΜΑΤΟΣ'!C184)</f>
        <v>2.9154539601241349E-3</v>
      </c>
      <c r="D184" s="43">
        <f>LN('2.ΤΙΜΕΣ ΚΛΕΙΣΙΜΑΤΟΣ'!D185/'2.ΤΙΜΕΣ ΚΛΕΙΣΙΜΑΤΟΣ'!D184)</f>
        <v>-1.0919890114022212E-2</v>
      </c>
      <c r="E184" s="43">
        <f>LN('2.ΤΙΜΕΣ ΚΛΕΙΣΙΜΑΤΟΣ'!E185/'2.ΤΙΜΕΣ ΚΛΕΙΣΙΜΑΤΟΣ'!E184)</f>
        <v>-4.2469227109112551E-2</v>
      </c>
      <c r="F184" s="43">
        <f>LN('2.ΤΙΜΕΣ ΚΛΕΙΣΙΜΑΤΟΣ'!F185/'2.ΤΙΜΕΣ ΚΛΕΙΣΙΜΑΤΟΣ'!F184)</f>
        <v>8.2693914825067664E-3</v>
      </c>
      <c r="G184" s="43">
        <f>LN('2.ΤΙΜΕΣ ΚΛΕΙΣΙΜΑΤΟΣ'!G185/'2.ΤΙΜΕΣ ΚΛΕΙΣΙΜΑΤΟΣ'!G184)</f>
        <v>-1.031527771183291E-2</v>
      </c>
      <c r="H184" s="43">
        <f>LN('2.ΤΙΜΕΣ ΚΛΕΙΣΙΜΑΤΟΣ'!H185/'2.ΤΙΜΕΣ ΚΛΕΙΣΙΜΑΤΟΣ'!H184)</f>
        <v>9.8183611225663827E-4</v>
      </c>
      <c r="I184" s="43">
        <f>LN('2.ΤΙΜΕΣ ΚΛΕΙΣΙΜΑΤΟΣ'!I185/'2.ΤΙΜΕΣ ΚΛΕΙΣΙΜΑΤΟΣ'!I184)</f>
        <v>-3.152919059615642E-3</v>
      </c>
      <c r="J184" s="43">
        <f>LN('2.ΤΙΜΕΣ ΚΛΕΙΣΙΜΑΤΟΣ'!J185/'2.ΤΙΜΕΣ ΚΛΕΙΣΙΜΑΤΟΣ'!J184)</f>
        <v>8.4246496592516231E-3</v>
      </c>
      <c r="K184" s="43">
        <f>LN('2.ΤΙΜΕΣ ΚΛΕΙΣΙΜΑΤΟΣ'!K185/'2.ΤΙΜΕΣ ΚΛΕΙΣΙΜΑΤΟΣ'!K184)</f>
        <v>1.1356588932335975E-2</v>
      </c>
      <c r="L184" s="43">
        <f>LN('2.ΤΙΜΕΣ ΚΛΕΙΣΙΜΑΤΟΣ'!L185/'2.ΤΙΜΕΣ ΚΛΕΙΣΙΜΑΤΟΣ'!L184)</f>
        <v>-1.066270574404018E-2</v>
      </c>
      <c r="M184" s="43">
        <f>LN('2.ΤΙΜΕΣ ΚΛΕΙΣΙΜΑΤΟΣ'!M185/'2.ΤΙΜΕΣ ΚΛΕΙΣΙΜΑΤΟΣ'!M184)</f>
        <v>7.4986960911203838E-3</v>
      </c>
      <c r="N184" s="43">
        <f>LN('2.ΤΙΜΕΣ ΚΛΕΙΣΙΜΑΤΟΣ'!N185/'2.ΤΙΜΕΣ ΚΛΕΙΣΙΜΑΤΟΣ'!N184)</f>
        <v>2.4609817485069297E-3</v>
      </c>
      <c r="O184" s="43">
        <f>LN('2.ΤΙΜΕΣ ΚΛΕΙΣΙΜΑΤΟΣ'!O185/'2.ΤΙΜΕΣ ΚΛΕΙΣΙΜΑΤΟΣ'!O184)</f>
        <v>0</v>
      </c>
      <c r="P184" s="43">
        <f>LN('2.ΤΙΜΕΣ ΚΛΕΙΣΙΜΑΤΟΣ'!P185/'2.ΤΙΜΕΣ ΚΛΕΙΣΙΜΑΤΟΣ'!P184)</f>
        <v>1.1220314067492842E-2</v>
      </c>
      <c r="Q184" s="43">
        <f>LN('2.ΤΙΜΕΣ ΚΛΕΙΣΙΜΑΤΟΣ'!Q185/'2.ΤΙΜΕΣ ΚΛΕΙΣΙΜΑΤΟΣ'!Q184)</f>
        <v>-1.6863806052004916E-2</v>
      </c>
      <c r="R184" s="43">
        <f>LN('2.ΤΙΜΕΣ ΚΛΕΙΣΙΜΑΤΟΣ'!R185/'2.ΤΙΜΕΣ ΚΛΕΙΣΙΜΑΤΟΣ'!R184)</f>
        <v>1.8983290912777201E-2</v>
      </c>
      <c r="S184" s="43">
        <f>LN('2.ΤΙΜΕΣ ΚΛΕΙΣΙΜΑΤΟΣ'!S185/'2.ΤΙΜΕΣ ΚΛΕΙΣΙΜΑΤΟΣ'!S184)</f>
        <v>7.0838548884050419E-3</v>
      </c>
      <c r="T184" s="43">
        <f>LN('2.ΤΙΜΕΣ ΚΛΕΙΣΙΜΑΤΟΣ'!T185/'2.ΤΙΜΕΣ ΚΛΕΙΣΙΜΑΤΟΣ'!T184)</f>
        <v>1.3783599701213596E-3</v>
      </c>
      <c r="U184" s="43">
        <f>LN('2.ΤΙΜΕΣ ΚΛΕΙΣΙΜΑΤΟΣ'!U185/'2.ΤΙΜΕΣ ΚΛΕΙΣΙΜΑΤΟΣ'!U184)</f>
        <v>-1.2422519998557209E-2</v>
      </c>
      <c r="V184" s="43">
        <f>LN('2.ΤΙΜΕΣ ΚΛΕΙΣΙΜΑΤΟΣ'!V185/'2.ΤΙΜΕΣ ΚΛΕΙΣΙΜΑΤΟΣ'!V184)</f>
        <v>-1.8223738956451498E-2</v>
      </c>
      <c r="W184" s="43">
        <f>LN('2.ΤΙΜΕΣ ΚΛΕΙΣΙΜΑΤΟΣ'!W185/'2.ΤΙΜΕΣ ΚΛΕΙΣΙΜΑΤΟΣ'!W184)</f>
        <v>-3.6036075032985443E-3</v>
      </c>
      <c r="X184" s="43">
        <f>LN('2.ΤΙΜΕΣ ΚΛΕΙΣΙΜΑΤΟΣ'!X185/'2.ΤΙΜΕΣ ΚΛΕΙΣΙΜΑΤΟΣ'!X184)</f>
        <v>1.3642776403786479E-2</v>
      </c>
      <c r="Y184" s="43">
        <f>LN('2.ΤΙΜΕΣ ΚΛΕΙΣΙΜΑΤΟΣ'!Y185/'2.ΤΙΜΕΣ ΚΛΕΙΣΙΜΑΤΟΣ'!Y184)</f>
        <v>-1.0758473334632364E-3</v>
      </c>
      <c r="Z184" s="43">
        <f>LN('2.ΤΙΜΕΣ ΚΛΕΙΣΙΜΑΤΟΣ'!Z185/'2.ΤΙΜΕΣ ΚΛΕΙΣΙΜΑΤΟΣ'!Z184)</f>
        <v>1.8975901459005604E-2</v>
      </c>
      <c r="AA184" s="43">
        <f>LN('2.ΤΙΜΕΣ ΚΛΕΙΣΙΜΑΤΟΣ'!AA185/'2.ΤΙΜΕΣ ΚΛΕΙΣΙΜΑΤΟΣ'!AA184)</f>
        <v>-5.6338177182560199E-3</v>
      </c>
      <c r="AB184" s="43">
        <f>LN('2.ΤΙΜΕΣ ΚΛΕΙΣΙΜΑΤΟΣ'!AB185/'2.ΤΙΜΕΣ ΚΛΕΙΣΙΜΑΤΟΣ'!AB184)</f>
        <v>8.7796876520457728E-3</v>
      </c>
      <c r="AC184" s="43">
        <f>LN('2.ΤΙΜΕΣ ΚΛΕΙΣΙΜΑΤΟΣ'!AC185/'2.ΤΙΜΕΣ ΚΛΕΙΣΙΜΑΤΟΣ'!AC184)</f>
        <v>0</v>
      </c>
      <c r="AD184" s="43">
        <f>LN('2.ΤΙΜΕΣ ΚΛΕΙΣΙΜΑΤΟΣ'!AD185/'2.ΤΙΜΕΣ ΚΛΕΙΣΙΜΑΤΟΣ'!AD184)</f>
        <v>1.9742478729201183E-2</v>
      </c>
      <c r="AE184" s="43">
        <f>LN('2.ΤΙΜΕΣ ΚΛΕΙΣΙΜΑΤΟΣ'!AE185/'2.ΤΙΜΕΣ ΚΛΕΙΣΙΜΑΤΟΣ'!AE184)</f>
        <v>0</v>
      </c>
      <c r="AF184" s="43">
        <f>LN('2.ΤΙΜΕΣ ΚΛΕΙΣΙΜΑΤΟΣ'!AF185/'2.ΤΙΜΕΣ ΚΛΕΙΣΙΜΑΤΟΣ'!AF184)</f>
        <v>1.20409406480451E-3</v>
      </c>
      <c r="AG184" s="43">
        <f>LN('2.ΤΙΜΕΣ ΚΛΕΙΣΙΜΑΤΟΣ'!AG185/'2.ΤΙΜΕΣ ΚΛΕΙΣΙΜΑΤΟΣ'!AG184)</f>
        <v>-3.077165866675366E-2</v>
      </c>
      <c r="AH184" s="43">
        <f>LN('2.ΤΙΜΕΣ ΚΛΕΙΣΙΜΑΤΟΣ'!AH185/'2.ΤΙΜΕΣ ΚΛΕΙΣΙΜΑΤΟΣ'!AH184)</f>
        <v>-1.0582109330536972E-2</v>
      </c>
      <c r="AI184" s="43">
        <f>LN('2.ΤΙΜΕΣ ΚΛΕΙΣΙΜΑΤΟΣ'!AI185/'2.ΤΙΜΕΣ ΚΛΕΙΣΙΜΑΤΟΣ'!AI184)</f>
        <v>2.0202707317519469E-2</v>
      </c>
      <c r="AJ184" s="43">
        <f>LN('2.ΤΙΜΕΣ ΚΛΕΙΣΙΜΑΤΟΣ'!AJ185/'2.ΤΙΜΕΣ ΚΛΕΙΣΙΜΑΤΟΣ'!AJ184)</f>
        <v>-1.694955831377332E-2</v>
      </c>
      <c r="AK184" s="43">
        <f>LN('2.ΤΙΜΕΣ ΚΛΕΙΣΙΜΑΤΟΣ'!AK185/'2.ΤΙΜΕΣ ΚΛΕΙΣΙΜΑΤΟΣ'!AK184)</f>
        <v>-1.4962872676712377E-2</v>
      </c>
      <c r="AL184" s="43">
        <f>LN('2.ΤΙΜΕΣ ΚΛΕΙΣΙΜΑΤΟΣ'!AL185/'2.ΤΙΜΕΣ ΚΛΕΙΣΙΜΑΤΟΣ'!AL184)</f>
        <v>1.092907053219023E-2</v>
      </c>
      <c r="AM184" s="43">
        <f>LN('2.ΤΙΜΕΣ ΚΛΕΙΣΙΜΑΤΟΣ'!AM185/'2.ΤΙΜΕΣ ΚΛΕΙΣΙΜΑΤΟΣ'!AM184)</f>
        <v>0</v>
      </c>
      <c r="AN184" s="43">
        <f>LN('2.ΤΙΜΕΣ ΚΛΕΙΣΙΜΑΤΟΣ'!AN185/'2.ΤΙΜΕΣ ΚΛΕΙΣΙΜΑΤΟΣ'!AN184)</f>
        <v>4.0454954692313749E-2</v>
      </c>
      <c r="AO184" s="43">
        <f>LN('2.ΤΙΜΕΣ ΚΛΕΙΣΙΜΑΤΟΣ'!AO185/'2.ΤΙΜΕΣ ΚΛΕΙΣΙΜΑΤΟΣ'!AO184)</f>
        <v>2.6433257068155646E-2</v>
      </c>
      <c r="AP184" s="43">
        <f>LN('2.ΤΙΜΕΣ ΚΛΕΙΣΙΜΑΤΟΣ'!AP185/'2.ΤΙΜΕΣ ΚΛΕΙΣΙΜΑΤΟΣ'!AP184)</f>
        <v>-2.8612322810321234E-3</v>
      </c>
      <c r="AQ184" s="43">
        <f>LN('2.ΤΙΜΕΣ ΚΛΕΙΣΙΜΑΤΟΣ'!AQ185/'2.ΤΙΜΕΣ ΚΛΕΙΣΙΜΑΤΟΣ'!AQ184)</f>
        <v>-2.439145312415901E-2</v>
      </c>
      <c r="AR184" s="43">
        <f>LN('2.ΤΙΜΕΣ ΚΛΕΙΣΙΜΑΤΟΣ'!AR185/'2.ΤΙΜΕΣ ΚΛΕΙΣΙΜΑΤΟΣ'!AR184)</f>
        <v>6.9287162248345607E-2</v>
      </c>
      <c r="AS184" s="43">
        <f>LN('2.ΤΙΜΕΣ ΚΛΕΙΣΙΜΑΤΟΣ'!AS185/'2.ΤΙΜΕΣ ΚΛΕΙΣΙΜΑΤΟΣ'!AS184)</f>
        <v>-2.2117805253619106E-2</v>
      </c>
      <c r="AT184" s="43">
        <f>LN('2.ΤΙΜΕΣ ΚΛΕΙΣΙΜΑΤΟΣ'!AT185/'2.ΤΙΜΕΣ ΚΛΕΙΣΙΜΑΤΟΣ'!AT184)</f>
        <v>-1.621657158924528E-2</v>
      </c>
      <c r="AU184" s="43">
        <f>LN('2.ΤΙΜΕΣ ΚΛΕΙΣΙΜΑΤΟΣ'!AU185/'2.ΤΙΜΕΣ ΚΛΕΙΣΙΜΑΤΟΣ'!AU184)</f>
        <v>-3.1629846876265635E-3</v>
      </c>
    </row>
    <row r="185" spans="1:47">
      <c r="A185" s="41">
        <v>43819</v>
      </c>
      <c r="B185" s="43">
        <f>LN('2.ΤΙΜΕΣ ΚΛΕΙΣΙΜΑΤΟΣ'!B186/'2.ΤΙΜΕΣ ΚΛΕΙΣΙΜΑΤΟΣ'!B185)</f>
        <v>-6.7408411632991052E-3</v>
      </c>
      <c r="C185" s="43">
        <f>LN('2.ΤΙΜΕΣ ΚΛΕΙΣΙΜΑΤΟΣ'!C186/'2.ΤΙΜΕΣ ΚΛΕΙΣΙΜΑΤΟΣ'!C185)</f>
        <v>2.1810259463601461E-3</v>
      </c>
      <c r="D185" s="43">
        <f>LN('2.ΤΙΜΕΣ ΚΛΕΙΣΙΜΑΤΟΣ'!D186/'2.ΤΙΜΕΣ ΚΛΕΙΣΙΜΑΤΟΣ'!D185)</f>
        <v>-4.5796339327830511E-2</v>
      </c>
      <c r="E185" s="43">
        <f>LN('2.ΤΙΜΕΣ ΚΛΕΙΣΙΜΑΤΟΣ'!E186/'2.ΤΙΜΕΣ ΚΛΕΙΣΙΜΑΤΟΣ'!E185)</f>
        <v>-1.6402773441457269E-2</v>
      </c>
      <c r="F185" s="43">
        <f>LN('2.ΤΙΜΕΣ ΚΛΕΙΣΙΜΑΤΟΣ'!F186/'2.ΤΙΜΕΣ ΚΛΕΙΣΙΜΑΤΟΣ'!F185)</f>
        <v>-1.3025643017155848E-2</v>
      </c>
      <c r="G185" s="43">
        <f>LN('2.ΤΙΜΕΣ ΚΛΕΙΣΙΜΑΤΟΣ'!G186/'2.ΤΙΜΕΣ ΚΛΕΙΣΙΜΑΤΟΣ'!G185)</f>
        <v>1.259318302482691E-2</v>
      </c>
      <c r="H185" s="43">
        <f>LN('2.ΤΙΜΕΣ ΚΛΕΙΣΙΜΑΤΟΣ'!H186/'2.ΤΙΜΕΣ ΚΛΕΙΣΙΜΑΤΟΣ'!H185)</f>
        <v>-6.8931833753139889E-3</v>
      </c>
      <c r="I185" s="43">
        <f>LN('2.ΤΙΜΕΣ ΚΛΕΙΣΙΜΑΤΟΣ'!I186/'2.ΤΙΜΕΣ ΚΛΕΙΣΙΜΑΤΟΣ'!I185)</f>
        <v>-1.0582109330536972E-2</v>
      </c>
      <c r="J185" s="43">
        <f>LN('2.ΤΙΜΕΣ ΚΛΕΙΣΙΜΑΤΟΣ'!J186/'2.ΤΙΜΕΣ ΚΛΕΙΣΙΜΑΤΟΣ'!J185)</f>
        <v>-2.4801678940574157E-2</v>
      </c>
      <c r="K185" s="43">
        <f>LN('2.ΤΙΜΕΣ ΚΛΕΙΣΙΜΑΤΟΣ'!K186/'2.ΤΙΜΕΣ ΚΛΕΙΣΙΜΑΤΟΣ'!K185)</f>
        <v>0</v>
      </c>
      <c r="L185" s="43">
        <f>LN('2.ΤΙΜΕΣ ΚΛΕΙΣΙΜΑΤΟΣ'!L186/'2.ΤΙΜΕΣ ΚΛΕΙΣΙΜΑΤΟΣ'!L185)</f>
        <v>-1.6988825586469747E-2</v>
      </c>
      <c r="M185" s="43">
        <f>LN('2.ΤΙΜΕΣ ΚΛΕΙΣΙΜΑΤΟΣ'!M186/'2.ΤΙΜΕΣ ΚΛΕΙΣΙΜΑΤΟΣ'!M185)</f>
        <v>-6.4240049613549875E-3</v>
      </c>
      <c r="N185" s="43">
        <f>LN('2.ΤΙΜΕΣ ΚΛΕΙΣΙΜΑΤΟΣ'!N186/'2.ΤΙΜΕΣ ΚΛΕΙΣΙΜΑΤΟΣ'!N185)</f>
        <v>-2.3031638309065516E-2</v>
      </c>
      <c r="O185" s="43">
        <f>LN('2.ΤΙΜΕΣ ΚΛΕΙΣΙΜΑΤΟΣ'!O186/'2.ΤΙΜΕΣ ΚΛΕΙΣΙΜΑΤΟΣ'!O185)</f>
        <v>-1.5915455305899457E-2</v>
      </c>
      <c r="P185" s="43">
        <f>LN('2.ΤΙΜΕΣ ΚΛΕΙΣΙΜΑΤΟΣ'!P186/'2.ΤΙΜΕΣ ΚΛΕΙΣΙΜΑΤΟΣ'!P185)</f>
        <v>-3.5489884981950832E-2</v>
      </c>
      <c r="Q185" s="43">
        <f>LN('2.ΤΙΜΕΣ ΚΛΕΙΣΙΜΑΤΟΣ'!Q186/'2.ΤΙΜΕΣ ΚΛΕΙΣΙΜΑΤΟΣ'!Q185)</f>
        <v>-3.4605529177475607E-2</v>
      </c>
      <c r="R185" s="43">
        <f>LN('2.ΤΙΜΕΣ ΚΛΕΙΣΙΜΑΤΟΣ'!R186/'2.ΤΙΜΕΣ ΚΛΕΙΣΙΜΑΤΟΣ'!R185)</f>
        <v>-1.1639316657018815E-2</v>
      </c>
      <c r="S185" s="43">
        <f>LN('2.ΤΙΜΕΣ ΚΛΕΙΣΙΜΑΤΟΣ'!S186/'2.ΤΙΜΕΣ ΚΛΕΙΣΙΜΑΤΟΣ'!S185)</f>
        <v>-9.4563352420354001E-3</v>
      </c>
      <c r="T185" s="43">
        <f>LN('2.ΤΙΜΕΣ ΚΛΕΙΣΙΜΑΤΟΣ'!T186/'2.ΤΙΜΕΣ ΚΛΕΙΣΙΜΑΤΟΣ'!T185)</f>
        <v>-1.3783599701212709E-3</v>
      </c>
      <c r="U185" s="43">
        <f>LN('2.ΤΙΜΕΣ ΚΛΕΙΣΙΜΑΤΟΣ'!U186/'2.ΤΙΜΕΣ ΚΛΕΙΣΙΜΑΤΟΣ'!U185)</f>
        <v>-3.1748698314580187E-2</v>
      </c>
      <c r="V185" s="43">
        <f>LN('2.ΤΙΜΕΣ ΚΛΕΙΣΙΜΑΤΟΣ'!V186/'2.ΤΙΜΕΣ ΚΛΕΙΣΙΜΑΤΟΣ'!V185)</f>
        <v>-2.0906684819313601E-2</v>
      </c>
      <c r="W185" s="43">
        <f>LN('2.ΤΙΜΕΣ ΚΛΕΙΣΙΜΑΤΟΣ'!W186/'2.ΤΙΜΕΣ ΚΛΕΙΣΙΜΑΤΟΣ'!W185)</f>
        <v>-1.8215439891341216E-2</v>
      </c>
      <c r="X185" s="43">
        <f>LN('2.ΤΙΜΕΣ ΚΛΕΙΣΙΜΑΤΟΣ'!X186/'2.ΤΙΜΕΣ ΚΛΕΙΣΙΜΑΤΟΣ'!X185)</f>
        <v>1.0781775603288413E-2</v>
      </c>
      <c r="Y185" s="43">
        <f>LN('2.ΤΙΜΕΣ ΚΛΕΙΣΙΜΑΤΟΣ'!Y186/'2.ΤΙΜΕΣ ΚΛΕΙΣΙΜΑΤΟΣ'!Y185)</f>
        <v>-3.1713975489527715E-2</v>
      </c>
      <c r="Z185" s="43">
        <f>LN('2.ΤΙΜΕΣ ΚΛΕΙΣΙΜΑΤΟΣ'!Z186/'2.ΤΙΜΕΣ ΚΛΕΙΣΙΜΑΤΟΣ'!Z185)</f>
        <v>4.7715473039666369E-2</v>
      </c>
      <c r="AA185" s="43">
        <f>LN('2.ΤΙΜΕΣ ΚΛΕΙΣΙΜΑΤΟΣ'!AA186/'2.ΤΙΜΕΣ ΚΛΕΙΣΙΜΑΤΟΣ'!AA185)</f>
        <v>2.8208763416412634E-3</v>
      </c>
      <c r="AB185" s="43">
        <f>LN('2.ΤΙΜΕΣ ΚΛΕΙΣΙΜΑΤΟΣ'!AB186/'2.ΤΙΜΕΣ ΚΛΕΙΣΙΜΑΤΟΣ'!AB185)</f>
        <v>1.904819497069463E-2</v>
      </c>
      <c r="AC185" s="43">
        <f>LN('2.ΤΙΜΕΣ ΚΛΕΙΣΙΜΑΤΟΣ'!AC186/'2.ΤΙΜΕΣ ΚΛΕΙΣΙΜΑΤΟΣ'!AC185)</f>
        <v>6.8728792877620504E-3</v>
      </c>
      <c r="AD185" s="43">
        <f>LN('2.ΤΙΜΕΣ ΚΛΕΙΣΙΜΑΤΟΣ'!AD186/'2.ΤΙΜΕΣ ΚΛΕΙΣΙΜΑΤΟΣ'!AD185)</f>
        <v>-2.5896344303579479E-2</v>
      </c>
      <c r="AE185" s="43">
        <f>LN('2.ΤΙΜΕΣ ΚΛΕΙΣΙΜΑΤΟΣ'!AE186/'2.ΤΙΜΕΣ ΚΛΕΙΣΙΜΑΤΟΣ'!AE185)</f>
        <v>7.4906717291576587E-3</v>
      </c>
      <c r="AF185" s="43">
        <f>LN('2.ΤΙΜΕΣ ΚΛΕΙΣΙΜΑΤΟΣ'!AF186/'2.ΤΙΜΕΣ ΚΛΕΙΣΙΜΑΤΟΣ'!AF185)</f>
        <v>-1.9441681614585496E-2</v>
      </c>
      <c r="AG185" s="43">
        <f>LN('2.ΤΙΜΕΣ ΚΛΕΙΣΙΜΑΤΟΣ'!AG186/'2.ΤΙΜΕΣ ΚΛΕΙΣΙΜΑΤΟΣ'!AG185)</f>
        <v>2.570835671020703E-2</v>
      </c>
      <c r="AH185" s="43">
        <f>LN('2.ΤΙΜΕΣ ΚΛΕΙΣΙΜΑΤΟΣ'!AH186/'2.ΤΙΜΕΣ ΚΛΕΙΣΙΜΑΤΟΣ'!AH185)</f>
        <v>-7.1174677688637666E-3</v>
      </c>
      <c r="AI185" s="43">
        <f>LN('2.ΤΙΜΕΣ ΚΛΕΙΣΙΜΑΤΟΣ'!AI186/'2.ΤΙΜΕΣ ΚΛΕΙΣΙΜΑΤΟΣ'!AI185)</f>
        <v>-2.7028672387919374E-2</v>
      </c>
      <c r="AJ185" s="43">
        <f>LN('2.ΤΙΜΕΣ ΚΛΕΙΣΙΜΑΤΟΣ'!AJ186/'2.ΤΙΜΕΣ ΚΛΕΙΣΙΜΑΤΟΣ'!AJ185)</f>
        <v>-1.7241806434506103E-2</v>
      </c>
      <c r="AK185" s="43">
        <f>LN('2.ΤΙΜΕΣ ΚΛΕΙΣΙΜΑΤΟΣ'!AK186/'2.ΤΙΜΕΣ ΚΛΕΙΣΙΜΑΤΟΣ'!AK185)</f>
        <v>-1.0101095986503933E-2</v>
      </c>
      <c r="AL185" s="43">
        <f>LN('2.ΤΙΜΕΣ ΚΛΕΙΣΙΜΑΤΟΣ'!AL186/'2.ΤΙΜΕΣ ΚΛΕΙΣΙΜΑΤΟΣ'!AL185)</f>
        <v>-1.0929070532190317E-2</v>
      </c>
      <c r="AM185" s="43">
        <f>LN('2.ΤΙΜΕΣ ΚΛΕΙΣΙΜΑΤΟΣ'!AM186/'2.ΤΙΜΕΣ ΚΛΕΙΣΙΜΑΤΟΣ'!AM185)</f>
        <v>-5.7471422555679594E-3</v>
      </c>
      <c r="AN185" s="43">
        <f>LN('2.ΤΙΜΕΣ ΚΛΕΙΣΙΜΑΤΟΣ'!AN186/'2.ΤΙΜΕΣ ΚΛΕΙΣΙΜΑΤΟΣ'!AN185)</f>
        <v>-1.7778246021283944E-2</v>
      </c>
      <c r="AO185" s="43">
        <f>LN('2.ΤΙΜΕΣ ΚΛΕΙΣΙΜΑΤΟΣ'!AO186/'2.ΤΙΜΕΣ ΚΛΕΙΣΙΜΑΤΟΣ'!AO185)</f>
        <v>-2.6433257068155597E-2</v>
      </c>
      <c r="AP185" s="43">
        <f>LN('2.ΤΙΜΕΣ ΚΛΕΙΣΙΜΑΤΟΣ'!AP186/'2.ΤΙΜΕΣ ΚΛΕΙΣΙΜΑΤΟΣ'!AP185)</f>
        <v>8.5592533956699111E-3</v>
      </c>
      <c r="AQ185" s="43">
        <f>LN('2.ΤΙΜΕΣ ΚΛΕΙΣΙΜΑΤΟΣ'!AQ186/'2.ΤΙΜΕΣ ΚΛΕΙΣΙΜΑΤΟΣ'!AQ185)</f>
        <v>-4.9505051598562029E-3</v>
      </c>
      <c r="AR185" s="43">
        <f>LN('2.ΤΙΜΕΣ ΚΛΕΙΣΙΜΑΤΟΣ'!AR186/'2.ΤΙΜΕΣ ΚΛΕΙΣΙΜΑΤΟΣ'!AR185)</f>
        <v>-2.18644836967384E-2</v>
      </c>
      <c r="AS185" s="43">
        <f>LN('2.ΤΙΜΕΣ ΚΛΕΙΣΙΜΑΤΟΣ'!AS186/'2.ΤΙΜΕΣ ΚΛΕΙΣΙΜΑΤΟΣ'!AS185)</f>
        <v>9.5390230467589099E-3</v>
      </c>
      <c r="AT185" s="43">
        <f>LN('2.ΤΙΜΕΣ ΚΛΕΙΣΙΜΑΤΟΣ'!AT186/'2.ΤΙΜΕΣ ΚΛΕΙΣΙΜΑΤΟΣ'!AT185)</f>
        <v>2.7210901143605863E-3</v>
      </c>
      <c r="AU185" s="43">
        <f>LN('2.ΤΙΜΕΣ ΚΛΕΙΣΙΜΑΤΟΣ'!AU186/'2.ΤΙΜΕΣ ΚΛΕΙΣΙΜΑΤΟΣ'!AU185)</f>
        <v>-1.1945496505310405E-2</v>
      </c>
    </row>
    <row r="186" spans="1:47">
      <c r="A186" s="41">
        <v>43822</v>
      </c>
      <c r="B186" s="43">
        <f>LN('2.ΤΙΜΕΣ ΚΛΕΙΣΙΜΑΤΟΣ'!B187/'2.ΤΙΜΕΣ ΚΛΕΙΣΙΜΑΤΟΣ'!B186)</f>
        <v>2.0419119475317066E-2</v>
      </c>
      <c r="C186" s="43">
        <f>LN('2.ΤΙΜΕΣ ΚΛΕΙΣΙΜΑΤΟΣ'!C187/'2.ΤΙΜΕΣ ΚΛΕΙΣΙΜΑΤΟΣ'!C186)</f>
        <v>3.4264593974096078E-2</v>
      </c>
      <c r="D186" s="43">
        <f>LN('2.ΤΙΜΕΣ ΚΛΕΙΣΙΜΑΤΟΣ'!D187/'2.ΤΙΜΕΣ ΚΛΕΙΣΙΜΑΤΟΣ'!D186)</f>
        <v>3.5609494020837566E-2</v>
      </c>
      <c r="E186" s="43">
        <f>LN('2.ΤΙΜΕΣ ΚΛΕΙΣΙΜΑΤΟΣ'!E187/'2.ΤΙΜΕΣ ΚΛΕΙΣΙΜΑΤΟΣ'!E186)</f>
        <v>3.1473026362455386E-2</v>
      </c>
      <c r="F186" s="43">
        <f>LN('2.ΤΙΜΕΣ ΚΛΕΙΣΙΜΑΤΟΣ'!F187/'2.ΤΙΜΕΣ ΚΛΕΙΣΙΜΑΤΟΣ'!F186)</f>
        <v>3.0518800464673122E-2</v>
      </c>
      <c r="G186" s="43">
        <f>LN('2.ΤΙΜΕΣ ΚΛΕΙΣΙΜΑΤΟΣ'!G187/'2.ΤΙΜΕΣ ΚΛΕΙΣΙΜΑΤΟΣ'!G186)</f>
        <v>1.2436565041008563E-2</v>
      </c>
      <c r="H186" s="43">
        <f>LN('2.ΤΙΜΕΣ ΚΛΕΙΣΙΜΑΤΟΣ'!H187/'2.ΤΙΜΕΣ ΚΛΕΙΣΙΜΑΤΟΣ'!H186)</f>
        <v>2.2472855852058576E-2</v>
      </c>
      <c r="I186" s="43">
        <f>LN('2.ΤΙΜΕΣ ΚΛΕΙΣΙΜΑΤΟΣ'!I187/'2.ΤΙΜΕΣ ΚΛΕΙΣΙΜΑΤΟΣ'!I186)</f>
        <v>1.9489687221649593E-2</v>
      </c>
      <c r="J186" s="43">
        <f>LN('2.ΤΙΜΕΣ ΚΛΕΙΣΙΜΑΤΟΣ'!J187/'2.ΤΙΜΕΣ ΚΛΕΙΣΙΜΑΤΟΣ'!J186)</f>
        <v>2.1103574204883783E-2</v>
      </c>
      <c r="K186" s="43">
        <f>LN('2.ΤΙΜΕΣ ΚΛΕΙΣΙΜΑΤΟΣ'!K187/'2.ΤΙΜΕΣ ΚΛΕΙΣΙΜΑΤΟΣ'!K186)</f>
        <v>1.7413375325197912E-2</v>
      </c>
      <c r="L186" s="43">
        <f>LN('2.ΤΙΜΕΣ ΚΛΕΙΣΙΜΑΤΟΣ'!L187/'2.ΤΙΜΕΣ ΚΛΕΙΣΙΜΑΤΟΣ'!L186)</f>
        <v>1.8519047767237531E-2</v>
      </c>
      <c r="M186" s="43">
        <f>LN('2.ΤΙΜΕΣ ΚΛΕΙΣΙΜΑΤΟΣ'!M187/'2.ΤΙΜΕΣ ΚΛΕΙΣΙΜΑΤΟΣ'!M186)</f>
        <v>1.068386230831261E-2</v>
      </c>
      <c r="N186" s="43">
        <f>LN('2.ΤΙΜΕΣ ΚΛΕΙΣΙΜΑΤΟΣ'!N187/'2.ΤΙΜΕΣ ΚΛΕΙΣΙΜΑΤΟΣ'!N186)</f>
        <v>-3.8464136553256595E-3</v>
      </c>
      <c r="O186" s="43">
        <f>LN('2.ΤΙΜΕΣ ΚΛΕΙΣΙΜΑΤΟΣ'!O187/'2.ΤΙΜΕΣ ΚΛΕΙΣΙΜΑΤΟΣ'!O186)</f>
        <v>1.1960275462971471E-2</v>
      </c>
      <c r="P186" s="43">
        <f>LN('2.ΤΙΜΕΣ ΚΛΕΙΣΙΜΑΤΟΣ'!P187/'2.ΤΙΜΕΣ ΚΛΕΙΣΙΜΑΤΟΣ'!P186)</f>
        <v>4.2439183275156722E-2</v>
      </c>
      <c r="Q186" s="43">
        <f>LN('2.ΤΙΜΕΣ ΚΛΕΙΣΙΜΑΤΟΣ'!Q187/'2.ΤΙΜΕΣ ΚΛΕΙΣΙΜΑΤΟΣ'!Q186)</f>
        <v>3.4605529177475523E-2</v>
      </c>
      <c r="R186" s="43">
        <f>LN('2.ΤΙΜΕΣ ΚΛΕΙΣΙΜΑΤΟΣ'!R187/'2.ΤΙΜΕΣ ΚΛΕΙΣΙΜΑΤΟΣ'!R186)</f>
        <v>1.0674531246919824E-2</v>
      </c>
      <c r="S186" s="43">
        <f>LN('2.ΤΙΜΕΣ ΚΛΕΙΣΙΜΑΤΟΣ'!S187/'2.ΤΙΜΕΣ ΚΛΕΙΣΙΜΑΤΟΣ'!S186)</f>
        <v>0</v>
      </c>
      <c r="T186" s="43">
        <f>LN('2.ΤΙΜΕΣ ΚΛΕΙΣΙΜΑΤΟΣ'!T187/'2.ΤΙΜΕΣ ΚΛΕΙΣΙΜΑΤΟΣ'!T186)</f>
        <v>9.6088591066368894E-3</v>
      </c>
      <c r="U186" s="43">
        <f>LN('2.ΤΙΜΕΣ ΚΛΕΙΣΙΜΑΤΟΣ'!U187/'2.ΤΙΜΕΣ ΚΛΕΙΣΙΜΑΤΟΣ'!U186)</f>
        <v>2.7573326904099554E-2</v>
      </c>
      <c r="V186" s="43">
        <f>LN('2.ΤΙΜΕΣ ΚΛΕΙΣΙΜΑΤΟΣ'!V187/'2.ΤΙΜΕΣ ΚΛΕΙΣΙΜΑΤΟΣ'!V186)</f>
        <v>0</v>
      </c>
      <c r="W186" s="43">
        <f>LN('2.ΤΙΜΕΣ ΚΛΕΙΣΙΜΑΤΟΣ'!W187/'2.ΤΙΜΕΣ ΚΛΕΙΣΙΜΑΤΟΣ'!W186)</f>
        <v>2.8987536873252406E-2</v>
      </c>
      <c r="X186" s="43">
        <f>LN('2.ΤΙΜΕΣ ΚΛΕΙΣΙΜΑΤΟΣ'!X187/'2.ΤΙΜΕΣ ΚΛΕΙΣΙΜΑΤΟΣ'!X186)</f>
        <v>5.9835791610665046E-2</v>
      </c>
      <c r="Y186" s="43">
        <f>LN('2.ΤΙΜΕΣ ΚΛΕΙΣΙΜΑΤΟΣ'!Y187/'2.ΤΙΜΕΣ ΚΛΕΙΣΙΜΑΤΟΣ'!Y186)</f>
        <v>6.644542718668732E-3</v>
      </c>
      <c r="Z186" s="43">
        <f>LN('2.ΤΙΜΕΣ ΚΛΕΙΣΙΜΑΤΟΣ'!Z187/'2.ΤΙΜΕΣ ΚΛΕΙΣΙΜΑΤΟΣ'!Z186)</f>
        <v>0</v>
      </c>
      <c r="AA186" s="43">
        <f>LN('2.ΤΙΜΕΣ ΚΛΕΙΣΙΜΑΤΟΣ'!AA187/'2.ΤΙΜΕΣ ΚΛΕΙΣΙΜΑΤΟΣ'!AA186)</f>
        <v>1.398624197473987E-2</v>
      </c>
      <c r="AB186" s="43">
        <f>LN('2.ΤΙΜΕΣ ΚΛΕΙΣΙΜΑΤΟΣ'!AB187/'2.ΤΙΜΕΣ ΚΛΕΙΣΙΜΑΤΟΣ'!AB186)</f>
        <v>-8.6133176781148357E-3</v>
      </c>
      <c r="AC186" s="43">
        <f>LN('2.ΤΙΜΕΣ ΚΛΕΙΣΙΜΑΤΟΣ'!AC187/'2.ΤΙΜΕΣ ΚΛΕΙΣΙΜΑΤΟΣ'!AC186)</f>
        <v>1.6304709024943569E-2</v>
      </c>
      <c r="AD186" s="43">
        <f>LN('2.ΤΙΜΕΣ ΚΛΕΙΣΙΜΑΤΟΣ'!AD187/'2.ΤΙΜΕΣ ΚΛΕΙΣΙΜΑΤΟΣ'!AD186)</f>
        <v>1.9863143499411571E-2</v>
      </c>
      <c r="AE186" s="43">
        <f>LN('2.ΤΙΜΕΣ ΚΛΕΙΣΙΜΑΤΟΣ'!AE187/'2.ΤΙΜΕΣ ΚΛΕΙΣΙΜΑΤΟΣ'!AE186)</f>
        <v>3.6634133179780169E-2</v>
      </c>
      <c r="AF186" s="43">
        <f>LN('2.ΤΙΜΕΣ ΚΛΕΙΣΙΜΑΤΟΣ'!AF187/'2.ΤΙΜΕΣ ΚΛΕΙΣΙΜΑΤΟΣ'!AF186)</f>
        <v>2.4243611609992853E-2</v>
      </c>
      <c r="AG186" s="43">
        <f>LN('2.ΤΙΜΕΣ ΚΛΕΙΣΙΜΑΤΟΣ'!AG187/'2.ΤΙΜΕΣ ΚΛΕΙΣΙΜΑΤΟΣ'!AG186)</f>
        <v>3.0002250303798914E-2</v>
      </c>
      <c r="AH186" s="43">
        <f>LN('2.ΤΙΜΕΣ ΚΛΕΙΣΙΜΑΤΟΣ'!AH187/'2.ΤΙΜΕΣ ΚΛΕΙΣΙΜΑΤΟΣ'!AH186)</f>
        <v>3.5091319811269978E-2</v>
      </c>
      <c r="AI186" s="43">
        <f>LN('2.ΤΙΜΕΣ ΚΛΕΙΣΙΜΑΤΟΣ'!AI187/'2.ΤΙΜΕΣ ΚΛΕΙΣΙΜΑΤΟΣ'!AI186)</f>
        <v>-6.8728792877620643E-3</v>
      </c>
      <c r="AJ186" s="43">
        <f>LN('2.ΤΙΜΕΣ ΚΛΕΙΣΙΜΑΤΟΣ'!AJ187/'2.ΤΙΜΕΣ ΚΛΕΙΣΙΜΑΤΟΣ'!AJ186)</f>
        <v>5.4982134417353196E-2</v>
      </c>
      <c r="AK186" s="43">
        <f>LN('2.ΤΙΜΕΣ ΚΛΕΙΣΙΜΑΤΟΣ'!AK187/'2.ΤΙΜΕΣ ΚΛΕΙΣΙΜΑΤΟΣ'!AK186)</f>
        <v>3.0002250303798699E-2</v>
      </c>
      <c r="AL186" s="43">
        <f>LN('2.ΤΙΜΕΣ ΚΛΕΙΣΙΜΑΤΟΣ'!AL187/'2.ΤΙΜΕΣ ΚΛΕΙΣΙΜΑΤΟΣ'!AL186)</f>
        <v>3.2435275753153955E-2</v>
      </c>
      <c r="AM186" s="43">
        <f>LN('2.ΤΙΜΕΣ ΚΛΕΙΣΙΜΑΤΟΣ'!AM187/'2.ΤΙΜΕΣ ΚΛΕΙΣΙΜΑΤΟΣ'!AM186)</f>
        <v>1.4306395651237929E-2</v>
      </c>
      <c r="AN186" s="43">
        <f>LN('2.ΤΙΜΕΣ ΚΛΕΙΣΙΜΑΤΟΣ'!AN187/'2.ΤΙΜΕΣ ΚΛΕΙΣΙΜΑΤΟΣ'!AN186)</f>
        <v>1.1148387482614201E-2</v>
      </c>
      <c r="AO186" s="43">
        <f>LN('2.ΤΙΜΕΣ ΚΛΕΙΣΙΜΑΤΟΣ'!AO187/'2.ΤΙΜΕΣ ΚΛΕΙΣΙΜΑΤΟΣ'!AO186)</f>
        <v>1.1834457647002798E-2</v>
      </c>
      <c r="AP186" s="43">
        <f>LN('2.ΤΙΜΕΣ ΚΛΕΙΣΙΜΑΤΟΣ'!AP187/'2.ΤΙΜΕΣ ΚΛΕΙΣΙΜΑΤΟΣ'!AP186)</f>
        <v>4.7165468442430136E-2</v>
      </c>
      <c r="AQ186" s="43">
        <f>LN('2.ΤΙΜΕΣ ΚΛΕΙΣΙΜΑΤΟΣ'!AQ187/'2.ΤΙΜΕΣ ΚΛΕΙΣΙΜΑΤΟΣ'!AQ186)</f>
        <v>6.1843116087847427E-3</v>
      </c>
      <c r="AR186" s="43">
        <f>LN('2.ΤΙΜΕΣ ΚΛΕΙΣΙΜΑΤΟΣ'!AR187/'2.ΤΙΜΕΣ ΚΛΕΙΣΙΜΑΤΟΣ'!AR186)</f>
        <v>6.2959284568148309E-3</v>
      </c>
      <c r="AS186" s="43">
        <f>LN('2.ΤΙΜΕΣ ΚΛΕΙΣΙΜΑΤΟΣ'!AS187/'2.ΤΙΜΕΣ ΚΛΕΙΣΙΜΑΤΟΣ'!AS186)</f>
        <v>0</v>
      </c>
      <c r="AT186" s="43">
        <f>LN('2.ΤΙΜΕΣ ΚΛΕΙΣΙΜΑΤΟΣ'!AT187/'2.ΤΙΜΕΣ ΚΛΕΙΣΙΜΑΤΟΣ'!AT186)</f>
        <v>5.8063800954761331E-2</v>
      </c>
      <c r="AU186" s="43">
        <f>LN('2.ΤΙΜΕΣ ΚΛΕΙΣΙΜΑΤΟΣ'!AU187/'2.ΤΙΜΕΣ ΚΛΕΙΣΙΜΑΤΟΣ'!AU186)</f>
        <v>2.26766081328337E-2</v>
      </c>
    </row>
    <row r="187" spans="1:47">
      <c r="A187" s="41">
        <v>43826</v>
      </c>
      <c r="B187" s="43">
        <f>LN('2.ΤΙΜΕΣ ΚΛΕΙΣΙΜΑΤΟΣ'!B188/'2.ΤΙΜΕΣ ΚΛΕΙΣΙΜΑΤΟΣ'!B187)</f>
        <v>3.9682591756206699E-3</v>
      </c>
      <c r="C187" s="43">
        <f>LN('2.ΤΙΜΕΣ ΚΛΕΙΣΙΜΑΤΟΣ'!C188/'2.ΤΙΜΕΣ ΚΛΕΙΣΙΜΑΤΟΣ'!C187)</f>
        <v>1.3937507843781678E-2</v>
      </c>
      <c r="D187" s="43">
        <f>LN('2.ΤΙΜΕΣ ΚΛΕΙΣΙΜΑΤΟΣ'!D188/'2.ΤΙΜΕΣ ΚΛΕΙΣΙΜΑΤΟΣ'!D187)</f>
        <v>-6.849341845574783E-3</v>
      </c>
      <c r="E187" s="43">
        <f>LN('2.ΤΙΜΕΣ ΚΛΕΙΣΙΜΑΤΟΣ'!E188/'2.ΤΙΜΕΣ ΚΛΕΙΣΙΜΑΤΟΣ'!E187)</f>
        <v>-1.7241806434506103E-2</v>
      </c>
      <c r="F187" s="43">
        <f>LN('2.ΤΙΜΕΣ ΚΛΕΙΣΙΜΑΤΟΣ'!F188/'2.ΤΙΜΕΣ ΚΛΕΙΣΙΜΑΤΟΣ'!F187)</f>
        <v>1.7192400540372771E-2</v>
      </c>
      <c r="G187" s="43">
        <f>LN('2.ΤΙΜΕΣ ΚΛΕΙΣΙΜΑΤΟΣ'!G188/'2.ΤΙΜΕΣ ΚΛΕΙΣΙΜΑΤΟΣ'!G187)</f>
        <v>3.315220731690055E-2</v>
      </c>
      <c r="H187" s="43">
        <f>LN('2.ΤΙΜΕΣ ΚΛΕΙΣΙΜΑΤΟΣ'!H188/'2.ΤΙΜΕΣ ΚΛΕΙΣΙΜΑΤΟΣ'!H187)</f>
        <v>1.930502530057845E-3</v>
      </c>
      <c r="I187" s="43">
        <f>LN('2.ΤΙΜΕΣ ΚΛΕΙΣΙΜΑΤΟΣ'!I188/'2.ΤΙΜΕΣ ΚΛΕΙΣΙΜΑΤΟΣ'!I187)</f>
        <v>0</v>
      </c>
      <c r="J187" s="43">
        <f>LN('2.ΤΙΜΕΣ ΚΛΕΙΣΙΜΑΤΟΣ'!J188/'2.ΤΙΜΕΣ ΚΛΕΙΣΙΜΑΤΟΣ'!J187)</f>
        <v>1.7693668068925011E-2</v>
      </c>
      <c r="K187" s="43">
        <f>LN('2.ΤΙΜΕΣ ΚΛΕΙΣΙΜΑΤΟΣ'!K188/'2.ΤΙΜΕΣ ΚΛΕΙΣΙΜΑΤΟΣ'!K187)</f>
        <v>2.3157646675230938E-2</v>
      </c>
      <c r="L187" s="43">
        <f>LN('2.ΤΙΜΕΣ ΚΛΕΙΣΙΜΑΤΟΣ'!L188/'2.ΤΙΜΕΣ ΚΛΕΙΣΙΜΑΤΟΣ'!L187)</f>
        <v>-2.0408170348527872E-3</v>
      </c>
      <c r="M187" s="43">
        <f>LN('2.ΤΙΜΕΣ ΚΛΕΙΣΙΜΑΤΟΣ'!M188/'2.ΤΙΜΕΣ ΚΛΕΙΣΙΜΑΤΟΣ'!M187)</f>
        <v>1.5814773466021725E-2</v>
      </c>
      <c r="N187" s="43">
        <f>LN('2.ΤΙΜΕΣ ΚΛΕΙΣΙΜΑΤΟΣ'!N188/'2.ΤΙΜΕΣ ΚΛΕΙΣΙΜΑΤΟΣ'!N187)</f>
        <v>2.5217346962168774E-3</v>
      </c>
      <c r="O187" s="43">
        <f>LN('2.ΤΙΜΕΣ ΚΛΕΙΣΙΜΑΤΟΣ'!O188/'2.ΤΙΜΕΣ ΚΛΕΙΣΙΜΑΤΟΣ'!O187)</f>
        <v>3.9551798429277932E-3</v>
      </c>
      <c r="P187" s="43">
        <f>LN('2.ΤΙΜΕΣ ΚΛΕΙΣΙΜΑΤΟΣ'!P188/'2.ΤΙΜΕΣ ΚΛΕΙΣΙΜΑΤΟΣ'!P187)</f>
        <v>3.0015895940265786E-2</v>
      </c>
      <c r="Q187" s="43">
        <f>LN('2.ΤΙΜΕΣ ΚΛΕΙΣΙΜΑΤΟΣ'!Q188/'2.ΤΙΜΕΣ ΚΛΕΙΣΙΜΑΤΟΣ'!Q187)</f>
        <v>2.3530497410194036E-2</v>
      </c>
      <c r="R187" s="43">
        <f>LN('2.ΤΙΜΕΣ ΚΛΕΙΣΙΜΑΤΟΣ'!R188/'2.ΤΙΜΕΣ ΚΛΕΙΣΙΜΑΤΟΣ'!R187)</f>
        <v>2.2901764286684414E-2</v>
      </c>
      <c r="S187" s="43">
        <f>LN('2.ΤΙΜΕΣ ΚΛΕΙΣΙΜΑΤΟΣ'!S188/'2.ΤΙΜΕΣ ΚΛΕΙΣΙΜΑΤΟΣ'!S187)</f>
        <v>-2.3781224049673243E-3</v>
      </c>
      <c r="T187" s="43">
        <f>LN('2.ΤΙΜΕΣ ΚΛΕΙΣΙΜΑΤΟΣ'!T188/'2.ΤΙΜΕΣ ΚΛΕΙΣΙΜΑΤΟΣ'!T187)</f>
        <v>1.3568729206068796E-2</v>
      </c>
      <c r="U187" s="43">
        <f>LN('2.ΤΙΜΕΣ ΚΛΕΙΣΙΜΑΤΟΣ'!U188/'2.ΤΙΜΕΣ ΚΛΕΙΣΙΜΑΤΟΣ'!U187)</f>
        <v>-2.0942416031148482E-3</v>
      </c>
      <c r="V187" s="43">
        <f>LN('2.ΤΙΜΕΣ ΚΛΕΙΣΙΜΑΤΟΣ'!V188/'2.ΤΙΜΕΣ ΚΛΕΙΣΙΜΑΤΟΣ'!V187)</f>
        <v>3.9130423775765019E-2</v>
      </c>
      <c r="W187" s="43">
        <f>LN('2.ΤΙΜΕΣ ΚΛΕΙΣΙΜΑΤΟΣ'!W188/'2.ΤΙΜΕΣ ΚΛΕΙΣΙΜΑΤΟΣ'!W187)</f>
        <v>0</v>
      </c>
      <c r="X187" s="43">
        <f>LN('2.ΤΙΜΕΣ ΚΛΕΙΣΙΜΑΤΟΣ'!X188/'2.ΤΙΜΕΣ ΚΛΕΙΣΙΜΑΤΟΣ'!X187)</f>
        <v>1.5037877364540502E-2</v>
      </c>
      <c r="Y187" s="43">
        <f>LN('2.ΤΙΜΕΣ ΚΛΕΙΣΙΜΑΤΟΣ'!Y188/'2.ΤΙΜΕΣ ΚΛΕΙΣΙΜΑΤΟΣ'!Y187)</f>
        <v>8.7912654111707237E-3</v>
      </c>
      <c r="Z187" s="43">
        <f>LN('2.ΤΙΜΕΣ ΚΛΕΙΣΙΜΑΤΟΣ'!Z188/'2.ΤΙΜΕΣ ΚΛΕΙΣΙΜΑΤΟΣ'!Z187)</f>
        <v>-1.0810916104215506E-2</v>
      </c>
      <c r="AA187" s="43">
        <f>LN('2.ΤΙΜΕΣ ΚΛΕΙΣΙΜΑΤΟΣ'!AA188/'2.ΤΙΜΕΣ ΚΛΕΙΣΙΜΑΤΟΣ'!AA187)</f>
        <v>1.6529301951210506E-2</v>
      </c>
      <c r="AB187" s="43">
        <f>LN('2.ΤΙΜΕΣ ΚΛΕΙΣΙΜΑΤΟΣ'!AB188/'2.ΤΙΜΕΣ ΚΛΕΙΣΙΜΑΤΟΣ'!AB187)</f>
        <v>1.2037978559478878E-2</v>
      </c>
      <c r="AC187" s="43">
        <f>LN('2.ΤΙΜΕΣ ΚΛΕΙΣΙΜΑΤΟΣ'!AC188/'2.ΤΙΜΕΣ ΚΛΕΙΣΙΜΑΤΟΣ'!AC187)</f>
        <v>-1.0840214552864833E-2</v>
      </c>
      <c r="AD187" s="43">
        <f>LN('2.ΤΙΜΕΣ ΚΛΕΙΣΙΜΑΤΟΣ'!AD188/'2.ΤΙΜΕΣ ΚΛΕΙΣΙΜΑΤΟΣ'!AD187)</f>
        <v>2.2439236191277804E-2</v>
      </c>
      <c r="AE187" s="43">
        <f>LN('2.ΤΙΜΕΣ ΚΛΕΙΣΙΜΑΤΟΣ'!AE188/'2.ΤΙΜΕΣ ΚΛΕΙΣΙΜΑΤΟΣ'!AE187)</f>
        <v>-1.0850016024065705E-2</v>
      </c>
      <c r="AF187" s="43">
        <f>LN('2.ΤΙΜΕΣ ΚΛΕΙΣΙΜΑΤΟΣ'!AF188/'2.ΤΙΜΕΣ ΚΛΕΙΣΙΜΑΤΟΣ'!AF187)</f>
        <v>5.9701669865037544E-3</v>
      </c>
      <c r="AG187" s="43">
        <f>LN('2.ΤΙΜΕΣ ΚΛΕΙΣΙΜΑΤΟΣ'!AG188/'2.ΤΙΜΕΣ ΚΛΕΙΣΙΜΑΤΟΣ'!AG187)</f>
        <v>-2.4660924951935542E-3</v>
      </c>
      <c r="AH187" s="43">
        <f>LN('2.ΤΙΜΕΣ ΚΛΕΙΣΙΜΑΤΟΣ'!AH188/'2.ΤΙΜΕΣ ΚΛΕΙΣΙΜΑΤΟΣ'!AH187)</f>
        <v>5.1590828100274233E-3</v>
      </c>
      <c r="AI187" s="43">
        <f>LN('2.ΤΙΜΕΣ ΚΛΕΙΣΙΜΑΤΟΣ'!AI188/'2.ΤΙΜΕΣ ΚΛΕΙΣΙΜΑΤΟΣ'!AI187)</f>
        <v>1.3698844358161927E-2</v>
      </c>
      <c r="AJ187" s="43">
        <f>LN('2.ΤΙΜΕΣ ΚΛΕΙΣΙΜΑΤΟΣ'!AJ188/'2.ΤΙΜΕΣ ΚΛΕΙΣΙΜΑΤΟΣ'!AJ187)</f>
        <v>4.1067819526532812E-3</v>
      </c>
      <c r="AK187" s="43">
        <f>LN('2.ΤΙΜΕΣ ΚΛΕΙΣΙΜΑΤΟΣ'!AK188/'2.ΤΙΜΕΣ ΚΛΕΙΣΙΜΑΤΟΣ'!AK187)</f>
        <v>-4.9382816405824544E-3</v>
      </c>
      <c r="AL187" s="43">
        <f>LN('2.ΤΙΜΕΣ ΚΛΕΙΣΙΜΑΤΟΣ'!AL188/'2.ΤΙΜΕΣ ΚΛΕΙΣΙΜΑΤΟΣ'!AL187)</f>
        <v>-2.1506205220963619E-2</v>
      </c>
      <c r="AM187" s="43">
        <f>LN('2.ΤΙΜΕΣ ΚΛΕΙΣΙΜΑΤΟΣ'!AM188/'2.ΤΙΜΕΣ ΚΛΕΙΣΙΜΑΤΟΣ'!AM187)</f>
        <v>-1.1428695823622744E-2</v>
      </c>
      <c r="AN187" s="43">
        <f>LN('2.ΤΙΜΕΣ ΚΛΕΙΣΙΜΑΤΟΣ'!AN188/'2.ΤΙΜΕΣ ΚΛΕΙΣΙΜΑΤΟΣ'!AN187)</f>
        <v>6.6298585386695818E-3</v>
      </c>
      <c r="AO187" s="43">
        <f>LN('2.ΤΙΜΕΣ ΚΛΕΙΣΙΜΑΤΟΣ'!AO188/'2.ΤΙΜΕΣ ΚΛΕΙΣΙΜΑΤΟΣ'!AO187)</f>
        <v>1.1696039763191236E-2</v>
      </c>
      <c r="AP187" s="43">
        <f>LN('2.ΤΙΜΕΣ ΚΛΕΙΣΙΜΑΤΟΣ'!AP188/'2.ΤΙΜΕΣ ΚΛΕΙΣΙΜΑΤΟΣ'!AP187)</f>
        <v>8.0972102326195231E-3</v>
      </c>
      <c r="AQ187" s="43">
        <f>LN('2.ΤΙΜΕΣ ΚΛΕΙΣΙΜΑΤΟΣ'!AQ188/'2.ΤΙΜΕΣ ΚΛΕΙΣΙΜΑΤΟΣ'!AQ187)</f>
        <v>1.7115332219267962E-2</v>
      </c>
      <c r="AR187" s="43">
        <f>LN('2.ΤΙΜΕΣ ΚΛΕΙΣΙΜΑΤΟΣ'!AR188/'2.ΤΙΜΕΣ ΚΛΕΙΣΙΜΑΤΟΣ'!AR187)</f>
        <v>9.370188287584541E-3</v>
      </c>
      <c r="AS187" s="43">
        <f>LN('2.ΤΙΜΕΣ ΚΛΕΙΣΙΜΑΤΟΣ'!AS188/'2.ΤΙΜΕΣ ΚΛΕΙΣΙΜΑΤΟΣ'!AS187)</f>
        <v>-6.34922767865878E-3</v>
      </c>
      <c r="AT187" s="43">
        <f>LN('2.ΤΙΜΕΣ ΚΛΕΙΣΙΜΑΤΟΣ'!AT188/'2.ΤΙΜΕΣ ΚΛΕΙΣΙΜΑΤΟΣ'!AT187)</f>
        <v>-2.8610534041265775E-2</v>
      </c>
      <c r="AU187" s="43">
        <f>LN('2.ΤΙΜΕΣ ΚΛΕΙΣΙΜΑΤΟΣ'!AU188/'2.ΤΙΜΕΣ ΚΛΕΙΣΙΜΑΤΟΣ'!AU187)</f>
        <v>8.7504513485479295E-3</v>
      </c>
    </row>
    <row r="188" spans="1:47">
      <c r="A188" s="41">
        <v>43829</v>
      </c>
      <c r="B188" s="43">
        <f>LN('2.ΤΙΜΕΣ ΚΛΕΙΣΙΜΑΤΟΣ'!B189/'2.ΤΙΜΕΣ ΚΛΕΙΣΙΜΑΤΟΣ'!B188)</f>
        <v>2.6367846523031938E-3</v>
      </c>
      <c r="C188" s="43">
        <f>LN('2.ΤΙΜΕΣ ΚΛΕΙΣΙΜΑΤΟΣ'!C189/'2.ΤΙΜΕΣ ΚΛΕΙΣΙΜΑΤΟΣ'!C188)</f>
        <v>-1.3937507843781624E-2</v>
      </c>
      <c r="D188" s="43">
        <f>LN('2.ΤΙΜΕΣ ΚΛΕΙΣΙΜΑΤΟΣ'!D189/'2.ΤΙΜΕΣ ΚΛΕΙΣΙΜΑΤΟΣ'!D188)</f>
        <v>6.8493418455747683E-3</v>
      </c>
      <c r="E188" s="43">
        <f>LN('2.ΤΙΜΕΣ ΚΛΕΙΣΙΜΑΤΟΣ'!E189/'2.ΤΙΜΕΣ ΚΛΕΙΣΙΜΑΤΟΣ'!E188)</f>
        <v>4.8793807840934881E-3</v>
      </c>
      <c r="F188" s="43">
        <f>LN('2.ΤΙΜΕΣ ΚΛΕΙΣΙΜΑΤΟΣ'!F189/'2.ΤΙΜΕΣ ΚΛΕΙΣΙΜΑΤΟΣ'!F188)</f>
        <v>-1.2578782206860298E-2</v>
      </c>
      <c r="G188" s="43">
        <f>LN('2.ΤΙΜΕΣ ΚΛΕΙΣΙΜΑΤΟΣ'!G189/'2.ΤΙΜΕΣ ΚΛΕΙΣΙΜΑΤΟΣ'!G188)</f>
        <v>-1.2028575865607146E-2</v>
      </c>
      <c r="H188" s="43">
        <f>LN('2.ΤΙΜΕΣ ΚΛΕΙΣΙΜΑΤΟΣ'!H189/'2.ΤΙΜΕΣ ΚΛΕΙΣΙΜΑΤΟΣ'!H188)</f>
        <v>9.597002641009704E-3</v>
      </c>
      <c r="I188" s="43">
        <f>LN('2.ΤΙΜΕΣ ΚΛΕΙΣΙΜΑΤΟΣ'!I189/'2.ΤΙΜΕΣ ΚΛΕΙΣΙΜΑΤΟΣ'!I188)</f>
        <v>-6.2794554848431359E-3</v>
      </c>
      <c r="J188" s="43">
        <f>LN('2.ΤΙΜΕΣ ΚΛΕΙΣΙΜΑΤΟΣ'!J189/'2.ΤΙΜΕΣ ΚΛΕΙΣΙΜΑΤΟΣ'!J188)</f>
        <v>-7.3065751824380274E-3</v>
      </c>
      <c r="K188" s="43">
        <f>LN('2.ΤΙΜΕΣ ΚΛΕΙΣΙΜΑΤΟΣ'!K189/'2.ΤΙΜΕΣ ΚΛΕΙΣΙΜΑΤΟΣ'!K188)</f>
        <v>-1.9465334788103351E-2</v>
      </c>
      <c r="L188" s="43">
        <f>LN('2.ΤΙΜΕΣ ΚΛΕΙΣΙΜΑΤΟΣ'!L189/'2.ΤΙΜΕΣ ΚΛΕΙΣΙΜΑΤΟΣ'!L188)</f>
        <v>5.0942545217430935E-3</v>
      </c>
      <c r="M188" s="43">
        <f>LN('2.ΤΙΜΕΣ ΚΛΕΙΣΙΜΑΤΟΣ'!M189/'2.ΤΙΜΕΣ ΚΛΕΙΣΙΜΑΤΟΣ'!M188)</f>
        <v>4.175371410480592E-3</v>
      </c>
      <c r="N188" s="43">
        <f>LN('2.ΤΙΜΕΣ ΚΛΕΙΣΙΜΑΤΟΣ'!N189/'2.ΤΙΜΕΣ ΚΛΕΙΣΙΜΑΤΟΣ'!N188)</f>
        <v>-5.1830802457311035E-3</v>
      </c>
      <c r="O188" s="43">
        <f>LN('2.ΤΙΜΕΣ ΚΛΕΙΣΙΜΑΤΟΣ'!O189/'2.ΤΙΜΕΣ ΚΛΕΙΣΙΜΑΤΟΣ'!O188)</f>
        <v>-1.1912781516242E-2</v>
      </c>
      <c r="P188" s="43">
        <f>LN('2.ΤΙΜΕΣ ΚΛΕΙΣΙΜΑΤΟΣ'!P189/'2.ΤΙΜΕΣ ΚΛΕΙΣΙΜΑΤΟΣ'!P188)</f>
        <v>1.8642350809279774E-2</v>
      </c>
      <c r="Q188" s="43">
        <f>LN('2.ΤΙΜΕΣ ΚΛΕΙΣΙΜΑΤΟΣ'!Q189/'2.ΤΙΜΕΣ ΚΛΕΙΣΙΜΑΤΟΣ'!Q188)</f>
        <v>-5.9980186485535008E-3</v>
      </c>
      <c r="R188" s="43">
        <f>LN('2.ΤΙΜΕΣ ΚΛΕΙΣΙΜΑΤΟΣ'!R189/'2.ΤΙΜΕΣ ΚΛΕΙΣΙΜΑΤΟΣ'!R188)</f>
        <v>-1.8087118491144111E-2</v>
      </c>
      <c r="S188" s="43">
        <f>LN('2.ΤΙΜΕΣ ΚΛΕΙΣΙΜΑΤΟΣ'!S189/'2.ΤΙΜΕΣ ΚΛΕΙΣΙΜΑΤΟΣ'!S188)</f>
        <v>2.3530497410194036E-2</v>
      </c>
      <c r="T188" s="43">
        <f>LN('2.ΤΙΜΕΣ ΚΛΕΙΣΙΜΑΤΟΣ'!T189/'2.ΤΙΜΕΣ ΚΛΕΙΣΙΜΑΤΟΣ'!T188)</f>
        <v>-5.405418566907935E-3</v>
      </c>
      <c r="U188" s="43">
        <f>LN('2.ΤΙΜΕΣ ΚΛΕΙΣΙΜΑΤΟΣ'!U189/'2.ΤΙΜΕΣ ΚΛΕΙΣΙΜΑΤΟΣ'!U188)</f>
        <v>-1.2658396871923354E-2</v>
      </c>
      <c r="V188" s="43">
        <f>LN('2.ΤΙΜΕΣ ΚΛΕΙΣΙΜΑΤΟΣ'!V189/'2.ΤΙΜΕΣ ΚΛΕΙΣΙΜΑΤΟΣ'!V188)</f>
        <v>-6.7950431328286896E-3</v>
      </c>
      <c r="W188" s="43">
        <f>LN('2.ΤΙΜΕΣ ΚΛΕΙΣΙΜΑΤΟΣ'!W189/'2.ΤΙΜΕΣ ΚΛΕΙΣΙΜΑΤΟΣ'!W188)</f>
        <v>-1.191185370153118E-3</v>
      </c>
      <c r="X188" s="43">
        <f>LN('2.ΤΙΜΕΣ ΚΛΕΙΣΙΜΑΤΟΣ'!X189/'2.ΤΙΜΕΣ ΚΛΕΙΣΙΜΑΤΟΣ'!X188)</f>
        <v>-3.2872745000574674E-2</v>
      </c>
      <c r="Y188" s="43">
        <f>LN('2.ΤΙΜΕΣ ΚΛΕΙΣΙΜΑΤΟΣ'!Y189/'2.ΤΙΜΕΣ ΚΛΕΙΣΙΜΑΤΟΣ'!Y188)</f>
        <v>1.4122994111704933E-2</v>
      </c>
      <c r="Z188" s="43">
        <f>LN('2.ΤΙΜΕΣ ΚΛΕΙΣΙΜΑΤΟΣ'!Z189/'2.ΤΙΜΕΣ ΚΛΕΙΣΙΜΑΤΟΣ'!Z188)</f>
        <v>-2.1978906718775341E-2</v>
      </c>
      <c r="AA188" s="43">
        <f>LN('2.ΤΙΜΕΣ ΚΛΕΙΣΙΜΑΤΟΣ'!AA189/'2.ΤΙΜΕΣ ΚΛΕΙΣΙΜΑΤΟΣ'!AA188)</f>
        <v>0</v>
      </c>
      <c r="AB188" s="43">
        <f>LN('2.ΤΙΜΕΣ ΚΛΕΙΣΙΜΑΤΟΣ'!AB189/'2.ΤΙΜΕΣ ΚΛΕΙΣΙΜΑΤΟΣ'!AB188)</f>
        <v>-2.5975486403260563E-2</v>
      </c>
      <c r="AC188" s="43">
        <f>LN('2.ΤΙΜΕΣ ΚΛΕΙΣΙΜΑΤΟΣ'!AC189/'2.ΤΙΜΕΣ ΚΛΕΙΣΙΜΑΤΟΣ'!AC188)</f>
        <v>-2.3433188014895287E-2</v>
      </c>
      <c r="AD188" s="43">
        <f>LN('2.ΤΙΜΕΣ ΚΛΕΙΣΙΜΑΤΟΣ'!AD189/'2.ΤΙΜΕΣ ΚΛΕΙΣΙΜΑΤΟΣ'!AD188)</f>
        <v>4.4280515157320037E-3</v>
      </c>
      <c r="AE188" s="43">
        <f>LN('2.ΤΙΜΕΣ ΚΛΕΙΣΙΜΑΤΟΣ'!AE189/'2.ΤΙΜΕΣ ΚΛΕΙΣΙΜΑΤΟΣ'!AE188)</f>
        <v>0</v>
      </c>
      <c r="AF188" s="43">
        <f>LN('2.ΤΙΜΕΣ ΚΛΕΙΣΙΜΑΤΟΣ'!AF189/'2.ΤΙΜΕΣ ΚΛΕΙΣΙΜΑΤΟΣ'!AF188)</f>
        <v>8.2988028146950641E-3</v>
      </c>
      <c r="AG188" s="43">
        <f>LN('2.ΤΙΜΕΣ ΚΛΕΙΣΙΜΑΤΟΣ'!AG189/'2.ΤΙΜΕΣ ΚΛΕΙΣΙΜΑΤΟΣ'!AG188)</f>
        <v>-7.4349784875180902E-3</v>
      </c>
      <c r="AH188" s="43">
        <f>LN('2.ΤΙΜΕΣ ΚΛΕΙΣΙΜΑΤΟΣ'!AH189/'2.ΤΙΜΕΣ ΚΛΕΙΣΙΜΑΤΟΣ'!AH188)</f>
        <v>-5.1590828100273357E-3</v>
      </c>
      <c r="AI188" s="43">
        <f>LN('2.ΤΙΜΕΣ ΚΛΕΙΣΙΜΑΤΟΣ'!AI189/'2.ΤΙΜΕΣ ΚΛΕΙΣΙΜΑΤΟΣ'!AI188)</f>
        <v>0</v>
      </c>
      <c r="AJ188" s="43">
        <f>LN('2.ΤΙΜΕΣ ΚΛΕΙΣΙΜΑΤΟΣ'!AJ189/'2.ΤΙΜΕΣ ΚΛΕΙΣΙΜΑΤΟΣ'!AJ188)</f>
        <v>-2.4897551621727201E-2</v>
      </c>
      <c r="AK188" s="43">
        <f>LN('2.ΤΙΜΕΣ ΚΛΕΙΣΙΜΑΤΟΣ'!AK189/'2.ΤΙΜΕΣ ΚΛΕΙΣΙΜΑΤΟΣ'!AK188)</f>
        <v>0</v>
      </c>
      <c r="AL188" s="43">
        <f>LN('2.ΤΙΜΕΣ ΚΛΕΙΣΙΜΑΤΟΣ'!AL189/'2.ΤΙΜΕΣ ΚΛΕΙΣΙΜΑΤΟΣ'!AL188)</f>
        <v>0</v>
      </c>
      <c r="AM188" s="43">
        <f>LN('2.ΤΙΜΕΣ ΚΛΕΙΣΙΜΑΤΟΣ'!AM189/'2.ΤΙΜΕΣ ΚΛΕΙΣΙΜΑΤΟΣ'!AM188)</f>
        <v>-5.7637047167501294E-3</v>
      </c>
      <c r="AN188" s="43">
        <f>LN('2.ΤΙΜΕΣ ΚΛΕΙΣΙΜΑΤΟΣ'!AN189/'2.ΤΙΜΕΣ ΚΛΕΙΣΙΜΑΤΟΣ'!AN188)</f>
        <v>-6.6298585386696885E-3</v>
      </c>
      <c r="AO188" s="43">
        <f>LN('2.ΤΙΜΕΣ ΚΛΕΙΣΙΜΑΤΟΣ'!AO189/'2.ΤΙΜΕΣ ΚΛΕΙΣΙΜΑΤΟΣ'!AO188)</f>
        <v>1.1560822401076006E-2</v>
      </c>
      <c r="AP188" s="43">
        <f>LN('2.ΤΙΜΕΣ ΚΛΕΙΣΙΜΑΤΟΣ'!AP189/'2.ΤΙΜΕΣ ΚΛΕΙΣΙΜΑΤΟΣ'!AP188)</f>
        <v>-2.6917916657115256E-3</v>
      </c>
      <c r="AQ188" s="43">
        <f>LN('2.ΤΙΜΕΣ ΚΛΕΙΣΙΜΑΤΟΣ'!AQ189/'2.ΤΙΜΕΣ ΚΛΕΙΣΙΜΑΤΟΣ'!AQ188)</f>
        <v>-9.7442914746781635E-3</v>
      </c>
      <c r="AR188" s="43">
        <f>LN('2.ΤΙΜΕΣ ΚΛΕΙΣΙΜΑΤΟΣ'!AR189/'2.ΤΙΜΕΣ ΚΛΕΙΣΙΜΑΤΟΣ'!AR188)</f>
        <v>-1.0368067284403603E-3</v>
      </c>
      <c r="AS188" s="43">
        <f>LN('2.ΤΙΜΕΣ ΚΛΕΙΣΙΜΑΤΟΣ'!AS189/'2.ΤΙΜΕΣ ΚΛΕΙΣΙΜΑΤΟΣ'!AS188)</f>
        <v>5.5741983008235164E-2</v>
      </c>
      <c r="AT188" s="43">
        <f>LN('2.ΤΙΜΕΣ ΚΛΕΙΣΙΜΑΤΟΣ'!AT189/'2.ΤΙΜΕΣ ΚΛΕΙΣΙΜΑΤΟΣ'!AT188)</f>
        <v>-2.1334142474991172E-2</v>
      </c>
      <c r="AU188" s="43">
        <f>LN('2.ΤΙΜΕΣ ΚΛΕΙΣΙΜΑΤΟΣ'!AU189/'2.ΤΙΜΕΣ ΚΛΕΙΣΙΜΑΤΟΣ'!AU188)</f>
        <v>-2.9918480918072502E-3</v>
      </c>
    </row>
    <row r="189" spans="1:47">
      <c r="A189" s="41">
        <v>43830</v>
      </c>
      <c r="B189" s="43">
        <f>LN('2.ΤΙΜΕΣ ΚΛΕΙΣΙΜΑΤΟΣ'!B190/'2.ΤΙΜΕΣ ΚΛΕΙΣΙΜΑΤΟΣ'!B189)</f>
        <v>-6.9364439966569866E-3</v>
      </c>
      <c r="C189" s="43">
        <f>LN('2.ΤΙΜΕΣ ΚΛΕΙΣΙΜΑΤΟΣ'!C190/'2.ΤΙΜΕΣ ΚΛΕΙΣΙΜΑΤΟΣ'!C189)</f>
        <v>7.0150827149030332E-4</v>
      </c>
      <c r="D189" s="43">
        <f>LN('2.ΤΙΜΕΣ ΚΛΕΙΣΙΜΑΤΟΣ'!D190/'2.ΤΙΜΕΣ ΚΛΕΙΣΙΜΑΤΟΣ'!D189)</f>
        <v>-1.201731200401744E-2</v>
      </c>
      <c r="E189" s="43">
        <f>LN('2.ΤΙΜΕΣ ΚΛΕΙΣΙΜΑΤΟΣ'!E190/'2.ΤΙΜΕΣ ΚΛΕΙΣΙΜΑΤΟΣ'!E189)</f>
        <v>3.2397436544107962E-3</v>
      </c>
      <c r="F189" s="43">
        <f>LN('2.ΤΙΜΕΣ ΚΛΕΙΣΙΜΑΤΟΣ'!F190/'2.ΤΙΜΕΣ ΚΛΕΙΣΙΜΑΤΟΣ'!F189)</f>
        <v>9.1638671067910109E-3</v>
      </c>
      <c r="G189" s="43">
        <f>LN('2.ΤΙΜΕΣ ΚΛΕΙΣΙΜΑΤΟΣ'!G190/'2.ΤΙΜΕΣ ΚΛΕΙΣΙΜΑΤΟΣ'!G189)</f>
        <v>1.2028575865607122E-2</v>
      </c>
      <c r="H189" s="43">
        <f>LN('2.ΤΙΜΕΣ ΚΛΕΙΣΙΜΑΤΟΣ'!H190/'2.ΤΙΜΕΣ ΚΛΕΙΣΙΜΑΤΟΣ'!H189)</f>
        <v>-1.5399726853576936E-2</v>
      </c>
      <c r="I189" s="43">
        <f>LN('2.ΤΙΜΕΣ ΚΛΕΙΣΙΜΑΤΟΣ'!I190/'2.ΤΙΜΕΣ ΚΛΕΙΣΙΜΑΤΟΣ'!I189)</f>
        <v>9.4044580279784191E-3</v>
      </c>
      <c r="J189" s="43">
        <f>LN('2.ΤΙΜΕΣ ΚΛΕΙΣΙΜΑΤΟΣ'!J190/'2.ΤΙΜΕΣ ΚΛΕΙΣΙΜΑΤΟΣ'!J189)</f>
        <v>6.6445427186685108E-3</v>
      </c>
      <c r="K189" s="43">
        <f>LN('2.ΤΙΜΕΣ ΚΛΕΙΣΙΜΑΤΟΣ'!K190/'2.ΤΙΜΕΣ ΚΛΕΙΣΙΜΑΤΟΣ'!K189)</f>
        <v>1.0995834674529522E-2</v>
      </c>
      <c r="L189" s="43">
        <f>LN('2.ΤΙΜΕΣ ΚΛΕΙΣΙΜΑΤΟΣ'!L190/'2.ΤΙΜΕΣ ΚΛΕΙΣΙΜΑΤΟΣ'!L189)</f>
        <v>-6.1162270174360944E-3</v>
      </c>
      <c r="M189" s="43">
        <f>LN('2.ΤΙΜΕΣ ΚΛΕΙΣΙΜΑΤΟΣ'!M190/'2.ΤΙΜΕΣ ΚΛΕΙΣΙΜΑΤΟΣ'!M189)</f>
        <v>-1.2578782206860073E-2</v>
      </c>
      <c r="N189" s="43">
        <f>LN('2.ΤΙΜΕΣ ΚΛΕΙΣΙΜΑΤΟΣ'!N190/'2.ΤΙΜΕΣ ΚΛΕΙΣΙΜΑΤΟΣ'!N189)</f>
        <v>0</v>
      </c>
      <c r="O189" s="43">
        <f>LN('2.ΤΙΜΕΣ ΚΛΕΙΣΙΜΑΤΟΣ'!O190/'2.ΤΙΜΕΣ ΚΛΕΙΣΙΜΑΤΟΣ'!O189)</f>
        <v>5.3120974848898843E-3</v>
      </c>
      <c r="P189" s="43">
        <f>LN('2.ΤΙΜΕΣ ΚΛΕΙΣΙΜΑΤΟΣ'!P190/'2.ΤΙΜΕΣ ΚΛΕΙΣΙΜΑΤΟΣ'!P189)</f>
        <v>-1.320132204922844E-3</v>
      </c>
      <c r="Q189" s="43">
        <f>LN('2.ΤΙΜΕΣ ΚΛΕΙΣΙΜΑΤΟΣ'!Q190/'2.ΤΙΜΕΣ ΚΛΕΙΣΙΜΑΤΟΣ'!Q189)</f>
        <v>-6.6867270963569822E-4</v>
      </c>
      <c r="R189" s="43">
        <f>LN('2.ΤΙΜΕΣ ΚΛΕΙΣΙΜΑΤΟΣ'!R190/'2.ΤΙΜΕΣ ΚΛΕΙΣΙΜΑΤΟΣ'!R189)</f>
        <v>-8.1987437797810207E-3</v>
      </c>
      <c r="S189" s="43">
        <f>LN('2.ΤΙΜΕΣ ΚΛΕΙΣΙΜΑΤΟΣ'!S190/'2.ΤΙΜΕΣ ΚΛΕΙΣΙΜΑΤΟΣ'!S189)</f>
        <v>-9.345862418237658E-3</v>
      </c>
      <c r="T189" s="43">
        <f>LN('2.ΤΙΜΕΣ ΚΛΕΙΣΙΜΑΤΟΣ'!T190/'2.ΤΙΜΕΣ ΚΛΕΙΣΙΜΑΤΟΣ'!T189)</f>
        <v>-2.1918685707646275E-2</v>
      </c>
      <c r="U189" s="43">
        <f>LN('2.ΤΙΜΕΣ ΚΛΕΙΣΙΜΑΤΟΣ'!U190/'2.ΤΙΜΕΣ ΚΛΕΙΣΙΜΑΤΟΣ'!U189)</f>
        <v>-1.4973541790162593E-2</v>
      </c>
      <c r="V189" s="43">
        <f>LN('2.ΤΙΜΕΣ ΚΛΕΙΣΙΜΑΤΟΣ'!V190/'2.ΤΙΜΕΣ ΚΛΕΙΣΙΜΑΤΟΣ'!V189)</f>
        <v>-6.8415318167166003E-3</v>
      </c>
      <c r="W189" s="43">
        <f>LN('2.ΤΙΜΕΣ ΚΛΕΙΣΙΜΑΤΟΣ'!W190/'2.ΤΙΜΕΣ ΚΛΕΙΣΙΜΑΤΟΣ'!W189)</f>
        <v>1.1911853701530102E-3</v>
      </c>
      <c r="X189" s="43">
        <f>LN('2.ΤΙΜΕΣ ΚΛΕΙΣΙΜΑΤΟΣ'!X190/'2.ΤΙΜΕΣ ΚΛΕΙΣΙΜΑΤΟΣ'!X189)</f>
        <v>1.2771565679487539E-2</v>
      </c>
      <c r="Y189" s="43">
        <f>LN('2.ΤΙΜΕΣ ΚΛΕΙΣΙΜΑΤΟΣ'!Y190/'2.ΤΙΜΕΣ ΚΛΕΙΣΙΜΑΤΟΣ'!Y189)</f>
        <v>0</v>
      </c>
      <c r="Z189" s="43">
        <f>LN('2.ΤΙΜΕΣ ΚΛΕΙΣΙΜΑΤΟΣ'!Z190/'2.ΤΙΜΕΣ ΚΛΕΙΣΙΜΑΤΟΣ'!Z189)</f>
        <v>2.1978906718775382E-2</v>
      </c>
      <c r="AA189" s="43">
        <f>LN('2.ΤΙΜΕΣ ΚΛΕΙΣΙΜΑΤΟΣ'!AA190/'2.ΤΙΜΕΣ ΚΛΕΙΣΙΜΑΤΟΣ'!AA189)</f>
        <v>0</v>
      </c>
      <c r="AB189" s="43">
        <f>LN('2.ΤΙΜΕΣ ΚΛΕΙΣΙΜΑΤΟΣ'!AB190/'2.ΤΙΜΕΣ ΚΛΕΙΣΙΜΑΤΟΣ'!AB189)</f>
        <v>1.5666116744399456E-2</v>
      </c>
      <c r="AC189" s="43">
        <f>LN('2.ΤΙΜΕΣ ΚΛΕΙΣΙΜΑΤΟΣ'!AC190/'2.ΤΙΜΕΣ ΚΛΕΙΣΙΜΑΤΟΣ'!AC189)</f>
        <v>2.3433188014895339E-2</v>
      </c>
      <c r="AD189" s="43">
        <f>LN('2.ΤΙΜΕΣ ΚΛΕΙΣΙΜΑΤΟΣ'!AD190/'2.ΤΙΜΕΣ ΚΛΕΙΣΙΜΑΤΟΣ'!AD189)</f>
        <v>0</v>
      </c>
      <c r="AE189" s="43">
        <f>LN('2.ΤΙΜΕΣ ΚΛΕΙΣΙΜΑΤΟΣ'!AE190/'2.ΤΙΜΕΣ ΚΛΕΙΣΙΜΑΤΟΣ'!AE189)</f>
        <v>2.8675799976666298E-2</v>
      </c>
      <c r="AF189" s="43">
        <f>LN('2.ΤΙΜΕΣ ΚΛΕΙΣΙΜΑΤΟΣ'!AF190/'2.ΤΙΜΕΣ ΚΛΕΙΣΙΜΑΤΟΣ'!AF189)</f>
        <v>4.711433921319663E-3</v>
      </c>
      <c r="AG189" s="43">
        <f>LN('2.ΤΙΜΕΣ ΚΛΕΙΣΙΜΑΤΟΣ'!AG190/'2.ΤΙΜΕΣ ΚΛΕΙΣΙΜΑΤΟΣ'!AG189)</f>
        <v>-1.7566323717899169E-2</v>
      </c>
      <c r="AH189" s="43">
        <f>LN('2.ΤΙΜΕΣ ΚΛΕΙΣΙΜΑΤΟΣ'!AH190/'2.ΤΙΜΕΣ ΚΛΕΙΣΙΜΑΤΟΣ'!AH189)</f>
        <v>1.722653311446156E-3</v>
      </c>
      <c r="AI189" s="43">
        <f>LN('2.ΤΙΜΕΣ ΚΛΕΙΣΙΜΑΤΟΣ'!AI190/'2.ΤΙΜΕΣ ΚΛΕΙΣΙΜΑΤΟΣ'!AI189)</f>
        <v>-2.7587956518828938E-2</v>
      </c>
      <c r="AJ189" s="43">
        <f>LN('2.ΤΙΜΕΣ ΚΛΕΙΣΙΜΑΤΟΣ'!AJ190/'2.ΤΙΜΕΣ ΚΛΕΙΣΙΜΑΤΟΣ'!AJ189)</f>
        <v>8.3682496705165792E-3</v>
      </c>
      <c r="AK189" s="43">
        <f>LN('2.ΤΙΜΕΣ ΚΛΕΙΣΙΜΑΤΟΣ'!AK190/'2.ΤΙΜΕΣ ΚΛΕΙΣΙΜΑΤΟΣ'!AK189)</f>
        <v>-1.2453461071286625E-2</v>
      </c>
      <c r="AL189" s="43">
        <f>LN('2.ΤΙΜΕΣ ΚΛΕΙΣΙΜΑΤΟΣ'!AL190/'2.ΤΙΜΕΣ ΚΛΕΙΣΙΜΑΤΟΣ'!AL189)</f>
        <v>-1.0929070532190317E-2</v>
      </c>
      <c r="AM189" s="43">
        <f>LN('2.ΤΙΜΕΣ ΚΛΕΙΣΙΜΑΤΟΣ'!AM190/'2.ΤΙΜΕΣ ΚΛΕΙΣΙΜΑΤΟΣ'!AM189)</f>
        <v>2.886004889135073E-3</v>
      </c>
      <c r="AN189" s="43">
        <f>LN('2.ΤΙΜΕΣ ΚΛΕΙΣΙΜΑΤΟΣ'!AN190/'2.ΤΙΜΕΣ ΚΛΕΙΣΙΜΑΤΟΣ'!AN189)</f>
        <v>6.6298585386695818E-3</v>
      </c>
      <c r="AO189" s="43">
        <f>LN('2.ΤΙΜΕΣ ΚΛΕΙΣΙΜΑΤΟΣ'!AO190/'2.ΤΙΜΕΣ ΚΛΕΙΣΙΜΑΤΟΣ'!AO189)</f>
        <v>0</v>
      </c>
      <c r="AP189" s="43">
        <f>LN('2.ΤΙΜΕΣ ΚΛΕΙΣΙΜΑΤΟΣ'!AP190/'2.ΤΙΜΕΣ ΚΛΕΙΣΙΜΑΤΟΣ'!AP189)</f>
        <v>5.3763570363804958E-3</v>
      </c>
      <c r="AQ189" s="43">
        <f>LN('2.ΤΙΜΕΣ ΚΛΕΙΣΙΜΑΤΟΣ'!AQ190/'2.ΤΙΜΕΣ ΚΛΕΙΣΙΜΑΤΟΣ'!AQ189)</f>
        <v>1.0955678660975281E-2</v>
      </c>
      <c r="AR189" s="43">
        <f>LN('2.ΤΙΜΕΣ ΚΛΕΙΣΙΜΑΤΟΣ'!AR190/'2.ΤΙΜΕΣ ΚΛΕΙΣΙΜΑΤΟΣ'!AR189)</f>
        <v>-9.3799541298153332E-3</v>
      </c>
      <c r="AS189" s="43">
        <f>LN('2.ΤΙΜΕΣ ΚΛΕΙΣΙΜΑΤΟΣ'!AS190/'2.ΤΙΜΕΣ ΚΛΕΙΣΙΜΑΤΟΣ'!AS189)</f>
        <v>-1.8237587549780901E-2</v>
      </c>
      <c r="AT189" s="43">
        <f>LN('2.ΤΙΜΕΣ ΚΛΕΙΣΙΜΑΤΟΣ'!AT190/'2.ΤΙΜΕΣ ΚΛΕΙΣΙΜΑΤΟΣ'!AT189)</f>
        <v>-8.1191244385042417E-3</v>
      </c>
      <c r="AU189" s="43">
        <f>LN('2.ΤΙΜΕΣ ΚΛΕΙΣΙΜΑΤΟΣ'!AU190/'2.ΤΙΜΕΣ ΚΛΕΙΣΙΜΑΤΟΣ'!AU189)</f>
        <v>-1.2210679318825912E-3</v>
      </c>
    </row>
    <row r="190" spans="1:47">
      <c r="A190" s="41">
        <v>43832</v>
      </c>
      <c r="B190" s="43">
        <f>LN('2.ΤΙΜΕΣ ΚΛΕΙΣΙΜΑΤΟΣ'!B191/'2.ΤΙΜΕΣ ΚΛΕΙΣΙΜΑΤΟΣ'!B190)</f>
        <v>4.2996593443537512E-3</v>
      </c>
      <c r="C190" s="43">
        <f>LN('2.ΤΙΜΕΣ ΚΛΕΙΣΙΜΑΤΟΣ'!C191/'2.ΤΙΜΕΣ ΚΛΕΙΣΙΜΑΤΟΣ'!C190)</f>
        <v>2.8011222797117733E-3</v>
      </c>
      <c r="D190" s="43">
        <f>LN('2.ΤΙΜΕΣ ΚΛΕΙΣΙΜΑΤΟΣ'!D191/'2.ΤΙΜΕΣ ΚΛΕΙΣΙΜΑΤΟΣ'!D190)</f>
        <v>1.7972242404430218E-2</v>
      </c>
      <c r="E190" s="43">
        <f>LN('2.ΤΙΜΕΣ ΚΛΕΙΣΙΜΑΤΟΣ'!E191/'2.ΤΙΜΕΣ ΚΛΕΙΣΙΜΑΤΟΣ'!E190)</f>
        <v>7.518832414027319E-3</v>
      </c>
      <c r="F190" s="43">
        <f>LN('2.ΤΙΜΕΣ ΚΛΕΙΣΙΜΑΤΟΣ'!F191/'2.ΤΙΜΕΣ ΚΛΕΙΣΙΜΑΤΟΣ'!F190)</f>
        <v>1.1396012629335743E-3</v>
      </c>
      <c r="G190" s="43">
        <f>LN('2.ΤΙΜΕΣ ΚΛΕΙΣΙΜΑΤΟΣ'!G191/'2.ΤΙΜΕΣ ΚΛΕΙΣΙΜΑΤΟΣ'!G190)</f>
        <v>-1.0875476873989933E-3</v>
      </c>
      <c r="H190" s="43">
        <f>LN('2.ΤΙΜΕΣ ΚΛΕΙΣΙΜΑΤΟΣ'!H191/'2.ΤΙΜΕΣ ΚΛΕΙΣΙΜΑΤΟΣ'!H190)</f>
        <v>2.9624717784924089E-2</v>
      </c>
      <c r="I190" s="43">
        <f>LN('2.ΤΙΜΕΣ ΚΛΕΙΣΙΜΑΤΟΣ'!I191/'2.ΤΙΜΕΣ ΚΛΕΙΣΙΜΑΤΟΣ'!I190)</f>
        <v>-6.7832245481042469E-3</v>
      </c>
      <c r="J190" s="43">
        <f>LN('2.ΤΙΜΕΣ ΚΛΕΙΣΙΜΑΤΟΣ'!J191/'2.ΤΙΜΕΣ ΚΛΕΙΣΙΜΑΤΟΣ'!J190)</f>
        <v>8.2440697750820625E-3</v>
      </c>
      <c r="K190" s="43">
        <f>LN('2.ΤΙΜΕΣ ΚΛΕΙΣΙΜΑΤΟΣ'!K191/'2.ΤΙΜΕΣ ΚΛΕΙΣΙΜΑΤΟΣ'!K190)</f>
        <v>2.6380426680103871E-2</v>
      </c>
      <c r="L190" s="43">
        <f>LN('2.ΤΙΜΕΣ ΚΛΕΙΣΙΜΑΤΟΣ'!L191/'2.ΤΙΜΕΣ ΚΛΕΙΣΙΜΑΤΟΣ'!L190)</f>
        <v>1.6227536621756754E-2</v>
      </c>
      <c r="M190" s="43">
        <f>LN('2.ΤΙΜΕΣ ΚΛΕΙΣΙΜΑΤΟΣ'!M191/'2.ΤΙΜΕΣ ΚΛΕΙΣΙΜΑΤΟΣ'!M190)</f>
        <v>1.6736792355523826E-2</v>
      </c>
      <c r="N190" s="43">
        <f>LN('2.ΤΙΜΕΣ ΚΛΕΙΣΙΜΑΤΟΣ'!N191/'2.ΤΙΜΕΣ ΚΛΕΙΣΙΜΑΤΟΣ'!N190)</f>
        <v>3.3412869109702079E-2</v>
      </c>
      <c r="O190" s="43">
        <f>LN('2.ΤΙΜΕΣ ΚΛΕΙΣΙΜΑΤΟΣ'!O191/'2.ΤΙΜΕΣ ΚΛΕΙΣΙΜΑΤΟΣ'!O190)</f>
        <v>5.2840281466052059E-3</v>
      </c>
      <c r="P190" s="43">
        <f>LN('2.ΤΙΜΕΣ ΚΛΕΙΣΙΜΑΤΟΣ'!P191/'2.ΤΙΜΕΣ ΚΛΕΙΣΙΜΑΤΟΣ'!P190)</f>
        <v>3.5045766912959096E-2</v>
      </c>
      <c r="Q190" s="43">
        <f>LN('2.ΤΙΜΕΣ ΚΛΕΙΣΙΜΑΤΟΣ'!Q191/'2.ΤΙΜΕΣ ΚΛΕΙΣΙΜΑΤΟΣ'!Q190)</f>
        <v>1.4608493523745263E-2</v>
      </c>
      <c r="R190" s="43">
        <f>LN('2.ΤΙΜΕΣ ΚΛΕΙΣΙΜΑΤΟΣ'!R191/'2.ΤΙΜΕΣ ΚΛΕΙΣΙΜΑΤΟΣ'!R190)</f>
        <v>5.1898438127651235E-2</v>
      </c>
      <c r="S190" s="43">
        <f>LN('2.ΤΙΜΕΣ ΚΛΕΙΣΙΜΑΤΟΣ'!S191/'2.ΤΙΜΕΣ ΚΛΕΙΣΙΜΑΤΟΣ'!S190)</f>
        <v>3.1198370855861118E-2</v>
      </c>
      <c r="T190" s="43">
        <f>LN('2.ΤΙΜΕΣ ΚΛΕΙΣΙΜΑΤΟΣ'!T191/'2.ΤΙΜΕΣ ΚΛΕΙΣΙΜΑΤΟΣ'!T190)</f>
        <v>3.8048067637529964E-2</v>
      </c>
      <c r="U190" s="43">
        <f>LN('2.ΤΙΜΕΣ ΚΛΕΙΣΙΜΑΤΟΣ'!U191/'2.ΤΙΜΕΣ ΚΛΕΙΣΙΜΑΤΟΣ'!U190)</f>
        <v>3.5982717879505813E-2</v>
      </c>
      <c r="V190" s="43">
        <f>LN('2.ΤΙΜΕΣ ΚΛΕΙΣΙΜΑΤΟΣ'!V191/'2.ΤΙΜΕΣ ΚΛΕΙΣΙΜΑΤΟΣ'!V190)</f>
        <v>4.6935989018594762E-2</v>
      </c>
      <c r="W190" s="43">
        <f>LN('2.ΤΙΜΕΣ ΚΛΕΙΣΙΜΑΤΟΣ'!W191/'2.ΤΙΜΕΣ ΚΛΕΙΣΙΜΑΤΟΣ'!W190)</f>
        <v>9.4787439545437387E-3</v>
      </c>
      <c r="X190" s="43">
        <f>LN('2.ΤΙΜΕΣ ΚΛΕΙΣΙΜΑΤΟΣ'!X191/'2.ΤΙΜΕΣ ΚΛΕΙΣΙΜΑΤΟΣ'!X190)</f>
        <v>-1.2771565679487505E-2</v>
      </c>
      <c r="Y190" s="43">
        <f>LN('2.ΤΙΜΕΣ ΚΛΕΙΣΙΜΑΤΟΣ'!Y191/'2.ΤΙΜΕΣ ΚΛΕΙΣΙΜΑΤΟΣ'!Y190)</f>
        <v>2.6611469225510099E-2</v>
      </c>
      <c r="Z190" s="43">
        <f>LN('2.ΤΙΜΕΣ ΚΛΕΙΣΙΜΑΤΟΣ'!Z191/'2.ΤΙΜΕΣ ΚΛΕΙΣΙΜΑΤΟΣ'!Z190)</f>
        <v>-1.8282044837449069E-2</v>
      </c>
      <c r="AA190" s="43">
        <f>LN('2.ΤΙΜΕΣ ΚΛΕΙΣΙΜΑΤΟΣ'!AA191/'2.ΤΙΜΕΣ ΚΛΕΙΣΙΜΑΤΟΣ'!AA190)</f>
        <v>1.3568729206068796E-2</v>
      </c>
      <c r="AB190" s="43">
        <f>LN('2.ΤΙΜΕΣ ΚΛΕΙΣΙΜΑΤΟΣ'!AB191/'2.ΤΙΜΕΣ ΚΛΕΙΣΙΜΑΤΟΣ'!AB190)</f>
        <v>1.8820059326769886E-2</v>
      </c>
      <c r="AC190" s="43">
        <f>LN('2.ΤΙΜΕΣ ΚΛΕΙΣΙΜΑΤΟΣ'!AC191/'2.ΤΙΜΕΣ ΚΛΕΙΣΙΜΑΤΟΣ'!AC190)</f>
        <v>0</v>
      </c>
      <c r="AD190" s="43">
        <f>LN('2.ΤΙΜΕΣ ΚΛΕΙΣΙΜΑΤΟΣ'!AD191/'2.ΤΙΜΕΣ ΚΛΕΙΣΙΜΑΤΟΣ'!AD190)</f>
        <v>5.1661415135311348E-2</v>
      </c>
      <c r="AE190" s="43">
        <f>LN('2.ΤΙΜΕΣ ΚΛΕΙΣΙΜΑΤΟΣ'!AE191/'2.ΤΙΜΕΣ ΚΛΕΙΣΙΜΑΤΟΣ'!AE190)</f>
        <v>-1.0657294473988093E-2</v>
      </c>
      <c r="AF190" s="43">
        <f>LN('2.ΤΙΜΕΣ ΚΛΕΙΣΙΜΑΤΟΣ'!AF191/'2.ΤΙΜΕΣ ΚΛΕΙΣΙΜΑΤΟΣ'!AF190)</f>
        <v>6.5932965604104707E-2</v>
      </c>
      <c r="AG190" s="43">
        <f>LN('2.ΤΙΜΕΣ ΚΛΕΙΣΙΜΑΤΟΣ'!AG191/'2.ΤΙΜΕΣ ΚΛΕΙΣΙΜΑΤΟΣ'!AG190)</f>
        <v>3.72713947972316E-2</v>
      </c>
      <c r="AH190" s="43">
        <f>LN('2.ΤΙΜΕΣ ΚΛΕΙΣΙΜΑΤΟΣ'!AH191/'2.ΤΙΜΕΣ ΚΛΕΙΣΙΜΑΤΟΣ'!AH190)</f>
        <v>-3.4482792789160442E-3</v>
      </c>
      <c r="AI190" s="43">
        <f>LN('2.ΤΙΜΕΣ ΚΛΕΙΣΙΜΑΤΟΣ'!AI191/'2.ΤΙΜΕΣ ΚΛΕΙΣΙΜΑΤΟΣ'!AI190)</f>
        <v>0</v>
      </c>
      <c r="AJ190" s="43">
        <f>LN('2.ΤΙΜΕΣ ΚΛΕΙΣΙΜΑΤΟΣ'!AJ191/'2.ΤΙΜΕΣ ΚΛΕΙΣΙΜΑΤΟΣ'!AJ190)</f>
        <v>2.0619287202735825E-2</v>
      </c>
      <c r="AK190" s="43">
        <f>LN('2.ΤΙΜΕΣ ΚΛΕΙΣΙΜΑΤΟΣ'!AK191/'2.ΤΙΜΕΣ ΚΛΕΙΣΙΜΑΤΟΣ'!AK190)</f>
        <v>7.4906717291574384E-3</v>
      </c>
      <c r="AL190" s="43">
        <f>LN('2.ΤΙΜΕΣ ΚΛΕΙΣΙΜΑΤΟΣ'!AL191/'2.ΤΙΜΕΣ ΚΛΕΙΣΙΜΑΤΟΣ'!AL190)</f>
        <v>6.3851471986532765E-2</v>
      </c>
      <c r="AM190" s="43">
        <f>LN('2.ΤΙΜΕΣ ΚΛΕΙΣΙΜΑΤΟΣ'!AM191/'2.ΤΙΜΕΣ ΚΛΕΙΣΙΜΑΤΟΣ'!AM190)</f>
        <v>3.3997608541419623E-2</v>
      </c>
      <c r="AN190" s="43">
        <f>LN('2.ΤΙΜΕΣ ΚΛΕΙΣΙΜΑΤΟΣ'!AN191/'2.ΤΙΜΕΣ ΚΛΕΙΣΙΜΑΤΟΣ'!AN190)</f>
        <v>0.1104138055498351</v>
      </c>
      <c r="AO190" s="43">
        <f>LN('2.ΤΙΜΕΣ ΚΛΕΙΣΙΜΑΤΟΣ'!AO191/'2.ΤΙΜΕΣ ΚΛΕΙΣΙΜΑΤΟΣ'!AO190)</f>
        <v>1.142869582362285E-2</v>
      </c>
      <c r="AP190" s="43">
        <f>LN('2.ΤΙΜΕΣ ΚΛΕΙΣΙΜΑΤΟΣ'!AP191/'2.ΤΙΜΕΣ ΚΛΕΙΣΙΜΑΤΟΣ'!AP190)</f>
        <v>8.010723746078979E-3</v>
      </c>
      <c r="AQ190" s="43">
        <f>LN('2.ΤΙΜΕΣ ΚΛΕΙΣΙΜΑΤΟΣ'!AQ191/'2.ΤΙΜΕΣ ΚΛΕΙΣΙΜΑΤΟΣ'!AQ190)</f>
        <v>5.1898438127651443E-2</v>
      </c>
      <c r="AR190" s="43">
        <f>LN('2.ΤΙΜΕΣ ΚΛΕΙΣΙΜΑΤΟΣ'!AR191/'2.ΤΙΜΕΣ ΚΛΕΙΣΙΜΑΤΟΣ'!AR190)</f>
        <v>2.2775311562052453E-2</v>
      </c>
      <c r="AS190" s="43">
        <f>LN('2.ΤΙΜΕΣ ΚΛΕΙΣΙΜΑΤΟΣ'!AS191/'2.ΤΙΜΕΣ ΚΛΕΙΣΙΜΑΤΟΣ'!AS190)</f>
        <v>7.3888842099158164E-2</v>
      </c>
      <c r="AT190" s="43">
        <f>LN('2.ΤΙΜΕΣ ΚΛΕΙΣΙΜΑΤΟΣ'!AT191/'2.ΤΙΜΕΣ ΚΛΕΙΣΙΜΑΤΟΣ'!AT190)</f>
        <v>6.062462181643484E-2</v>
      </c>
      <c r="AU190" s="43">
        <f>LN('2.ΤΙΜΕΣ ΚΛΕΙΣΙΜΑΤΟΣ'!AU191/'2.ΤΙΜΕΣ ΚΛΕΙΣΙΜΑΤΟΣ'!AU190)</f>
        <v>1.5200197385247952E-2</v>
      </c>
    </row>
    <row r="191" spans="1:47">
      <c r="A191" s="41">
        <v>43833</v>
      </c>
      <c r="B191" s="43">
        <f>LN('2.ΤΙΜΕΣ ΚΛΕΙΣΙΜΑΤΟΣ'!B192/'2.ΤΙΜΕΣ ΚΛΕΙΣΙΜΑΤΟΣ'!B191)</f>
        <v>5.2666349516922251E-3</v>
      </c>
      <c r="C191" s="43">
        <f>LN('2.ΤΙΜΕΣ ΚΛΕΙΣΙΜΑΤΟΣ'!C192/'2.ΤΙΜΕΣ ΚΛΕΙΣΙΜΑΤΟΣ'!C191)</f>
        <v>-1.4084739881739085E-2</v>
      </c>
      <c r="D191" s="43">
        <f>LN('2.ΤΙΜΕΣ ΚΛΕΙΣΙΜΑΤΟΣ'!D192/'2.ΤΙΜΕΣ ΚΛΕΙΣΙΜΑΤΟΣ'!D191)</f>
        <v>-1.4523963125514351E-2</v>
      </c>
      <c r="E191" s="43">
        <f>LN('2.ΤΙΜΕΣ ΚΛΕΙΣΙΜΑΤΟΣ'!E192/'2.ΤΙΜΕΣ ΚΛΕΙΣΙΜΑΤΟΣ'!E191)</f>
        <v>-2.6788122100263956E-3</v>
      </c>
      <c r="F191" s="43">
        <f>LN('2.ΤΙΜΕΣ ΚΛΕΙΣΙΜΑΤΟΣ'!F192/'2.ΤΙΜΕΣ ΚΛΕΙΣΙΜΑΤΟΣ'!F191)</f>
        <v>-1.0303468369724554E-2</v>
      </c>
      <c r="G191" s="43">
        <f>LN('2.ΤΙΜΕΣ ΚΛΕΙΣΙΜΑΤΟΣ'!G192/'2.ΤΙΜΕΣ ΚΛΕΙΣΙΜΑΤΟΣ'!G191)</f>
        <v>-2.0891359031376264E-2</v>
      </c>
      <c r="H191" s="43">
        <f>LN('2.ΤΙΜΕΣ ΚΛΕΙΣΙΜΑΤΟΣ'!H192/'2.ΤΙΜΕΣ ΚΛΕΙΣΙΜΑΤΟΣ'!H191)</f>
        <v>-1.8052746801111661E-2</v>
      </c>
      <c r="I191" s="43">
        <f>LN('2.ΤΙΜΕΣ ΚΛΕΙΣΙΜΑΤΟΣ'!I192/'2.ΤΙΜΕΣ ΚΛΕΙΣΙΜΑΤΟΣ'!I191)</f>
        <v>-1.5831465216680628E-2</v>
      </c>
      <c r="J191" s="43">
        <f>LN('2.ΤΙΜΕΣ ΚΛΕΙΣΙΜΑΤΟΣ'!J192/'2.ΤΙΜΕΣ ΚΛΕΙΣΙΜΑΤΟΣ'!J191)</f>
        <v>-3.3392084058310394E-2</v>
      </c>
      <c r="K191" s="43">
        <f>LN('2.ΤΙΜΕΣ ΚΛΕΙΣΙΜΑΤΟΣ'!K192/'2.ΤΙΜΕΣ ΚΛΕΙΣΙΜΑΤΟΣ'!K191)</f>
        <v>2.2236141446881932E-2</v>
      </c>
      <c r="L191" s="43">
        <f>LN('2.ΤΙΜΕΣ ΚΛΕΙΣΙΜΑΤΟΣ'!L192/'2.ΤΙΜΕΣ ΚΛΕΙΣΙΜΑΤΟΣ'!L191)</f>
        <v>-7.067167223092443E-3</v>
      </c>
      <c r="M191" s="43">
        <f>LN('2.ΤΙΜΕΣ ΚΛΕΙΣΙΜΑΤΟΣ'!M192/'2.ΤΙΜΕΣ ΚΛΕΙΣΙΜΑΤΟΣ'!M191)</f>
        <v>1.0368067284403084E-3</v>
      </c>
      <c r="N191" s="43">
        <f>LN('2.ΤΙΜΕΣ ΚΛΕΙΣΙΜΑΤΟΣ'!N192/'2.ΤΙΜΕΣ ΚΛΕΙΣΙΜΑΤΟΣ'!N191)</f>
        <v>-1.5322985170419121E-2</v>
      </c>
      <c r="O191" s="43">
        <f>LN('2.ΤΙΜΕΣ ΚΛΕΙΣΙΜΑΤΟΣ'!O192/'2.ΤΙΜΕΣ ΚΛΕΙΣΙΜΑΤΟΣ'!O191)</f>
        <v>-9.2654534457901234E-3</v>
      </c>
      <c r="P191" s="43">
        <f>LN('2.ΤΙΜΕΣ ΚΛΕΙΣΙΜΑΤΟΣ'!P192/'2.ΤΙΜΕΣ ΚΛΕΙΣΙΜΑΤΟΣ'!P191)</f>
        <v>-1.4129971762985803E-2</v>
      </c>
      <c r="Q191" s="43">
        <f>LN('2.ΤΙΜΕΣ ΚΛΕΙΣΙΜΑΤΟΣ'!Q192/'2.ΤΙΜΕΣ ΚΛΕΙΣΙΜΑΤΟΣ'!Q191)</f>
        <v>-1.4608493523745363E-2</v>
      </c>
      <c r="R191" s="43">
        <f>LN('2.ΤΙΜΕΣ ΚΛΕΙΣΙΜΑΤΟΣ'!R192/'2.ΤΙΜΕΣ ΚΛΕΙΣΙΜΑΤΟΣ'!R191)</f>
        <v>-5.5325175697256666E-3</v>
      </c>
      <c r="S191" s="43">
        <f>LN('2.ΤΙΜΕΣ ΚΛΕΙΣΙΜΑΤΟΣ'!S192/'2.ΤΙΜΕΣ ΚΛΕΙΣΙΜΑΤΟΣ'!S191)</f>
        <v>-2.5346979087397057E-2</v>
      </c>
      <c r="T191" s="43">
        <f>LN('2.ΤΙΜΕΣ ΚΛΕΙΣΙΜΑΤΟΣ'!T192/'2.ΤΙΜΕΣ ΚΛΕΙΣΙΜΑΤΟΣ'!T191)</f>
        <v>-2.7028672387919374E-2</v>
      </c>
      <c r="U191" s="43">
        <f>LN('2.ΤΙΜΕΣ ΚΛΕΙΣΙΜΑΤΟΣ'!U192/'2.ΤΙΜΕΣ ΚΛΕΙΣΙΜΑΤΟΣ'!U191)</f>
        <v>-1.044941587434112E-2</v>
      </c>
      <c r="V191" s="43">
        <f>LN('2.ΤΙΜΕΣ ΚΛΕΙΣΙΜΑΤΟΣ'!V192/'2.ΤΙΜΕΣ ΚΛΕΙΣΙΜΑΤΟΣ'!V191)</f>
        <v>-1.9846296371930656E-2</v>
      </c>
      <c r="W191" s="43">
        <f>LN('2.ΤΙΜΕΣ ΚΛΕΙΣΙΜΑΤΟΣ'!W192/'2.ΤΙΜΕΣ ΚΛΕΙΣΙΜΑΤΟΣ'!W191)</f>
        <v>-2.8710105882431367E-2</v>
      </c>
      <c r="X191" s="43">
        <f>LN('2.ΤΙΜΕΣ ΚΛΕΙΣΙΜΑΤΟΣ'!X192/'2.ΤΙΜΕΣ ΚΛΕΙΣΙΜΑΤΟΣ'!X191)</f>
        <v>-1.5544354437800344E-2</v>
      </c>
      <c r="Y191" s="43">
        <f>LN('2.ΤΙΜΕΣ ΚΛΕΙΣΙΜΑΤΟΣ'!Y192/'2.ΤΙΜΕΣ ΚΛΕΙΣΙΜΑΤΟΣ'!Y191)</f>
        <v>-1.2685159527315687E-2</v>
      </c>
      <c r="Z191" s="43">
        <f>LN('2.ΤΙΜΕΣ ΚΛΕΙΣΙΜΑΤΟΣ'!Z192/'2.ΤΙΜΕΣ ΚΛΕΙΣΙΜΑΤΟΣ'!Z191)</f>
        <v>-1.4870162479451506E-2</v>
      </c>
      <c r="AA191" s="43">
        <f>LN('2.ΤΙΜΕΣ ΚΛΕΙΣΙΜΑΤΟΣ'!AA192/'2.ΤΙΜΕΣ ΚΛΕΙΣΙΜΑΤΟΣ'!AA191)</f>
        <v>-1.9048194970694474E-2</v>
      </c>
      <c r="AB191" s="43">
        <f>LN('2.ΤΙΜΕΣ ΚΛΕΙΣΙΜΑΤΟΣ'!AB192/'2.ΤΙΜΕΣ ΚΛΕΙΣΙΜΑΤΟΣ'!AB191)</f>
        <v>-3.4486176071169321E-2</v>
      </c>
      <c r="AC191" s="43">
        <f>LN('2.ΤΙΜΕΣ ΚΛΕΙΣΙΜΑΤΟΣ'!AC192/'2.ΤΙΜΕΣ ΚΛΕΙΣΙΜΑΤΟΣ'!AC191)</f>
        <v>0</v>
      </c>
      <c r="AD191" s="43">
        <f>LN('2.ΤΙΜΕΣ ΚΛΕΙΣΙΜΑΤΟΣ'!AD192/'2.ΤΙΜΕΣ ΚΛΕΙΣΙΜΑΤΟΣ'!AD191)</f>
        <v>-2.1202207650603051E-2</v>
      </c>
      <c r="AE191" s="43">
        <f>LN('2.ΤΙΜΕΣ ΚΛΕΙΣΙΜΑΤΟΣ'!AE192/'2.ΤΙΜΕΣ ΚΛΕΙΣΙΜΑΤΟΣ'!AE191)</f>
        <v>-1.4388737452099669E-2</v>
      </c>
      <c r="AF191" s="43">
        <f>LN('2.ΤΙΜΕΣ ΚΛΕΙΣΙΜΑΤΟΣ'!AF192/'2.ΤΙΜΕΣ ΚΛΕΙΣΙΜΑΤΟΣ'!AF191)</f>
        <v>-1.6639319003964669E-2</v>
      </c>
      <c r="AG191" s="43">
        <f>LN('2.ΤΙΜΕΣ ΚΛΕΙΣΙΜΑΤΟΣ'!AG192/'2.ΤΙΜΕΣ ΚΛΕΙΣΙΜΑΤΟΣ'!AG191)</f>
        <v>-3.7271394797231537E-2</v>
      </c>
      <c r="AH191" s="43">
        <f>LN('2.ΤΙΜΕΣ ΚΛΕΙΣΙΜΑΤΟΣ'!AH192/'2.ΤΙΜΕΣ ΚΛΕΙΣΙΜΑΤΟΣ'!AH191)</f>
        <v>-1.0416760858255715E-2</v>
      </c>
      <c r="AI191" s="43">
        <f>LN('2.ΤΙΜΕΣ ΚΛΕΙΣΙΜΑΤΟΣ'!AI192/'2.ΤΙΜΕΣ ΚΛΕΙΣΙΜΑΤΟΣ'!AI191)</f>
        <v>1.3889112160667093E-2</v>
      </c>
      <c r="AJ191" s="43">
        <f>LN('2.ΤΙΜΕΣ ΚΛΕΙΣΙΜΑΤΟΣ'!AJ192/'2.ΤΙΜΕΣ ΚΛΕΙΣΙΜΑΤΟΣ'!AJ191)</f>
        <v>-5.0219756979026454E-2</v>
      </c>
      <c r="AK191" s="43">
        <f>LN('2.ΤΙΜΕΣ ΚΛΕΙΣΙΜΑΤΟΣ'!AK192/'2.ΤΙΜΕΣ ΚΛΕΙΣΙΜΑΤΟΣ'!AK191)</f>
        <v>0</v>
      </c>
      <c r="AL191" s="43">
        <f>LN('2.ΤΙΜΕΣ ΚΛΕΙΣΙΜΑΤΟΣ'!AL192/'2.ΤΙΜΕΣ ΚΛΕΙΣΙΜΑΤΟΣ'!AL191)</f>
        <v>-2.0834086902842025E-2</v>
      </c>
      <c r="AM191" s="43">
        <f>LN('2.ΤΙΜΕΣ ΚΛΕΙΣΙΜΑΤΟΣ'!AM192/'2.ΤΙΜΕΣ ΚΛΕΙΣΙΜΑΤΟΣ'!AM191)</f>
        <v>2.7816429618767705E-3</v>
      </c>
      <c r="AN191" s="43">
        <f>LN('2.ΤΙΜΕΣ ΚΛΕΙΣΙΜΑΤΟΣ'!AN192/'2.ΤΙΜΕΣ ΚΛΕΙΣΙΜΑΤΟΣ'!AN191)</f>
        <v>-3.2066875796662633E-2</v>
      </c>
      <c r="AO191" s="43">
        <f>LN('2.ΤΙΜΕΣ ΚΛΕΙΣΙΜΑΤΟΣ'!AO192/'2.ΤΙΜΕΣ ΚΛΕΙΣΙΜΑΤΟΣ'!AO191)</f>
        <v>-1.1428695823622744E-2</v>
      </c>
      <c r="AP191" s="43">
        <f>LN('2.ΤΙΜΕΣ ΚΛΕΙΣΙΜΑΤΟΣ'!AP192/'2.ΤΙΜΕΣ ΚΛΕΙΣΙΜΑΤΟΣ'!AP191)</f>
        <v>2.6560440581162104E-3</v>
      </c>
      <c r="AQ191" s="43">
        <f>LN('2.ΤΙΜΕΣ ΚΛΕΙΣΙΜΑΤΟΣ'!AQ192/'2.ΤΙΜΕΣ ΚΛΕΙΣΙΜΑΤΟΣ'!AQ191)</f>
        <v>-2.2081083075255276E-2</v>
      </c>
      <c r="AR191" s="43">
        <f>LN('2.ΤΙΜΕΣ ΚΛΕΙΣΙΜΑΤΟΣ'!AR192/'2.ΤΙΜΕΣ ΚΛΕΙΣΙΜΑΤΟΣ'!AR191)</f>
        <v>-2.8024667448196299E-2</v>
      </c>
      <c r="AS191" s="43">
        <f>LN('2.ΤΙΜΕΣ ΚΛΕΙΣΙΜΑΤΟΣ'!AS192/'2.ΤΙΜΕΣ ΚΛΕΙΣΙΜΑΤΟΣ'!AS191)</f>
        <v>1.9746762934834499E-2</v>
      </c>
      <c r="AT191" s="43">
        <f>LN('2.ΤΙΜΕΣ ΚΛΕΙΣΙΜΑΤΟΣ'!AT192/'2.ΤΙΜΕΣ ΚΛΕΙΣΙΜΑΤΟΣ'!AT191)</f>
        <v>-7.702220362092351E-3</v>
      </c>
      <c r="AU191" s="43">
        <f>LN('2.ΤΙΜΕΣ ΚΛΕΙΣΙΜΑΤΟΣ'!AU192/'2.ΤΙΜΕΣ ΚΛΕΙΣΙΜΑΤΟΣ'!AU191)</f>
        <v>-1.1476244389397173E-2</v>
      </c>
    </row>
    <row r="192" spans="1:47">
      <c r="A192" s="41">
        <v>43837</v>
      </c>
      <c r="B192" s="43">
        <f>LN('2.ΤΙΜΕΣ ΚΛΕΙΣΙΜΑΤΟΣ'!B193/'2.ΤΙΜΕΣ ΚΛΕΙΣΙΜΑΤΟΣ'!B192)</f>
        <v>7.1966290320397003E-3</v>
      </c>
      <c r="C192" s="43">
        <f>LN('2.ΤΙΜΕΣ ΚΛΕΙΣΙΜΑΤΟΣ'!C193/'2.ΤΙΜΕΣ ΚΛΕΙΣΙΜΑΤΟΣ'!C192)</f>
        <v>2.1253993123135366E-3</v>
      </c>
      <c r="D192" s="43">
        <f>LN('2.ΤΙΜΕΣ ΚΛΕΙΣΙΜΑΤΟΣ'!D193/'2.ΤΙΜΕΣ ΚΛΕΙΣΙΜΑΤΟΣ'!D192)</f>
        <v>1.7910926566530243E-2</v>
      </c>
      <c r="E192" s="43">
        <f>LN('2.ΤΙΜΕΣ ΚΛΕΙΣΙΜΑΤΟΣ'!E193/'2.ΤΙΜΕΣ ΚΛΕΙΣΙΜΑΤΟΣ'!E192)</f>
        <v>-1.4590910030410773E-2</v>
      </c>
      <c r="F192" s="43">
        <f>LN('2.ΤΙΜΕΣ ΚΛΕΙΣΙΜΑΤΟΣ'!F193/'2.ΤΙΜΕΣ ΚΛΕΙΣΙΜΑΤΟΣ'!F192)</f>
        <v>-1.6241656328631723E-2</v>
      </c>
      <c r="G192" s="43">
        <f>LN('2.ΤΙΜΕΣ ΚΛΕΙΣΙΜΑΤΟΣ'!G193/'2.ΤΙΜΕΣ ΚΛΕΙΣΙΜΑΤΟΣ'!G192)</f>
        <v>-1.1173300598125189E-2</v>
      </c>
      <c r="H192" s="43">
        <f>LN('2.ΤΙΜΕΣ ΚΛΕΙΣΙΜΑΤΟΣ'!H193/'2.ΤΙΜΕΣ ΚΛΕΙΣΙΜΑΤΟΣ'!H192)</f>
        <v>-9.6339858811338216E-3</v>
      </c>
      <c r="I192" s="43">
        <f>LN('2.ΤΙΜΕΣ ΚΛΕΙΣΙΜΑΤΟΣ'!I193/'2.ΤΙΜΕΣ ΚΛΕΙΣΙΜΑΤΟΣ'!I192)</f>
        <v>0</v>
      </c>
      <c r="J192" s="43">
        <f>LN('2.ΤΙΜΕΣ ΚΛΕΙΣΙΜΑΤΟΣ'!J193/'2.ΤΙΜΕΣ ΚΛΕΙΣΙΜΑΤΟΣ'!J192)</f>
        <v>8.4531357110584106E-3</v>
      </c>
      <c r="K192" s="43">
        <f>LN('2.ΤΙΜΕΣ ΚΛΕΙΣΙΜΑΤΟΣ'!K193/'2.ΤΙΜΕΣ ΚΛΕΙΣΙΜΑΤΟΣ'!K192)</f>
        <v>1.8349138668196617E-2</v>
      </c>
      <c r="L192" s="43">
        <f>LN('2.ΤΙΜΕΣ ΚΛΕΙΣΙΜΑΤΟΣ'!L193/'2.ΤΙΜΕΣ ΚΛΕΙΣΙΜΑΤΟΣ'!L192)</f>
        <v>8.5750840707695605E-3</v>
      </c>
      <c r="M192" s="43">
        <f>LN('2.ΤΙΜΕΣ ΚΛΕΙΣΙΜΑΤΟΣ'!M193/'2.ΤΙΜΕΣ ΚΛΕΙΣΙΜΑΤΟΣ'!M192)</f>
        <v>1.0309369658861287E-2</v>
      </c>
      <c r="N192" s="43">
        <f>LN('2.ΤΙΜΕΣ ΚΛΕΙΣΙΜΑΤΟΣ'!N193/'2.ΤΙΜΕΣ ΚΛΕΙΣΙΜΑΤΟΣ'!N192)</f>
        <v>8.9885318261152952E-3</v>
      </c>
      <c r="O192" s="43">
        <f>LN('2.ΤΙΜΕΣ ΚΛΕΙΣΙΜΑΤΟΣ'!O193/'2.ΤΙΜΕΣ ΚΛΕΙΣΙΜΑΤΟΣ'!O192)</f>
        <v>-8.010723746078972E-3</v>
      </c>
      <c r="P192" s="43">
        <f>LN('2.ΤΙΜΕΣ ΚΛΕΙΣΙΜΑΤΟΣ'!P193/'2.ΤΙΜΕΣ ΚΛΕΙΣΙΜΑΤΟΣ'!P192)</f>
        <v>-1.2944985626459193E-3</v>
      </c>
      <c r="Q192" s="43">
        <f>LN('2.ΤΙΜΕΣ ΚΛΕΙΣΙΜΑΤΟΣ'!Q193/'2.ΤΙΜΕΣ ΚΛΕΙΣΙΜΑΤΟΣ'!Q192)</f>
        <v>2.3141528561694331E-2</v>
      </c>
      <c r="R192" s="43">
        <f>LN('2.ΤΙΜΕΣ ΚΛΕΙΣΙΜΑΤΟΣ'!R193/'2.ΤΙΜΕΣ ΚΛΕΙΣΙΜΑΤΟΣ'!R192)</f>
        <v>-3.7054234152106404E-3</v>
      </c>
      <c r="S192" s="43">
        <f>LN('2.ΤΙΜΕΣ ΚΛΕΙΣΙΜΑΤΟΣ'!S193/'2.ΤΙΜΕΣ ΚΛΕΙΣΙΜΑΤΟΣ'!S192)</f>
        <v>3.494470649773557E-3</v>
      </c>
      <c r="T192" s="43">
        <f>LN('2.ΤΙΜΕΣ ΚΛΕΙΣΙΜΑΤΟΣ'!T193/'2.ΤΙΜΕΣ ΚΛΕΙΣΙΜΑΤΟΣ'!T192)</f>
        <v>6.8259650703998906E-3</v>
      </c>
      <c r="U192" s="43">
        <f>LN('2.ΤΙΜΕΣ ΚΛΕΙΣΙΜΑΤΟΣ'!U193/'2.ΤΙΜΕΣ ΚΛΕΙΣΙΜΑΤΟΣ'!U192)</f>
        <v>4.9190244190771781E-2</v>
      </c>
      <c r="V192" s="43">
        <f>LN('2.ΤΙΜΕΣ ΚΛΕΙΣΙΜΑΤΟΣ'!V193/'2.ΤΙΜΕΣ ΚΛΕΙΣΙΜΑΤΟΣ'!V192)</f>
        <v>2.2027322318290909E-2</v>
      </c>
      <c r="W192" s="43">
        <f>LN('2.ΤΙΜΕΣ ΚΛΕΙΣΙΜΑΤΟΣ'!W193/'2.ΤΙΜΕΣ ΚΛΕΙΣΙΜΑΤΟΣ'!W192)</f>
        <v>8.459264945976543E-3</v>
      </c>
      <c r="X192" s="43">
        <f>LN('2.ΤΙΜΕΣ ΚΛΕΙΣΙΜΑΤΟΣ'!X193/'2.ΤΙΜΕΣ ΚΛΕΙΣΙΜΑΤΟΣ'!X192)</f>
        <v>7.8023802841848001E-3</v>
      </c>
      <c r="Y192" s="43">
        <f>LN('2.ΤΙΜΕΣ ΚΛΕΙΣΙΜΑΤΟΣ'!Y193/'2.ΤΙΜΕΣ ΚΛΕΙΣΙΜΑΤΟΣ'!Y192)</f>
        <v>1.3735028390152469E-2</v>
      </c>
      <c r="Z192" s="43">
        <f>LN('2.ΤΙΜΕΣ ΚΛΕΙΣΙΜΑΤΟΣ'!Z193/'2.ΤΙΜΕΣ ΚΛΕΙΣΙΜΑΤΟΣ'!Z192)</f>
        <v>-3.7523496185503527E-3</v>
      </c>
      <c r="AA192" s="43">
        <f>LN('2.ΤΙΜΕΣ ΚΛΕΙΣΙΜΑΤΟΣ'!AA193/'2.ΤΙΜΕΣ ΚΛΕΙΣΙΜΑΤΟΣ'!AA192)</f>
        <v>5.4794657646255705E-3</v>
      </c>
      <c r="AB192" s="43">
        <f>LN('2.ΤΙΜΕΣ ΚΛΕΙΣΙΜΑΤΟΣ'!AB193/'2.ΤΙΜΕΣ ΚΛΕΙΣΙΜΑΤΟΣ'!AB192)</f>
        <v>1.0471299867295437E-2</v>
      </c>
      <c r="AC192" s="43">
        <f>LN('2.ΤΙΜΕΣ ΚΛΕΙΣΙΜΑΤΟΣ'!AC193/'2.ΤΙΜΕΣ ΚΛΕΙΣΙΜΑΤΟΣ'!AC192)</f>
        <v>0</v>
      </c>
      <c r="AD192" s="43">
        <f>LN('2.ΤΙΜΕΣ ΚΛΕΙΣΙΜΑΤΟΣ'!AD193/'2.ΤΙΜΕΣ ΚΛΕΙΣΙΜΑΤΟΣ'!AD192)</f>
        <v>-1.583906402974607E-2</v>
      </c>
      <c r="AE192" s="43">
        <f>LN('2.ΤΙΜΕΣ ΚΛΕΙΣΙΜΑΤΟΣ'!AE193/'2.ΤΙΜΕΣ ΚΛΕΙΣΙΜΑΤΟΣ'!AE192)</f>
        <v>3.6166404701885148E-3</v>
      </c>
      <c r="AF192" s="43">
        <f>LN('2.ΤΙΜΕΣ ΚΛΕΙΣΙΜΑΤΟΣ'!AF193/'2.ΤΙΜΕΣ ΚΛΕΙΣΙΜΑΤΟΣ'!AF192)</f>
        <v>2.8667894869571848E-2</v>
      </c>
      <c r="AG192" s="43">
        <f>LN('2.ΤΙΜΕΣ ΚΛΕΙΣΙΜΑΤΟΣ'!AG193/'2.ΤΙΜΕΣ ΚΛΕΙΣΙΜΑΤΟΣ'!AG192)</f>
        <v>-2.5348556031880663E-3</v>
      </c>
      <c r="AH192" s="43">
        <f>LN('2.ΤΙΜΕΣ ΚΛΕΙΣΙΜΑΤΟΣ'!AH193/'2.ΤΙΜΕΣ ΚΛΕΙΣΙΜΑΤΟΣ'!AH192)</f>
        <v>1.9015266113487531E-2</v>
      </c>
      <c r="AI192" s="43">
        <f>LN('2.ΤΙΜΕΣ ΚΛΕΙΣΙΜΑΤΟΣ'!AI193/'2.ΤΙΜΕΣ ΚΛΕΙΣΙΜΑΤΟΣ'!AI192)</f>
        <v>2.0478531343540701E-2</v>
      </c>
      <c r="AJ192" s="43">
        <f>LN('2.ΤΙΜΕΣ ΚΛΕΙΣΙΜΑΤΟΣ'!AJ193/'2.ΤΙΜΕΣ ΚΛΕΙΣΙΜΑΤΟΣ'!AJ192)</f>
        <v>2.1232220105774118E-2</v>
      </c>
      <c r="AK192" s="43">
        <f>LN('2.ΤΙΜΕΣ ΚΛΕΙΣΙΜΑΤΟΣ'!AK193/'2.ΤΙΜΕΣ ΚΛΕΙΣΙΜΑΤΟΣ'!AK192)</f>
        <v>0</v>
      </c>
      <c r="AL192" s="43">
        <f>LN('2.ΤΙΜΕΣ ΚΛΕΙΣΙΜΑΤΟΣ'!AL193/'2.ΤΙΜΕΣ ΚΛΕΙΣΙΜΑΤΟΣ'!AL192)</f>
        <v>5.1293294387550481E-2</v>
      </c>
      <c r="AM192" s="43">
        <f>LN('2.ΤΙΜΕΣ ΚΛΕΙΣΙΜΑΤΟΣ'!AM193/'2.ΤΙΜΕΣ ΚΛΕΙΣΙΜΑΤΟΣ'!AM192)</f>
        <v>-1.3986241974739952E-2</v>
      </c>
      <c r="AN192" s="43">
        <f>LN('2.ΤΙΜΕΣ ΚΛΕΙΣΙΜΑΤΟΣ'!AN193/'2.ΤΙΜΕΣ ΚΛΕΙΣΙΜΑΤΟΣ'!AN192)</f>
        <v>1.0131798930406955E-2</v>
      </c>
      <c r="AO192" s="43">
        <f>LN('2.ΤΙΜΕΣ ΚΛΕΙΣΙΜΑΤΟΣ'!AO193/'2.ΤΙΜΕΣ ΚΛΕΙΣΙΜΑΤΟΣ'!AO192)</f>
        <v>0</v>
      </c>
      <c r="AP192" s="43">
        <f>LN('2.ΤΙΜΕΣ ΚΛΕΙΣΙΜΑΤΟΣ'!AP193/'2.ΤΙΜΕΣ ΚΛΕΙΣΙΜΑΤΟΣ'!AP192)</f>
        <v>2.6490081715768625E-3</v>
      </c>
      <c r="AQ192" s="43">
        <f>LN('2.ΤΙΜΕΣ ΚΛΕΙΣΙΜΑΤΟΣ'!AQ193/'2.ΤΙΜΕΣ ΚΛΕΙΣΙΜΑΤΟΣ'!AQ192)</f>
        <v>-1.1757790890119504E-3</v>
      </c>
      <c r="AR192" s="43">
        <f>LN('2.ΤΙΜΕΣ ΚΛΕΙΣΙΜΑΤΟΣ'!AR193/'2.ΤΙΜΕΣ ΚΛΕΙΣΙΜΑΤΟΣ'!AR192)</f>
        <v>-2.9916761037992578E-2</v>
      </c>
      <c r="AS192" s="43">
        <f>LN('2.ΤΙΜΕΣ ΚΛΕΙΣΙΜΑΤΟΣ'!AS193/'2.ΤΙΜΕΣ ΚΛΕΙΣΙΜΑΤΟΣ'!AS192)</f>
        <v>-1.6901810802603254E-2</v>
      </c>
      <c r="AT192" s="43">
        <f>LN('2.ΤΙΜΕΣ ΚΛΕΙΣΙΜΑΤΟΣ'!AT193/'2.ΤΙΜΕΣ ΚΛΕΙΣΙΜΑΤΟΣ'!AT192)</f>
        <v>1.2804272245987749E-2</v>
      </c>
      <c r="AU192" s="43">
        <f>LN('2.ΤΙΜΕΣ ΚΛΕΙΣΙΜΑΤΟΣ'!AU193/'2.ΤΙΜΕΣ ΚΛΕΙΣΙΜΑΤΟΣ'!AU192)</f>
        <v>4.9870548615777287E-3</v>
      </c>
    </row>
    <row r="193" spans="1:47">
      <c r="A193" s="41">
        <v>43838</v>
      </c>
      <c r="B193" s="43">
        <f>LN('2.ΤΙΜΕΣ ΚΛΕΙΣΙΜΑΤΟΣ'!B194/'2.ΤΙΜΕΣ ΚΛΕΙΣΙΜΑΤΟΣ'!B193)</f>
        <v>7.1452074046442372E-3</v>
      </c>
      <c r="C193" s="43">
        <f>LN('2.ΤΙΜΕΣ ΚΛΕΙΣΙΜΑΤΟΣ'!C194/'2.ΤΙΜΕΣ ΚΛΕΙΣΙΜΑΤΟΣ'!C193)</f>
        <v>-1.0672459890771872E-2</v>
      </c>
      <c r="D193" s="43">
        <f>LN('2.ΤΙΜΕΣ ΚΛΕΙΣΙΜΑΤΟΣ'!D194/'2.ΤΙΜΕΣ ΚΛΕΙΣΙΜΑΤΟΣ'!D193)</f>
        <v>-6.7854374001274599E-3</v>
      </c>
      <c r="E193" s="43">
        <f>LN('2.ΤΙΜΕΣ ΚΛΕΙΣΙΜΑΤΟΣ'!E194/'2.ΤΙΜΕΣ ΚΛΕΙΣΙΜΑΤΟΣ'!E193)</f>
        <v>-9.8469066970034037E-3</v>
      </c>
      <c r="F193" s="43">
        <f>LN('2.ΤΙΜΕΣ ΚΛΕΙΣΙΜΑΤΟΣ'!F194/'2.ΤΙΜΕΣ ΚΛΕΙΣΙΜΑΤΟΣ'!F193)</f>
        <v>-1.0582109330536972E-2</v>
      </c>
      <c r="G193" s="43">
        <f>LN('2.ΤΙΜΕΣ ΚΛΕΙΣΙΜΑΤΟΣ'!G194/'2.ΤΙΜΕΣ ΚΛΕΙΣΙΜΑΤΟΣ'!G193)</f>
        <v>-5.6629802753237563E-2</v>
      </c>
      <c r="H193" s="43">
        <f>LN('2.ΤΙΜΕΣ ΚΛΕΙΣΙΜΑΤΟΣ'!H194/'2.ΤΙΜΕΣ ΚΛΕΙΣΙΜΑΤΟΣ'!H193)</f>
        <v>-4.852023104528186E-3</v>
      </c>
      <c r="I193" s="43">
        <f>LN('2.ΤΙΜΕΣ ΚΛΕΙΣΙΜΑΤΟΣ'!I194/'2.ΤΙΜΕΣ ΚΛΕΙΣΙΜΑΤΟΣ'!I193)</f>
        <v>-1.2848142477848911E-2</v>
      </c>
      <c r="J193" s="43">
        <f>LN('2.ΤΙΜΕΣ ΚΛΕΙΣΙΜΑΤΟΣ'!J194/'2.ΤΙΜΕΣ ΚΛΕΙΣΙΜΑΤΟΣ'!J193)</f>
        <v>-4.8285241159461999E-2</v>
      </c>
      <c r="K193" s="43">
        <f>LN('2.ΤΙΜΕΣ ΚΛΕΙΣΙΜΑΤΟΣ'!K194/'2.ΤΙΜΕΣ ΚΛΕΙΣΙΜΑΤΟΣ'!K193)</f>
        <v>-5.6980211146377786E-3</v>
      </c>
      <c r="L193" s="43">
        <f>LN('2.ΤΙΜΕΣ ΚΛΕΙΣΙΜΑΤΟΣ'!L194/'2.ΤΙΜΕΣ ΚΛΕΙΣΙΜΑΤΟΣ'!L193)</f>
        <v>-1.9782537091158518E-2</v>
      </c>
      <c r="M193" s="43">
        <f>LN('2.ΤΙΜΕΣ ΚΛΕΙΣΙΜΑΤΟΣ'!M194/'2.ΤΙΜΕΣ ΚΛΕΙΣΙΜΑΤΟΣ'!M193)</f>
        <v>-5.1413995004187642E-3</v>
      </c>
      <c r="N193" s="43">
        <f>LN('2.ΤΙΜΕΣ ΚΛΕΙΣΙΜΑΤΟΣ'!N194/'2.ΤΙΜΕΣ ΚΛΕΙΣΙΜΑΤΟΣ'!N193)</f>
        <v>-2.3221771580974358E-2</v>
      </c>
      <c r="O193" s="43">
        <f>LN('2.ΤΙΜΕΣ ΚΛΕΙΣΙΜΑΤΟΣ'!O194/'2.ΤΙΜΕΣ ΚΛΕΙΣΙΜΑΤΟΣ'!O193)</f>
        <v>-1.3495481474884509E-2</v>
      </c>
      <c r="P193" s="43">
        <f>LN('2.ΤΙΜΕΣ ΚΛΕΙΣΙΜΑΤΟΣ'!P194/'2.ΤΙΜΕΣ ΚΛΕΙΣΙΜΑΤΟΣ'!P193)</f>
        <v>3.8784793285708383E-3</v>
      </c>
      <c r="Q193" s="43">
        <f>LN('2.ΤΙΜΕΣ ΚΛΕΙΣΙΜΑΤΟΣ'!Q194/'2.ΤΙΜΕΣ ΚΛΕΙΣΙΜΑΤΟΣ'!Q193)</f>
        <v>-1.9802627296179754E-2</v>
      </c>
      <c r="R193" s="43">
        <f>LN('2.ΤΙΜΕΣ ΚΛΕΙΣΙΜΑΤΟΣ'!R194/'2.ΤΙΜΕΣ ΚΛΕΙΣΙΜΑΤΟΣ'!R193)</f>
        <v>-1.2608152076313044E-2</v>
      </c>
      <c r="S193" s="43">
        <f>LN('2.ΤΙΜΕΣ ΚΛΕΙΣΙΜΑΤΟΣ'!S194/'2.ΤΙΜΕΣ ΚΛΕΙΣΙΜΑΤΟΣ'!S193)</f>
        <v>1.1621151801772967E-3</v>
      </c>
      <c r="T193" s="43">
        <f>LN('2.ΤΙΜΕΣ ΚΛΕΙΣΙΜΑΤΟΣ'!T194/'2.ΤΙΜΕΣ ΚΛΕΙΣΙΜΑΤΟΣ'!T193)</f>
        <v>-9.5694510161506725E-3</v>
      </c>
      <c r="U193" s="43">
        <f>LN('2.ΤΙΜΕΣ ΚΛΕΙΣΙΜΑΤΟΣ'!U194/'2.ΤΙΜΕΣ ΚΛΕΙΣΙΜΑΤΟΣ'!U193)</f>
        <v>-1.6129381929883644E-2</v>
      </c>
      <c r="V193" s="43">
        <f>LN('2.ΤΙΜΕΣ ΚΛΕΙΣΙΜΑΤΟΣ'!V194/'2.ΤΙΜΕΣ ΚΛΕΙΣΙΜΑΤΟΣ'!V193)</f>
        <v>-8.7527911095947441E-3</v>
      </c>
      <c r="W193" s="43">
        <f>LN('2.ΤΙΜΕΣ ΚΛΕΙΣΙΜΑΤΟΣ'!W194/'2.ΤΙΜΕΣ ΚΛΕΙΣΙΜΑΤΟΣ'!W193)</f>
        <v>8.3883056266348208E-3</v>
      </c>
      <c r="X193" s="43">
        <f>LN('2.ΤΙΜΕΣ ΚΛΕΙΣΙΜΑΤΟΣ'!X194/'2.ΤΙΜΕΣ ΚΛΕΙΣΙΜΑΤΟΣ'!X193)</f>
        <v>2.3048395436291089E-2</v>
      </c>
      <c r="Y193" s="43">
        <f>LN('2.ΤΙΜΕΣ ΚΛΕΙΣΙΜΑΤΟΣ'!Y194/'2.ΤΙΜΕΣ ΚΛΕΙΣΙΜΑΤΟΣ'!Y193)</f>
        <v>-1.7999427176610003E-2</v>
      </c>
      <c r="Z193" s="43">
        <f>LN('2.ΤΙΜΕΣ ΚΛΕΙΣΙΜΑΤΟΣ'!Z194/'2.ΤΙΜΕΣ ΚΛΕΙΣΙΜΑΤΟΣ'!Z193)</f>
        <v>-3.7664827954768934E-3</v>
      </c>
      <c r="AA193" s="43">
        <f>LN('2.ΤΙΜΕΣ ΚΛΕΙΣΙΜΑΤΟΣ'!AA194/'2.ΤΙΜΕΣ ΚΛΕΙΣΙΜΑΤΟΣ'!AA193)</f>
        <v>-1.6529301951210582E-2</v>
      </c>
      <c r="AB193" s="43">
        <f>LN('2.ΤΙΜΕΣ ΚΛΕΙΣΙΜΑΤΟΣ'!AB194/'2.ΤΙΜΕΣ ΚΛΕΙΣΙΜΑΤΟΣ'!AB193)</f>
        <v>1.3793322132335769E-2</v>
      </c>
      <c r="AC193" s="43">
        <f>LN('2.ΤΙΜΕΣ ΚΛΕΙΣΙΜΑΤΟΣ'!AC194/'2.ΤΙΜΕΣ ΚΛΕΙΣΙΜΑΤΟΣ'!AC193)</f>
        <v>-1.2337373759840819E-2</v>
      </c>
      <c r="AD193" s="43">
        <f>LN('2.ΤΙΜΕΣ ΚΛΕΙΣΙΜΑΤΟΣ'!AD194/'2.ΤΙΜΕΣ ΚΛΕΙΣΙΜΑΤΟΣ'!AD193)</f>
        <v>1.4409471220151784E-2</v>
      </c>
      <c r="AE193" s="43">
        <f>LN('2.ΤΙΜΕΣ ΚΛΕΙΣΙΜΑΤΟΣ'!AE194/'2.ΤΙΜΕΣ ΚΛΕΙΣΙΜΑΤΟΣ'!AE193)</f>
        <v>0</v>
      </c>
      <c r="AF193" s="43">
        <f>LN('2.ΤΙΜΕΣ ΚΛΕΙΣΙΜΑΤΟΣ'!AF194/'2.ΤΙΜΕΣ ΚΛΕΙΣΙΜΑΤΟΣ'!AF193)</f>
        <v>-3.0907537463076663E-2</v>
      </c>
      <c r="AG193" s="43">
        <f>LN('2.ΤΙΜΕΣ ΚΛΕΙΣΙΜΑΤΟΣ'!AG194/'2.ΤΙΜΕΣ ΚΛΕΙΣΙΜΑΤΟΣ'!AG193)</f>
        <v>1.5113637810048106E-2</v>
      </c>
      <c r="AH193" s="43">
        <f>LN('2.ΤΙΜΕΣ ΚΛΕΙΣΙΜΑΤΟΣ'!AH194/'2.ΤΙΜΕΣ ΚΛΕΙΣΙΜΑΤΟΣ'!AH193)</f>
        <v>-2.0761991448429128E-2</v>
      </c>
      <c r="AI193" s="43">
        <f>LN('2.ΤΙΜΕΣ ΚΛΕΙΣΙΜΑΤΟΣ'!AI194/'2.ΤΙΜΕΣ ΚΛΕΙΣΙΜΑΤΟΣ'!AI193)</f>
        <v>0</v>
      </c>
      <c r="AJ193" s="43">
        <f>LN('2.ΤΙΜΕΣ ΚΛΕΙΣΙΜΑΤΟΣ'!AJ194/'2.ΤΙΜΕΣ ΚΛΕΙΣΙΜΑΤΟΣ'!AJ193)</f>
        <v>1.2526259819180477E-2</v>
      </c>
      <c r="AK193" s="43">
        <f>LN('2.ΤΙΜΕΣ ΚΛΕΙΣΙΜΑΤΟΣ'!AK194/'2.ΤΙΜΕΣ ΚΛΕΙΣΙΜΑΤΟΣ'!AK193)</f>
        <v>-7.490671729157402E-3</v>
      </c>
      <c r="AL193" s="43">
        <f>LN('2.ΤΙΜΕΣ ΚΛΕΙΣΙΜΑΤΟΣ'!AL194/'2.ΤΙΜΕΣ ΚΛΕΙΣΙΜΑΤΟΣ'!AL193)</f>
        <v>4.8790164169431834E-2</v>
      </c>
      <c r="AM193" s="43">
        <f>LN('2.ΤΙΜΕΣ ΚΛΕΙΣΙΜΑΤΟΣ'!AM194/'2.ΤΙΜΕΣ ΚΛΕΙΣΙΜΑΤΟΣ'!AM193)</f>
        <v>0</v>
      </c>
      <c r="AN193" s="43">
        <f>LN('2.ΤΙΜΕΣ ΚΛΕΙΣΙΜΑΤΟΣ'!AN194/'2.ΤΙΜΕΣ ΚΛΕΙΣΙΜΑΤΟΣ'!AN193)</f>
        <v>1.600034134644112E-2</v>
      </c>
      <c r="AO193" s="43">
        <f>LN('2.ΤΙΜΕΣ ΚΛΕΙΣΙΜΑΤΟΣ'!AO194/'2.ΤΙΜΕΣ ΚΛΕΙΣΙΜΑΤΟΣ'!AO193)</f>
        <v>-5.7637047167501294E-3</v>
      </c>
      <c r="AP193" s="43">
        <f>LN('2.ΤΙΜΕΣ ΚΛΕΙΣΙΜΑΤΟΣ'!AP194/'2.ΤΙΜΕΣ ΚΛΕΙΣΙΜΑΤΟΣ'!AP193)</f>
        <v>-2.1391189981317445E-2</v>
      </c>
      <c r="AQ193" s="43">
        <f>LN('2.ΤΙΜΕΣ ΚΛΕΙΣΙΜΑΤΟΣ'!AQ194/'2.ΤΙΜΕΣ ΚΛΕΙΣΙΜΑΤΟΣ'!AQ193)</f>
        <v>-2.8641575963384153E-2</v>
      </c>
      <c r="AR193" s="43">
        <f>LN('2.ΤΙΜΕΣ ΚΛΕΙΣΙΜΑΤΟΣ'!AR194/'2.ΤΙΜΕΣ ΚΛΕΙΣΙΜΑΤΟΣ'!AR193)</f>
        <v>1.0787591128997385E-2</v>
      </c>
      <c r="AS193" s="43">
        <f>LN('2.ΤΙΜΕΣ ΚΛΕΙΣΙΜΑΤΟΣ'!AS194/'2.ΤΙΜΕΣ ΚΛΕΙΣΙΜΑΤΟΣ'!AS193)</f>
        <v>-1.1428695823622744E-2</v>
      </c>
      <c r="AT193" s="43">
        <f>LN('2.ΤΙΜΕΣ ΚΛΕΙΣΙΜΑΤΟΣ'!AT194/'2.ΤΙΜΕΣ ΚΛΕΙΣΙΜΑΤΟΣ'!AT193)</f>
        <v>-2.3167059281534418E-2</v>
      </c>
      <c r="AU193" s="43">
        <f>LN('2.ΤΙΜΕΣ ΚΛΕΙΣΙΜΑΤΟΣ'!AU194/'2.ΤΙΜΕΣ ΚΛΕΙΣΙΜΑΤΟΣ'!AU193)</f>
        <v>-1.1441996424219796E-2</v>
      </c>
    </row>
    <row r="194" spans="1:47">
      <c r="A194" s="41">
        <v>43839</v>
      </c>
      <c r="B194" s="43">
        <f>LN('2.ΤΙΜΕΣ ΚΛΕΙΣΙΜΑΤΟΣ'!B195/'2.ΤΙΜΕΣ ΚΛΕΙΣΙΜΑΤΟΣ'!B194)</f>
        <v>-2.5923540117300556E-3</v>
      </c>
      <c r="C194" s="43">
        <f>LN('2.ΤΙΜΕΣ ΚΛΕΙΣΙΜΑΤΟΣ'!C195/'2.ΤΙΜΕΣ ΚΛΕΙΣΙΜΑΤΟΣ'!C194)</f>
        <v>-2.8653314732863936E-3</v>
      </c>
      <c r="D194" s="43">
        <f>LN('2.ΤΙΜΕΣ ΚΛΕΙΣΙΜΑΤΟΣ'!D195/'2.ΤΙΜΕΣ ΚΛΕΙΣΙΜΑΤΟΣ'!D194)</f>
        <v>4.0774333810033522E-2</v>
      </c>
      <c r="E194" s="43">
        <f>LN('2.ΤΙΜΕΣ ΚΛΕΙΣΙΜΑΤΟΣ'!E195/'2.ΤΙΜΕΣ ΚΛΕΙΣΙΜΑΤΟΣ'!E194)</f>
        <v>7.1213667159532529E-3</v>
      </c>
      <c r="F194" s="43">
        <f>LN('2.ΤΙΜΕΣ ΚΛΕΙΣΙΜΑΤΟΣ'!F195/'2.ΤΙΜΕΣ ΚΛΕΙΣΙΜΑΤΟΣ'!F194)</f>
        <v>1.1813350458311713E-3</v>
      </c>
      <c r="G194" s="43">
        <f>LN('2.ΤΙΜΕΣ ΚΛΕΙΣΙΜΑΤΟΣ'!G195/'2.ΤΙΜΕΣ ΚΛΕΙΣΙΜΑΤΟΣ'!G194)</f>
        <v>3.5050316879554851E-2</v>
      </c>
      <c r="H194" s="43">
        <f>LN('2.ΤΙΜΕΣ ΚΛΕΙΣΙΜΑΤΟΣ'!H195/'2.ΤΙΜΕΣ ΚΛΕΙΣΙΜΑΤΟΣ'!H194)</f>
        <v>3.8835000263976122E-3</v>
      </c>
      <c r="I194" s="43">
        <f>LN('2.ΤΙΜΕΣ ΚΛΕΙΣΙΜΑΤΟΣ'!I195/'2.ΤΙΜΕΣ ΚΛΕΙΣΙΜΑΤΟΣ'!I194)</f>
        <v>1.8153194707542127E-2</v>
      </c>
      <c r="J194" s="43">
        <f>LN('2.ΤΙΜΕΣ ΚΛΕΙΣΙΜΑΤΟΣ'!J195/'2.ΤΙΜΕΣ ΚΛΕΙΣΙΜΑΤΟΣ'!J194)</f>
        <v>1.4731939530831333E-2</v>
      </c>
      <c r="K194" s="43">
        <f>LN('2.ΤΙΜΕΣ ΚΛΕΙΣΙΜΑΤΟΣ'!K195/'2.ΤΙΜΕΣ ΚΛΕΙΣΙΜΑΤΟΣ'!K194)</f>
        <v>-1.1435107020789379E-3</v>
      </c>
      <c r="L194" s="43">
        <f>LN('2.ΤΙΜΕΣ ΚΛΕΙΣΙΜΑΤΟΣ'!L195/'2.ΤΙΜΕΣ ΚΛΕΙΣΙΜΑΤΟΣ'!L194)</f>
        <v>5.109873152270644E-3</v>
      </c>
      <c r="M194" s="43">
        <f>LN('2.ΤΙΜΕΣ ΚΛΕΙΣΙΜΑΤΟΣ'!M195/'2.ΤΙΜΕΣ ΚΛΕΙΣΙΜΑΤΟΣ'!M194)</f>
        <v>1.0303967938966232E-3</v>
      </c>
      <c r="N194" s="43">
        <f>LN('2.ΤΙΜΕΣ ΚΛΕΙΣΙΜΑΤΟΣ'!N195/'2.ΤΙΜΕΣ ΚΛΕΙΣΙΜΑΤΟΣ'!N194)</f>
        <v>-1.1952986349098153E-3</v>
      </c>
      <c r="O194" s="43">
        <f>LN('2.ΤΙΜΕΣ ΚΛΕΙΣΙΜΑΤΟΣ'!O195/'2.ΤΙΜΕΣ ΚΛΕΙΣΙΜΑΤΟΣ'!O194)</f>
        <v>5.4200674693391133E-3</v>
      </c>
      <c r="P194" s="43">
        <f>LN('2.ΤΙΜΕΣ ΚΛΕΙΣΙΜΑΤΟΣ'!P195/'2.ΤΙΜΕΣ ΚΛΕΙΣΙΜΑΤΟΣ'!P194)</f>
        <v>1.6635060504532194E-2</v>
      </c>
      <c r="Q194" s="43">
        <f>LN('2.ΤΙΜΕΣ ΚΛΕΙΣΙΜΑΤΟΣ'!Q195/'2.ΤΙΜΕΣ ΚΛΕΙΣΙΜΑΤΟΣ'!Q194)</f>
        <v>5.7639779446414456E-2</v>
      </c>
      <c r="R194" s="43">
        <f>LN('2.ΤΙΜΕΣ ΚΛΕΙΣΙΜΑΤΟΣ'!R195/'2.ΤΙΜΕΣ ΚΛΕΙΣΙΜΑΤΟΣ'!R194)</f>
        <v>2.4142305321599812E-2</v>
      </c>
      <c r="S194" s="43">
        <f>LN('2.ΤΙΜΕΣ ΚΛΕΙΣΙΜΑΤΟΣ'!S195/'2.ΤΙΜΕΣ ΚΛΕΙΣΙΜΑΤΟΣ'!S194)</f>
        <v>2.2963121508448738E-2</v>
      </c>
      <c r="T194" s="43">
        <f>LN('2.ΤΙΜΕΣ ΚΛΕΙΣΙΜΑΤΟΣ'!T195/'2.ΤΙΜΕΣ ΚΛΕΙΣΙΜΑΤΟΣ'!T194)</f>
        <v>2.7101929777791394E-2</v>
      </c>
      <c r="U194" s="43">
        <f>LN('2.ΤΙΜΕΣ ΚΛΕΙΣΙΜΑΤΟΣ'!U195/'2.ΤΙΜΕΣ ΚΛΕΙΣΙΜΑΤΟΣ'!U194)</f>
        <v>0</v>
      </c>
      <c r="V194" s="43">
        <f>LN('2.ΤΙΜΕΣ ΚΛΕΙΣΙΜΑΤΟΣ'!V195/'2.ΤΙΜΕΣ ΚΛΕΙΣΙΜΑΤΟΣ'!V194)</f>
        <v>-8.8300794482720369E-3</v>
      </c>
      <c r="W194" s="43">
        <f>LN('2.ΤΙΜΕΣ ΚΛΕΙΣΙΜΑΤΟΣ'!W195/'2.ΤΙΜΕΣ ΚΛΕΙΣΙΜΑΤΟΣ'!W194)</f>
        <v>1.0682594169971299E-2</v>
      </c>
      <c r="X194" s="43">
        <f>LN('2.ΤΙΜΕΣ ΚΛΕΙΣΙΜΑΤΟΣ'!X195/'2.ΤΙΜΕΣ ΚΛΕΙΣΙΜΑΤΟΣ'!X194)</f>
        <v>2.2529113060028104E-2</v>
      </c>
      <c r="Y194" s="43">
        <f>LN('2.ΤΙΜΕΣ ΚΛΕΙΣΙΜΑΤΟΣ'!Y195/'2.ΤΙΜΕΣ ΚΛΕΙΣΙΜΑΤΟΣ'!Y194)</f>
        <v>1.9048194970694411E-2</v>
      </c>
      <c r="Z194" s="43">
        <f>LN('2.ΤΙΜΕΣ ΚΛΕΙΣΙΜΑΤΟΣ'!Z195/'2.ΤΙΜΕΣ ΚΛΕΙΣΙΜΑΤΟΣ'!Z194)</f>
        <v>2.9741969198737516E-2</v>
      </c>
      <c r="AA194" s="43">
        <f>LN('2.ΤΙΜΕΣ ΚΛΕΙΣΙΜΑΤΟΣ'!AA195/'2.ΤΙΜΕΣ ΚΛΕΙΣΙΜΑΤΟΣ'!AA194)</f>
        <v>4.8790164169431834E-2</v>
      </c>
      <c r="AB194" s="43">
        <f>LN('2.ΤΙΜΕΣ ΚΛΕΙΣΙΜΑΤΟΣ'!AB195/'2.ΤΙΜΕΣ ΚΛΕΙΣΙΜΑΤΟΣ'!AB194)</f>
        <v>1.0221554071538227E-2</v>
      </c>
      <c r="AC194" s="43">
        <f>LN('2.ΤΙΜΕΣ ΚΛΕΙΣΙΜΑΤΟΣ'!AC195/'2.ΤΙΜΕΣ ΚΛΕΙΣΙΜΑΤΟΣ'!AC194)</f>
        <v>1.0974047031976649E-2</v>
      </c>
      <c r="AD194" s="43">
        <f>LN('2.ΤΙΜΕΣ ΚΛΕΙΣΙΜΑΤΟΣ'!AD195/'2.ΤΙΜΕΣ ΚΛΕΙΣΙΜΑΤΟΣ'!AD194)</f>
        <v>2.857144800779744E-3</v>
      </c>
      <c r="AE194" s="43">
        <f>LN('2.ΤΙΜΕΣ ΚΛΕΙΣΙΜΑΤΟΣ'!AE195/'2.ΤΙΜΕΣ ΚΛΕΙΣΙΜΑΤΟΣ'!AE194)</f>
        <v>-1.8215439891341105E-2</v>
      </c>
      <c r="AF194" s="43">
        <f>LN('2.ΤΙΜΕΣ ΚΛΕΙΣΙΜΑΤΟΣ'!AF195/'2.ΤΙΜΕΣ ΚΛΕΙΣΙΜΑΤΟΣ'!AF194)</f>
        <v>5.7718794913733384E-2</v>
      </c>
      <c r="AG194" s="43">
        <f>LN('2.ΤΙΜΕΣ ΚΛΕΙΣΙΜΑΤΟΣ'!AG195/'2.ΤΙΜΕΣ ΚΛΕΙΣΙΜΑΤΟΣ'!AG194)</f>
        <v>-1.765493523872071E-2</v>
      </c>
      <c r="AH194" s="43">
        <f>LN('2.ΤΙΜΕΣ ΚΛΕΙΣΙΜΑΤΟΣ'!AH195/'2.ΤΙΜΕΣ ΚΛΕΙΣΙΜΑΤΟΣ'!AH194)</f>
        <v>-5.2585572534669389E-3</v>
      </c>
      <c r="AI194" s="43">
        <f>LN('2.ΤΙΜΕΣ ΚΛΕΙΣΙΜΑΤΟΣ'!AI195/'2.ΤΙΜΕΣ ΚΛΕΙΣΙΜΑΤΟΣ'!AI194)</f>
        <v>7.7961541469711709E-2</v>
      </c>
      <c r="AJ194" s="43">
        <f>LN('2.ΤΙΜΕΣ ΚΛΕΙΣΙΜΑΤΟΣ'!AJ195/'2.ΤΙΜΕΣ ΚΛΕΙΣΙΜΑΤΟΣ'!AJ194)</f>
        <v>3.2655962974052717E-2</v>
      </c>
      <c r="AK194" s="43">
        <f>LN('2.ΤΙΜΕΣ ΚΛΕΙΣΙΜΑΤΟΣ'!AK195/'2.ΤΙΜΕΣ ΚΛΕΙΣΙΜΑΤΟΣ'!AK194)</f>
        <v>3.6904556935450764E-2</v>
      </c>
      <c r="AL194" s="43">
        <f>LN('2.ΤΙΜΕΣ ΚΛΕΙΣΙΜΑΤΟΣ'!AL195/'2.ΤΙΜΕΣ ΚΛΕΙΣΙΜΑΤΟΣ'!AL194)</f>
        <v>0</v>
      </c>
      <c r="AM194" s="43">
        <f>LN('2.ΤΙΜΕΣ ΚΛΕΙΣΙΜΑΤΟΣ'!AM195/'2.ΤΙΜΕΣ ΚΛΕΙΣΙΜΑΤΟΣ'!AM194)</f>
        <v>0</v>
      </c>
      <c r="AN194" s="43">
        <f>LN('2.ΤΙΜΕΣ ΚΛΕΙΣΙΜΑΤΟΣ'!AN195/'2.ΤΙΜΕΣ ΚΛΕΙΣΙΜΑΤΟΣ'!AN194)</f>
        <v>6.3421826437496068E-2</v>
      </c>
      <c r="AO194" s="43">
        <f>LN('2.ΤΙΜΕΣ ΚΛΕΙΣΙΜΑΤΟΣ'!AO195/'2.ΤΙΜΕΣ ΚΛΕΙΣΙΜΑΤΟΣ'!AO194)</f>
        <v>2.5679014417691447E-2</v>
      </c>
      <c r="AP194" s="43">
        <f>LN('2.ΤΙΜΕΣ ΚΛΕΙΣΙΜΑΤΟΣ'!AP195/'2.ΤΙΜΕΣ ΚΛΕΙΣΙΜΑΤΟΣ'!AP194)</f>
        <v>3.7139546949456571E-2</v>
      </c>
      <c r="AQ194" s="43">
        <f>LN('2.ΤΙΜΕΣ ΚΛΕΙΣΙΜΑΤΟΣ'!AQ195/'2.ΤΙΜΕΣ ΚΛΕΙΣΙΜΑΤΟΣ'!AQ194)</f>
        <v>8.4388686458646035E-3</v>
      </c>
      <c r="AR194" s="43">
        <f>LN('2.ΤΙΜΕΣ ΚΛΕΙΣΙΜΑΤΟΣ'!AR195/'2.ΤΙΜΕΣ ΚΛΕΙΣΙΜΑΤΟΣ'!AR194)</f>
        <v>-1.8408749410069848E-2</v>
      </c>
      <c r="AS194" s="43">
        <f>LN('2.ΤΙΜΕΣ ΚΛΕΙΣΙΜΑΤΟΣ'!AS195/'2.ΤΙΜΕΣ ΚΛΕΙΣΙΜΑΤΟΣ'!AS194)</f>
        <v>-1.1560822401075971E-2</v>
      </c>
      <c r="AT194" s="43">
        <f>LN('2.ΤΙΜΕΣ ΚΛΕΙΣΙΜΑΤΟΣ'!AT195/'2.ΤΙΜΕΣ ΚΛΕΙΣΙΜΑΤΟΣ'!AT194)</f>
        <v>0</v>
      </c>
      <c r="AU194" s="43">
        <f>LN('2.ΤΙΜΕΣ ΚΛΕΙΣΙΜΑΤΟΣ'!AU195/'2.ΤΙΜΕΣ ΚΛΕΙΣΙΜΑΤΟΣ'!AU194)</f>
        <v>1.2922477580759678E-2</v>
      </c>
    </row>
    <row r="195" spans="1:47">
      <c r="A195" s="41">
        <v>43840</v>
      </c>
      <c r="B195" s="43">
        <f>LN('2.ΤΙΜΕΣ ΚΛΕΙΣΙΜΑΤΟΣ'!B196/'2.ΤΙΜΕΣ ΚΛΕΙΣΙΜΑΤΟΣ'!B195)</f>
        <v>1.9280802935505558E-2</v>
      </c>
      <c r="C195" s="43">
        <f>LN('2.ΤΙΜΕΣ ΚΛΕΙΣΙΜΑΤΟΣ'!C196/'2.ΤΙΜΕΣ ΚΛΕΙΣΙΜΑΤΟΣ'!C195)</f>
        <v>-1.0818713527167364E-2</v>
      </c>
      <c r="D195" s="43">
        <f>LN('2.ΤΙΜΕΣ ΚΛΕΙΣΙΜΑΤΟΣ'!D196/'2.ΤΙΜΕΣ ΚΛΕΙΣΙΜΑΤΟΣ'!D195)</f>
        <v>5.7031277279572575E-3</v>
      </c>
      <c r="E195" s="43">
        <f>LN('2.ΤΙΜΕΣ ΚΛΕΙΣΙΜΑΤΟΣ'!E196/'2.ΤΙΜΕΣ ΚΛΕΙΣΙΜΑΤΟΣ'!E195)</f>
        <v>1.6362152545950318E-3</v>
      </c>
      <c r="F195" s="43">
        <f>LN('2.ΤΙΜΕΣ ΚΛΕΙΣΙΜΑΤΟΣ'!F196/'2.ΤΙΜΕΣ ΚΛΕΙΣΙΜΑΤΟΣ'!F195)</f>
        <v>-1.6667052485211761E-2</v>
      </c>
      <c r="G195" s="43">
        <f>LN('2.ΤΙΜΕΣ ΚΛΕΙΣΙΜΑΤΟΣ'!G196/'2.ΤΙΜΕΣ ΚΛΕΙΣΙΜΑΤΟΣ'!G195)</f>
        <v>-1.1487652038733708E-3</v>
      </c>
      <c r="H195" s="43">
        <f>LN('2.ΤΙΜΕΣ ΚΛΕΙΣΙΜΑΤΟΣ'!H196/'2.ΤΙΜΕΣ ΚΛΕΙΣΙΜΑΤΟΣ'!H195)</f>
        <v>-1.9398648178265917E-3</v>
      </c>
      <c r="I195" s="43">
        <f>LN('2.ΤΙΜΕΣ ΚΛΕΙΣΙΜΑΤΟΣ'!I196/'2.ΤΙΜΕΣ ΚΛΕΙΣΙΜΑΤΟΣ'!I195)</f>
        <v>-1.0638398205055643E-2</v>
      </c>
      <c r="J195" s="43">
        <f>LN('2.ΤΙΜΕΣ ΚΛΕΙΣΙΜΑΤΟΣ'!J196/'2.ΤΙΜΕΣ ΚΛΕΙΣΙΜΑΤΟΣ'!J195)</f>
        <v>-7.3388412554428089E-3</v>
      </c>
      <c r="K195" s="43">
        <f>LN('2.ΤΙΜΕΣ ΚΛΕΙΣΙΜΑΤΟΣ'!K196/'2.ΤΙΜΕΣ ΚΛΕΙΣΙΜΑΤΟΣ'!K195)</f>
        <v>-1.0350868723656162E-2</v>
      </c>
      <c r="L195" s="43">
        <f>LN('2.ΤΙΜΕΣ ΚΛΕΙΣΙΜΑΤΟΣ'!L196/'2.ΤΙΜΕΣ ΚΛΕΙΣΙΜΑΤΟΣ'!L195)</f>
        <v>-6.134988567515944E-3</v>
      </c>
      <c r="M195" s="43">
        <f>LN('2.ΤΙΜΕΣ ΚΛΕΙΣΙΜΑΤΟΣ'!M196/'2.ΤΙΜΕΣ ΚΛΕΙΣΙΜΑΤΟΣ'!M195)</f>
        <v>-1.1393183829443163E-2</v>
      </c>
      <c r="N195" s="43">
        <f>LN('2.ΤΙΜΕΣ ΚΛΕΙΣΙΜΑΤΟΣ'!N196/'2.ΤΙΜΕΣ ΚΛΕΙΣΙΜΑΤΟΣ'!N195)</f>
        <v>1.1626501689136023E-2</v>
      </c>
      <c r="O195" s="43">
        <f>LN('2.ΤΙΜΕΣ ΚΛΕΙΣΙΜΑΤΟΣ'!O196/'2.ΤΙΜΕΣ ΚΛΕΙΣΙΜΑΤΟΣ'!O195)</f>
        <v>-2.0478531343540676E-2</v>
      </c>
      <c r="P195" s="43">
        <f>LN('2.ΤΙΜΕΣ ΚΛΕΙΣΙΜΑΤΟΣ'!P196/'2.ΤΙΜΕΣ ΚΛΕΙΣΙΜΑΤΟΣ'!P195)</f>
        <v>-1.2771565679487505E-2</v>
      </c>
      <c r="Q195" s="43">
        <f>LN('2.ΤΙΜΕΣ ΚΛΕΙΣΙΜΑΤΟΣ'!Q196/'2.ΤΙΜΕΣ ΚΛΕΙΣΙΜΑΤΟΣ'!Q195)</f>
        <v>8.7719860728370409E-3</v>
      </c>
      <c r="R195" s="43">
        <f>LN('2.ΤΙΜΕΣ ΚΛΕΙΣΙΜΑΤΟΣ'!R196/'2.ΤΙΜΕΣ ΚΛΕΙΣΙΜΑΤΟΣ'!R195)</f>
        <v>-1.5719232592490997E-2</v>
      </c>
      <c r="S195" s="43">
        <f>LN('2.ΤΙΜΕΣ ΚΛΕΙΣΙΜΑΤΟΣ'!S196/'2.ΤΙΜΕΣ ΚΛΕΙΣΙΜΑΤΟΣ'!S195)</f>
        <v>-3.4110323010629324E-3</v>
      </c>
      <c r="T195" s="43">
        <f>LN('2.ΤΙΜΕΣ ΚΛΕΙΣΙΜΑΤΟΣ'!T196/'2.ΤΙΜΕΣ ΚΛΕΙΣΙΜΑΤΟΣ'!T195)</f>
        <v>-1.6172859245601072E-2</v>
      </c>
      <c r="U195" s="43">
        <f>LN('2.ΤΙΜΕΣ ΚΛΕΙΣΙΜΑΤΟΣ'!U196/'2.ΤΙΜΕΣ ΚΛΕΙΣΙΜΑΤΟΣ'!U195)</f>
        <v>-2.4692612590371522E-2</v>
      </c>
      <c r="V195" s="43">
        <f>LN('2.ΤΙΜΕΣ ΚΛΕΙΣΙΜΑΤΟΣ'!V196/'2.ΤΙΜΕΣ ΚΛΕΙΣΙΜΑΤΟΣ'!V195)</f>
        <v>1.5401844611506484E-2</v>
      </c>
      <c r="W195" s="43">
        <f>LN('2.ΤΙΜΕΣ ΚΛΕΙΣΙΜΑΤΟΣ'!W196/'2.ΤΙΜΕΣ ΚΛΕΙΣΙΜΑΤΟΣ'!W195)</f>
        <v>1.523169459549888E-2</v>
      </c>
      <c r="X195" s="43">
        <f>LN('2.ΤΙΜΕΣ ΚΛΕΙΣΙΜΑΤΟΣ'!X196/'2.ΤΙΜΕΣ ΚΛΕΙΣΙΜΑΤΟΣ'!X195)</f>
        <v>4.9382816405825767E-3</v>
      </c>
      <c r="Y195" s="43">
        <f>LN('2.ΤΙΜΕΣ ΚΛΕΙΣΙΜΑΤΟΣ'!Y196/'2.ΤΙΜΕΣ ΚΛΕΙΣΙΜΑΤΟΣ'!Y195)</f>
        <v>2.0942416031149067E-3</v>
      </c>
      <c r="Z195" s="43">
        <f>LN('2.ΤΙΜΕΣ ΚΛΕΙΣΙΜΑΤΟΣ'!Z196/'2.ΤΙΜΕΣ ΚΛΕΙΣΙΜΑΤΟΣ'!Z195)</f>
        <v>-1.1049836186585046E-2</v>
      </c>
      <c r="AA195" s="43">
        <f>LN('2.ΤΙΜΕΣ ΚΛΕΙΣΙΜΑΤΟΣ'!AA196/'2.ΤΙΜΕΣ ΚΛΕΙΣΙΜΑΤΟΣ'!AA195)</f>
        <v>-2.6490081715768417E-3</v>
      </c>
      <c r="AB195" s="43">
        <f>LN('2.ΤΙΜΕΣ ΚΛΕΙΣΙΜΑΤΟΣ'!AB196/'2.ΤΙΜΕΣ ΚΛΕΙΣΙΜΑΤΟΣ'!AB195)</f>
        <v>-3.3955890011382718E-3</v>
      </c>
      <c r="AC195" s="43">
        <f>LN('2.ΤΙΜΕΣ ΚΛΕΙΣΙΜΑΤΟΣ'!AC196/'2.ΤΙΜΕΣ ΚΛΕΙΣΙΜΑΤΟΣ'!AC195)</f>
        <v>-5.4719698779933795E-3</v>
      </c>
      <c r="AD195" s="43">
        <f>LN('2.ΤΙΜΕΣ ΚΛΕΙΣΙΜΑΤΟΣ'!AD196/'2.ΤΙΜΕΣ ΚΛΕΙΣΙΜΑΤΟΣ'!AD195)</f>
        <v>-1.2921931416920562E-2</v>
      </c>
      <c r="AE195" s="43">
        <f>LN('2.ΤΙΜΕΣ ΚΛΕΙΣΙΜΑΤΟΣ'!AE196/'2.ΤΙΜΕΣ ΚΛΕΙΣΙΜΑΤΟΣ'!AE195)</f>
        <v>-1.1090686694158284E-2</v>
      </c>
      <c r="AF195" s="43">
        <f>LN('2.ΤΙΜΕΣ ΚΛΕΙΣΙΜΑΤΟΣ'!AF196/'2.ΤΙΜΕΣ ΚΛΕΙΣΙΜΑΤΟΣ'!AF195)</f>
        <v>-5.3050522296932291E-3</v>
      </c>
      <c r="AG195" s="43">
        <f>LN('2.ΤΙΜΕΣ ΚΛΕΙΣΙΜΑΤΟΣ'!AG196/'2.ΤΙΜΕΣ ΚΛΕΙΣΙΜΑΤΟΣ'!AG195)</f>
        <v>5.0761530318605679E-3</v>
      </c>
      <c r="AH195" s="43">
        <f>LN('2.ΤΙΜΕΣ ΚΛΕΙΣΙΜΑΤΟΣ'!AH196/'2.ΤΙΜΕΣ ΚΛΕΙΣΙΜΑΤΟΣ'!AH195)</f>
        <v>3.4545749525255756E-2</v>
      </c>
      <c r="AI195" s="43">
        <f>LN('2.ΤΙΜΕΣ ΚΛΕΙΣΙΜΑΤΟΣ'!AI196/'2.ΤΙΜΕΣ ΚΛΕΙΣΙΜΑΤΟΣ'!AI195)</f>
        <v>-3.8221212820197741E-2</v>
      </c>
      <c r="AJ195" s="43">
        <f>LN('2.ΤΙΜΕΣ ΚΛΕΙΣΙΜΑΤΟΣ'!AJ196/'2.ΤΙΜΕΣ ΚΛΕΙΣΙΜΑΤΟΣ'!AJ195)</f>
        <v>-1.2121360532344963E-2</v>
      </c>
      <c r="AK195" s="43">
        <f>LN('2.ΤΙΜΕΣ ΚΛΕΙΣΙΜΑΤΟΣ'!AK196/'2.ΤΙΜΕΣ ΚΛΕΙΣΙΜΑΤΟΣ'!AK195)</f>
        <v>2.3867481406643486E-2</v>
      </c>
      <c r="AL195" s="43">
        <f>LN('2.ΤΙΜΕΣ ΚΛΕΙΣΙΜΑΤΟΣ'!AL196/'2.ΤΙΜΕΣ ΚΛΕΙΣΙΜΑΤΟΣ'!AL195)</f>
        <v>-1.9231361927887644E-2</v>
      </c>
      <c r="AM195" s="43">
        <f>LN('2.ΤΙΜΕΣ ΚΛΕΙΣΙΜΑΤΟΣ'!AM196/'2.ΤΙΜΕΣ ΚΛΕΙΣΙΜΑΤΟΣ'!AM195)</f>
        <v>1.6760168857465101E-2</v>
      </c>
      <c r="AN195" s="43">
        <f>LN('2.ΤΙΜΕΣ ΚΛΕΙΣΙΜΑΤΟΣ'!AN196/'2.ΤΙΜΕΣ ΚΛΕΙΣΙΜΑΤΟΣ'!AN195)</f>
        <v>0</v>
      </c>
      <c r="AO195" s="43">
        <f>LN('2.ΤΙΜΕΣ ΚΛΕΙΣΙΜΑΤΟΣ'!AO196/'2.ΤΙΜΕΣ ΚΛΕΙΣΙΜΑΤΟΣ'!AO195)</f>
        <v>2.5036078161325047E-2</v>
      </c>
      <c r="AP195" s="43">
        <f>LN('2.ΤΙΜΕΣ ΚΛΕΙΣΙΜΑΤΟΣ'!AP196/'2.ΤΙΜΕΣ ΚΛΕΙΣΙΜΑΤΟΣ'!AP195)</f>
        <v>1.2936791030719581E-2</v>
      </c>
      <c r="AQ195" s="43">
        <f>LN('2.ΤΙΜΕΣ ΚΛΕΙΣΙΜΑΤΟΣ'!AQ196/'2.ΤΙΜΕΣ ΚΛΕΙΣΙΜΑΤΟΣ'!AQ195)</f>
        <v>-1.3293247110662742E-2</v>
      </c>
      <c r="AR195" s="43">
        <f>LN('2.ΤΙΜΕΣ ΚΛΕΙΣΙΜΑΤΟΣ'!AR196/'2.ΤΙΜΕΣ ΚΛΕΙΣΙΜΑΤΟΣ'!AR195)</f>
        <v>1.5184673538317307E-2</v>
      </c>
      <c r="AS195" s="43">
        <f>LN('2.ΤΙΜΕΣ ΚΛΕΙΣΙΜΑΤΟΣ'!AS196/'2.ΤΙΜΕΣ ΚΛΕΙΣΙΜΑΤΟΣ'!AS195)</f>
        <v>-2.950066439669799E-2</v>
      </c>
      <c r="AT195" s="43">
        <f>LN('2.ΤΙΜΕΣ ΚΛΕΙΣΙΜΑΤΟΣ'!AT196/'2.ΤΙΜΕΣ ΚΛΕΙΣΙΜΑΤΟΣ'!AT195)</f>
        <v>0</v>
      </c>
      <c r="AU195" s="43">
        <f>LN('2.ΤΙΜΕΣ ΚΛΕΙΣΙΜΑΤΟΣ'!AU196/'2.ΤΙΜΕΣ ΚΛΕΙΣΙΜΑΤΟΣ'!AU195)</f>
        <v>-2.6274688169122895E-3</v>
      </c>
    </row>
    <row r="196" spans="1:47">
      <c r="A196" s="41">
        <v>43843</v>
      </c>
      <c r="B196" s="43">
        <f>LN('2.ΤΙΜΕΣ ΚΛΕΙΣΙΜΑΤΟΣ'!B197/'2.ΤΙΜΕΣ ΚΛΕΙΣΙΜΑΤΟΣ'!B196)</f>
        <v>-2.1554638574948222E-2</v>
      </c>
      <c r="C196" s="43">
        <f>LN('2.ΤΙΜΕΣ ΚΛΕΙΣΙΜΑΤΟΣ'!C197/'2.ΤΙΜΕΣ ΚΛΕΙΣΙΜΑΤΟΣ'!C196)</f>
        <v>1.4492756159904376E-3</v>
      </c>
      <c r="D196" s="43">
        <f>LN('2.ΤΙΜΕΣ ΚΛΕΙΣΙΜΑΤΟΣ'!D197/'2.ΤΙΜΕΣ ΚΛΕΙΣΙΜΑΤΟΣ'!D196)</f>
        <v>-2.1266042191494649E-2</v>
      </c>
      <c r="E196" s="43">
        <f>LN('2.ΤΙΜΕΣ ΚΛΕΙΣΙΜΑΤΟΣ'!E197/'2.ΤΙΜΕΣ ΚΛΕΙΣΙΜΑΤΟΣ'!E196)</f>
        <v>-7.6586807610626939E-3</v>
      </c>
      <c r="F196" s="43">
        <f>LN('2.ΤΙΜΕΣ ΚΛΕΙΣΙΜΑΤΟΣ'!F197/'2.ΤΙΜΕΣ ΚΛΕΙΣΙΜΑΤΟΣ'!F196)</f>
        <v>0</v>
      </c>
      <c r="G196" s="43">
        <f>LN('2.ΤΙΜΕΣ ΚΛΕΙΣΙΜΑΤΟΣ'!G197/'2.ΤΙΜΕΣ ΚΛΕΙΣΙΜΑΤΟΣ'!G196)</f>
        <v>-1.9733664156950249E-2</v>
      </c>
      <c r="H196" s="43">
        <f>LN('2.ΤΙΜΕΣ ΚΛΕΙΣΙΜΑΤΟΣ'!H197/'2.ΤΙΜΕΣ ΚΛΕΙΣΙΜΑΤΟΣ'!H196)</f>
        <v>7.7369825021524011E-3</v>
      </c>
      <c r="I196" s="43">
        <f>LN('2.ΤΙΜΕΣ ΚΛΕΙΣΙΜΑΤΟΣ'!I197/'2.ΤΙΜΕΣ ΚΛΕΙΣΙΜΑΤΟΣ'!I196)</f>
        <v>-1.4543752178809106E-2</v>
      </c>
      <c r="J196" s="43">
        <f>LN('2.ΤΙΜΕΣ ΚΛΕΙΣΙΜΑΤΟΣ'!J197/'2.ΤΙΜΕΣ ΚΛΕΙΣΙΜΑΤΟΣ'!J196)</f>
        <v>-1.0932924980512789E-2</v>
      </c>
      <c r="K196" s="43">
        <f>LN('2.ΤΙΜΕΣ ΚΛΕΙΣΙΜΑΤΟΣ'!K197/'2.ΤΙΜΕΣ ΚΛΕΙΣΙΜΑΤΟΣ'!K196)</f>
        <v>-1.279831314330962E-2</v>
      </c>
      <c r="L196" s="43">
        <f>LN('2.ΤΙΜΕΣ ΚΛΕΙΣΙΜΑΤΟΣ'!L197/'2.ΤΙΜΕΣ ΚΛΕΙΣΙΜΑΤΟΣ'!L196)</f>
        <v>6.1349885675159293E-3</v>
      </c>
      <c r="M196" s="43">
        <f>LN('2.ΤΙΜΕΣ ΚΛΕΙΣΙΜΑΤΟΣ'!M197/'2.ΤΙΜΕΣ ΚΛΕΙΣΙΜΑΤΟΣ'!M196)</f>
        <v>1.0362787035546658E-2</v>
      </c>
      <c r="N196" s="43">
        <f>LN('2.ΤΙΜΕΣ ΚΛΕΙΣΙΜΑΤΟΣ'!N197/'2.ΤΙΜΕΣ ΚΛΕΙΣΙΜΑΤΟΣ'!N196)</f>
        <v>1.0193501750841133E-2</v>
      </c>
      <c r="O196" s="43">
        <f>LN('2.ΤΙΜΕΣ ΚΛΕΙΣΙΜΑΤΟΣ'!O197/'2.ΤΙΜΕΣ ΚΛΕΙΣΙΜΑΤΟΣ'!O196)</f>
        <v>-4.1465159618485773E-3</v>
      </c>
      <c r="P196" s="43">
        <f>LN('2.ΤΙΜΕΣ ΚΛΕΙΣΙΜΑΤΟΣ'!P197/'2.ΤΙΜΕΣ ΚΛΕΙΣΙΜΑΤΟΣ'!P196)</f>
        <v>-5.1546505886645375E-3</v>
      </c>
      <c r="Q196" s="43">
        <f>LN('2.ΤΙΜΕΣ ΚΛΕΙΣΙΜΑΤΟΣ'!Q197/'2.ΤΙΜΕΣ ΚΛΕΙΣΙΜΑΤΟΣ'!Q196)</f>
        <v>2.9504291310575092E-2</v>
      </c>
      <c r="R196" s="43">
        <f>LN('2.ΤΙΜΕΣ ΚΛΕΙΣΙΜΑΤΟΣ'!R197/'2.ΤΙΜΕΣ ΚΛΕΙΣΙΜΑΤΟΣ'!R196)</f>
        <v>-1.6443875342323021E-2</v>
      </c>
      <c r="S196" s="43">
        <f>LN('2.ΤΙΜΕΣ ΚΛΕΙΣΙΜΑΤΟΣ'!S197/'2.ΤΙΜΕΣ ΚΛΕΙΣΙΜΑΤΟΣ'!S196)</f>
        <v>5.6786069688435142E-3</v>
      </c>
      <c r="T196" s="43">
        <f>LN('2.ΤΙΜΕΣ ΚΛΕΙΣΙΜΑΤΟΣ'!T197/'2.ΤΙΜΕΣ ΚΛΕΙΣΙΜΑΤΟΣ'!T196)</f>
        <v>-5.449604767564703E-3</v>
      </c>
      <c r="U196" s="43">
        <f>LN('2.ΤΙΜΕΣ ΚΛΕΙΣΙΜΑΤΟΣ'!U197/'2.ΤΙΜΕΣ ΚΛΕΙΣΙΜΑΤΟΣ'!U196)</f>
        <v>-1.2578782206860073E-2</v>
      </c>
      <c r="V196" s="43">
        <f>LN('2.ΤΙΜΕΣ ΚΛΕΙΣΙΜΑΤΟΣ'!V197/'2.ΤΙΜΕΣ ΚΛΕΙΣΙΜΑΤΟΣ'!V196)</f>
        <v>-1.5401844611506477E-2</v>
      </c>
      <c r="W196" s="43">
        <f>LN('2.ΤΙΜΕΣ ΚΛΕΙΣΙΜΑΤΟΣ'!W197/'2.ΤΙΜΕΣ ΚΛΕΙΣΙΜΑΤΟΣ'!W196)</f>
        <v>0</v>
      </c>
      <c r="X196" s="43">
        <f>LN('2.ΤΙΜΕΣ ΚΛΕΙΣΙΜΑΤΟΣ'!X197/'2.ΤΙΜΕΣ ΚΛΕΙΣΙΜΑΤΟΣ'!X196)</f>
        <v>-7.416597655049483E-3</v>
      </c>
      <c r="Y196" s="43">
        <f>LN('2.ΤΙΜΕΣ ΚΛΕΙΣΙΜΑΤΟΣ'!Y197/'2.ΤΙΜΕΣ ΚΛΕΙΣΙΜΑΤΟΣ'!Y196)</f>
        <v>6.2565376143051375E-3</v>
      </c>
      <c r="Z196" s="43">
        <f>LN('2.ΤΙΜΕΣ ΚΛΕΙΣΙΜΑΤΟΣ'!Z197/'2.ΤΙΜΕΣ ΚΛΕΙΣΙΜΑΤΟΣ'!Z196)</f>
        <v>-7.4349784875180902E-3</v>
      </c>
      <c r="AA196" s="43">
        <f>LN('2.ΤΙΜΕΣ ΚΛΕΙΣΙΜΑΤΟΣ'!AA197/'2.ΤΙΜΕΣ ΚΛΕΙΣΙΜΑΤΟΣ'!AA196)</f>
        <v>-1.8742181809740639E-2</v>
      </c>
      <c r="AB196" s="43">
        <f>LN('2.ΤΙΜΕΣ ΚΛΕΙΣΙΜΑΤΟΣ'!AB197/'2.ΤΙΜΕΣ ΚΛΕΙΣΙΜΑΤΟΣ'!AB196)</f>
        <v>-1.8884681390527437E-2</v>
      </c>
      <c r="AC196" s="43">
        <f>LN('2.ΤΙΜΕΣ ΚΛΕΙΣΙΜΑΤΟΣ'!AC197/'2.ΤΙΜΕΣ ΚΛΕΙΣΙΜΑΤΟΣ'!AC196)</f>
        <v>-5.5020771539834217E-3</v>
      </c>
      <c r="AD196" s="43">
        <f>LN('2.ΤΙΜΕΣ ΚΛΕΙΣΙΜΑΤΟΣ'!AD197/'2.ΤΙΜΕΣ ΚΛΕΙΣΙΜΑΤΟΣ'!AD196)</f>
        <v>1.2921931416920588E-2</v>
      </c>
      <c r="AE196" s="43">
        <f>LN('2.ΤΙΜΕΣ ΚΛΕΙΣΙΜΑΤΟΣ'!AE197/'2.ΤΙΜΕΣ ΚΛΕΙΣΙΜΑΤΟΣ'!AE196)</f>
        <v>7.4074412778618176E-3</v>
      </c>
      <c r="AF196" s="43">
        <f>LN('2.ΤΙΜΕΣ ΚΛΕΙΣΙΜΑΤΟΣ'!AF197/'2.ΤΙΜΕΣ ΚΛΕΙΣΙΜΑΤΟΣ'!AF196)</f>
        <v>-2.3682484643558981E-2</v>
      </c>
      <c r="AG196" s="43">
        <f>LN('2.ΤΙΜΕΣ ΚΛΕΙΣΙΜΑΤΟΣ'!AG197/'2.ΤΙΜΕΣ ΚΛΕΙΣΙΜΑΤΟΣ'!AG196)</f>
        <v>2.5284463533586906E-3</v>
      </c>
      <c r="AH196" s="43">
        <f>LN('2.ΤΙΜΕΣ ΚΛΕΙΣΙΜΑΤΟΣ'!AH197/'2.ΤΙΜΕΣ ΚΛΕΙΣΙΜΑΤΟΣ'!AH196)</f>
        <v>1.3490929741015288E-2</v>
      </c>
      <c r="AI196" s="43">
        <f>LN('2.ΤΙΜΕΣ ΚΛΕΙΣΙΜΑΤΟΣ'!AI197/'2.ΤΙΜΕΣ ΚΛΕΙΣΙΜΑΤΟΣ'!AI196)</f>
        <v>0</v>
      </c>
      <c r="AJ196" s="43">
        <f>LN('2.ΤΙΜΕΣ ΚΛΕΙΣΙΜΑΤΟΣ'!AJ197/'2.ΤΙΜΕΣ ΚΛΕΙΣΙΜΑΤΟΣ'!AJ196)</f>
        <v>-2.0534602441707753E-2</v>
      </c>
      <c r="AK196" s="43">
        <f>LN('2.ΤΙΜΕΣ ΚΛΕΙΣΙΜΑΤΟΣ'!AK197/'2.ΤΙΜΕΣ ΚΛΕΙΣΙΜΑΤΟΣ'!AK196)</f>
        <v>-1.9048194970694474E-2</v>
      </c>
      <c r="AL196" s="43">
        <f>LN('2.ΤΙΜΕΣ ΚΛΕΙΣΙΜΑΤΟΣ'!AL197/'2.ΤΙΜΕΣ ΚΛΕΙΣΙΜΑΤΟΣ'!AL196)</f>
        <v>5.6618893999507904E-2</v>
      </c>
      <c r="AM196" s="43">
        <f>LN('2.ΤΙΜΕΣ ΚΛΕΙΣΙΜΑΤΟΣ'!AM197/'2.ΤΙΜΕΣ ΚΛΕΙΣΙΜΑΤΟΣ'!AM196)</f>
        <v>2.76625349289011E-3</v>
      </c>
      <c r="AN196" s="43">
        <f>LN('2.ΤΙΜΕΣ ΚΛΕΙΣΙΜΑΤΟΣ'!AN197/'2.ΤΙΜΕΣ ΚΛΕΙΣΙΜΑΤΟΣ'!AN196)</f>
        <v>4.015137864623454E-2</v>
      </c>
      <c r="AO196" s="43">
        <f>LN('2.ΤΙΜΕΣ ΚΛΕΙΣΙΜΑΤΟΣ'!AO197/'2.ΤΙΜΕΣ ΚΛΕΙΣΙΜΑΤΟΣ'!AO196)</f>
        <v>1.3642776403786479E-2</v>
      </c>
      <c r="AP196" s="43">
        <f>LN('2.ΤΙΜΕΣ ΚΛΕΙΣΙΜΑΤΟΣ'!AP197/'2.ΤΙΜΕΣ ΚΛΕΙΣΙΜΑΤΟΣ'!AP196)</f>
        <v>-7.7419741536155088E-3</v>
      </c>
      <c r="AQ196" s="43">
        <f>LN('2.ΤΙΜΕΣ ΚΛΕΙΣΙΜΑΤΟΣ'!AQ197/'2.ΤΙΜΕΣ ΚΛΕΙΣΙΜΑΤΟΣ'!AQ196)</f>
        <v>1.2158056208899498E-3</v>
      </c>
      <c r="AR196" s="43">
        <f>LN('2.ΤΙΜΕΣ ΚΛΕΙΣΙΜΑΤΟΣ'!AR197/'2.ΤΙΜΕΣ ΚΛΕΙΣΙΜΑΤΟΣ'!AR196)</f>
        <v>-5.9884852456224193E-2</v>
      </c>
      <c r="AS196" s="43">
        <f>LN('2.ΤΙΜΕΣ ΚΛΕΙΣΙΜΑΤΟΣ'!AS197/'2.ΤΙΜΕΣ ΚΛΕΙΣΙΜΑΤΟΣ'!AS196)</f>
        <v>0</v>
      </c>
      <c r="AT196" s="43">
        <f>LN('2.ΤΙΜΕΣ ΚΛΕΙΣΙΜΑΤΟΣ'!AT197/'2.ΤΙΜΕΣ ΚΛΕΙΣΙΜΑΤΟΣ'!AT196)</f>
        <v>-7.8431774610258926E-3</v>
      </c>
      <c r="AU196" s="43">
        <f>LN('2.ΤΙΜΕΣ ΚΛΕΙΣΙΜΑΤΟΣ'!AU197/'2.ΤΙΜΕΣ ΚΛΕΙΣΙΜΑΤΟΣ'!AU196)</f>
        <v>-4.60115189230236E-3</v>
      </c>
    </row>
    <row r="197" spans="1:47">
      <c r="A197" s="41">
        <v>43844</v>
      </c>
      <c r="B197" s="43">
        <f>LN('2.ΤΙΜΕΣ ΚΛΕΙΣΙΜΑΤΟΣ'!B198/'2.ΤΙΜΕΣ ΚΛΕΙΣΙΜΑΤΟΣ'!B197)</f>
        <v>2.5683594734695381E-2</v>
      </c>
      <c r="C197" s="43">
        <f>LN('2.ΤΙΜΕΣ ΚΛΕΙΣΙΜΑΤΟΣ'!C198/'2.ΤΙΜΕΣ ΚΛΕΙΣΙΜΑΤΟΣ'!C197)</f>
        <v>6.4958727154452349E-3</v>
      </c>
      <c r="D197" s="43">
        <f>LN('2.ΤΙΜΕΣ ΚΛΕΙΣΙΜΑΤΟΣ'!D198/'2.ΤΙΜΕΣ ΚΛΕΙΣΙΜΑΤΟΣ'!D197)</f>
        <v>1.6583751727761256E-3</v>
      </c>
      <c r="E197" s="43">
        <f>LN('2.ΤΙΜΕΣ ΚΛΕΙΣΙΜΑΤΟΣ'!E198/'2.ΤΙΜΕΣ ΚΛΕΙΣΙΜΑΤΟΣ'!E197)</f>
        <v>-1.1043734551651835E-2</v>
      </c>
      <c r="F197" s="43">
        <f>LN('2.ΤΙΜΕΣ ΚΛΕΙΣΙΜΑΤΟΣ'!F198/'2.ΤΙΜΕΣ ΚΛΕΙΣΙΜΑΤΟΣ'!F197)</f>
        <v>7.1770643003636501E-3</v>
      </c>
      <c r="G197" s="43">
        <f>LN('2.ΤΙΜΕΣ ΚΛΕΙΣΙΜΑΤΟΣ'!G198/'2.ΤΙΜΕΣ ΚΛΕΙΣΙΜΑΤΟΣ'!G197)</f>
        <v>8.1728417558743858E-3</v>
      </c>
      <c r="H197" s="43">
        <f>LN('2.ΤΙΜΕΣ ΚΛΕΙΣΙΜΑΤΟΣ'!H198/'2.ΤΙΜΕΣ ΚΛΕΙΣΙΜΑΤΟΣ'!H197)</f>
        <v>-1.3579258126380866E-2</v>
      </c>
      <c r="I197" s="43">
        <f>LN('2.ΤΙΜΕΣ ΚΛΕΙΣΙΜΑΤΟΣ'!I198/'2.ΤΙΜΕΣ ΚΛΕΙΣΙΜΑΤΟΣ'!I197)</f>
        <v>-1.5309210970872096E-2</v>
      </c>
      <c r="J197" s="43">
        <f>LN('2.ΤΙΜΕΣ ΚΛΕΙΣΙΜΑΤΟΣ'!J198/'2.ΤΙΜΕΣ ΚΛΕΙΣΙΜΑΤΟΣ'!J197)</f>
        <v>2.1053409197832263E-2</v>
      </c>
      <c r="K197" s="43">
        <f>LN('2.ΤΙΜΕΣ ΚΛΕΙΣΙΜΑΤΟΣ'!K198/'2.ΤΙΜΕΣ ΚΛΕΙΣΙΜΑΤΟΣ'!K197)</f>
        <v>-1.1778699192612763E-2</v>
      </c>
      <c r="L197" s="43">
        <f>LN('2.ΤΙΜΕΣ ΚΛΕΙΣΙΜΑΤΟΣ'!L198/'2.ΤΙΜΕΣ ΚΛΕΙΣΙΜΑΤΟΣ'!L197)</f>
        <v>1.2158204479809363E-2</v>
      </c>
      <c r="M197" s="43">
        <f>LN('2.ΤΙΜΕΣ ΚΛΕΙΣΙΜΑΤΟΣ'!M198/'2.ΤΙΜΕΣ ΚΛΕΙΣΙΜΑΤΟΣ'!M197)</f>
        <v>-2.0834086902841914E-2</v>
      </c>
      <c r="N197" s="43">
        <f>LN('2.ΤΙΜΕΣ ΚΛΕΙΣΙΜΑΤΟΣ'!N198/'2.ΤΙΜΕΣ ΚΛΕΙΣΙΜΑΤΟΣ'!N197)</f>
        <v>1.7656235458913101E-2</v>
      </c>
      <c r="O197" s="43">
        <f>LN('2.ΤΙΜΕΣ ΚΛΕΙΣΙΜΑΤΟΣ'!O198/'2.ΤΙΜΕΣ ΚΛΕΙΣΙΜΑΤΟΣ'!O197)</f>
        <v>4.3367229115129864E-2</v>
      </c>
      <c r="P197" s="43">
        <f>LN('2.ΤΙΜΕΣ ΚΛΕΙΣΙΜΑΤΟΣ'!P198/'2.ΤΙΜΕΣ ΚΛΕΙΣΙΜΑΤΟΣ'!P197)</f>
        <v>1.4111844192681196E-2</v>
      </c>
      <c r="Q197" s="43">
        <f>LN('2.ΤΙΜΕΣ ΚΛΕΙΣΙΜΑΤΟΣ'!Q198/'2.ΤΙΜΕΣ ΚΛΕΙΣΙΜΑΤΟΣ'!Q197)</f>
        <v>-6.0587702550183361E-4</v>
      </c>
      <c r="R197" s="43">
        <f>LN('2.ΤΙΜΕΣ ΚΛΕΙΣΙΜΑΤΟΣ'!R198/'2.ΤΙΜΕΣ ΚΛΕΙΣΙΜΑΤΟΣ'!R197)</f>
        <v>5.1972713256076665E-3</v>
      </c>
      <c r="S197" s="43">
        <f>LN('2.ΤΙΜΕΣ ΚΛΕΙΣΙΜΑΤΟΣ'!S198/'2.ΤΙΜΕΣ ΚΛΕΙΣΙΜΑΤΟΣ'!S197)</f>
        <v>-9.1013142463456358E-3</v>
      </c>
      <c r="T197" s="43">
        <f>LN('2.ΤΙΜΕΣ ΚΛΕΙΣΙΜΑΤΟΣ'!T198/'2.ΤΙΜΕΣ ΚΛΕΙΣΙΜΑΤΟΣ'!T197)</f>
        <v>1.0869672236903891E-2</v>
      </c>
      <c r="U197" s="43">
        <f>LN('2.ΤΙΜΕΣ ΚΛΕΙΣΙΜΑΤΟΣ'!U198/'2.ΤΙΜΕΣ ΚΛΕΙΣΙΜΑΤΟΣ'!U197)</f>
        <v>4.2105325363434578E-3</v>
      </c>
      <c r="V197" s="43">
        <f>LN('2.ΤΙΜΕΣ ΚΛΕΙΣΙΜΑΤΟΣ'!V198/'2.ΤΙΜΕΣ ΚΛΕΙΣΙΜΑΤΟΣ'!V197)</f>
        <v>2.2148403295528213E-3</v>
      </c>
      <c r="W197" s="43">
        <f>LN('2.ΤΙΜΕΣ ΚΛΕΙΣΙΜΑΤΟΣ'!W198/'2.ΤΙΜΕΣ ΚΛΕΙΣΙΜΑΤΟΣ'!W197)</f>
        <v>5.7971176843259146E-3</v>
      </c>
      <c r="X197" s="43">
        <f>LN('2.ΤΙΜΕΣ ΚΛΕΙΣΙΜΑΤΟΣ'!X198/'2.ΤΙΜΕΣ ΚΛΕΙΣΙΜΑΤΟΣ'!X197)</f>
        <v>4.9505051598559835E-3</v>
      </c>
      <c r="Y197" s="43">
        <f>LN('2.ΤΙΜΕΣ ΚΛΕΙΣΙΜΑΤΟΣ'!Y198/'2.ΤΙΜΕΣ ΚΛΕΙΣΙΜΑΤΟΣ'!Y197)</f>
        <v>-6.2565376143050369E-3</v>
      </c>
      <c r="Z197" s="43">
        <f>LN('2.ΤΙΜΕΣ ΚΛΕΙΣΙΜΑΤΟΣ'!Z198/'2.ΤΙΜΕΣ ΚΛΕΙΣΙΜΑΤΟΣ'!Z197)</f>
        <v>0</v>
      </c>
      <c r="AA197" s="43">
        <f>LN('2.ΤΙΜΕΣ ΚΛΕΙΣΙΜΑΤΟΣ'!AA198/'2.ΤΙΜΕΣ ΚΛΕΙΣΙΜΑΤΟΣ'!AA197)</f>
        <v>5.390848634876373E-3</v>
      </c>
      <c r="AB197" s="43">
        <f>LN('2.ΤΙΜΕΣ ΚΛΕΙΣΙΜΑΤΟΣ'!AB198/'2.ΤΙΜΕΣ ΚΛΕΙΣΙΜΑΤΟΣ'!AB197)</f>
        <v>-1.7346058122083075E-3</v>
      </c>
      <c r="AC197" s="43">
        <f>LN('2.ΤΙΜΕΣ ΚΛΕΙΣΙΜΑΤΟΣ'!AC198/'2.ΤΙΜΕΣ ΚΛΕΙΣΙΜΑΤΟΣ'!AC197)</f>
        <v>-6.9204428445737952E-3</v>
      </c>
      <c r="AD197" s="43">
        <f>LN('2.ΤΙΜΕΣ ΚΛΕΙΣΙΜΑΤΟΣ'!AD198/'2.ΤΙΜΕΣ ΚΛΕΙΣΙΜΑΤΟΣ'!AD197)</f>
        <v>1.6973533379705967E-2</v>
      </c>
      <c r="AE197" s="43">
        <f>LN('2.ΤΙΜΕΣ ΚΛΕΙΣΙΜΑΤΟΣ'!AE198/'2.ΤΙΜΕΣ ΚΛΕΙΣΙΜΑΤΟΣ'!AE197)</f>
        <v>3.6832454162965891E-3</v>
      </c>
      <c r="AF197" s="43">
        <f>LN('2.ΤΙΜΕΣ ΚΛΕΙΣΙΜΑΤΟΣ'!AF198/'2.ΤΙΜΕΣ ΚΛΕΙΣΙΜΑΤΟΣ'!AF197)</f>
        <v>1.0834342165710146E-2</v>
      </c>
      <c r="AG197" s="43">
        <f>LN('2.ΤΙΜΕΣ ΚΛΕΙΣΙΜΑΤΟΣ'!AG198/'2.ΤΙΜΕΣ ΚΛΕΙΣΙΜΑΤΟΣ'!AG197)</f>
        <v>-2.8170876966696335E-2</v>
      </c>
      <c r="AH197" s="43">
        <f>LN('2.ΤΙΜΕΣ ΚΛΕΙΣΙΜΑΤΟΣ'!AH198/'2.ΤΙΜΕΣ ΚΛΕΙΣΙΜΑΤΟΣ'!AH197)</f>
        <v>1.6736405580296937E-3</v>
      </c>
      <c r="AI197" s="43">
        <f>LN('2.ΤΙΜΕΣ ΚΛΕΙΣΙΜΑΤΟΣ'!AI198/'2.ΤΙΜΕΣ ΚΛΕΙΣΙΜΑΤΟΣ'!AI197)</f>
        <v>0</v>
      </c>
      <c r="AJ197" s="43">
        <f>LN('2.ΤΙΜΕΣ ΚΛΕΙΣΙΜΑΤΟΣ'!AJ198/'2.ΤΙΜΕΣ ΚΛΕΙΣΙΜΑΤΟΣ'!AJ197)</f>
        <v>-8.3333815591442994E-3</v>
      </c>
      <c r="AK197" s="43">
        <f>LN('2.ΤΙΜΕΣ ΚΛΕΙΣΙΜΑΤΟΣ'!AK198/'2.ΤΙΜΕΣ ΚΛΕΙΣΙΜΑΤΟΣ'!AK197)</f>
        <v>4.7961722634930135E-3</v>
      </c>
      <c r="AL197" s="43">
        <f>LN('2.ΤΙΜΕΣ ΚΛΕΙΣΙΜΑΤΟΣ'!AL198/'2.ΤΙΜΕΣ ΚΛΕΙΣΙΜΑΤΟΣ'!AL197)</f>
        <v>-9.2166551049240632E-3</v>
      </c>
      <c r="AM197" s="43">
        <f>LN('2.ΤΙΜΕΣ ΚΛΕΙΣΙΜΑΤΟΣ'!AM198/'2.ΤΙΜΕΣ ΚΛΕΙΣΙΜΑΤΟΣ'!AM197)</f>
        <v>1.0989121575595165E-2</v>
      </c>
      <c r="AN197" s="43">
        <f>LN('2.ΤΙΜΕΣ ΚΛΕΙΣΙΜΑΤΟΣ'!AN198/'2.ΤΙΜΕΣ ΚΛΕΙΣΙΜΑΤΟΣ'!AN197)</f>
        <v>2.4736243559640131E-2</v>
      </c>
      <c r="AO197" s="43">
        <f>LN('2.ΤΙΜΕΣ ΚΛΕΙΣΙΜΑΤΟΣ'!AO198/'2.ΤΙΜΕΣ ΚΛΕΙΣΙΜΑΤΟΣ'!AO197)</f>
        <v>-2.7474255552248351E-2</v>
      </c>
      <c r="AP197" s="43">
        <f>LN('2.ΤΙΜΕΣ ΚΛΕΙΣΙΜΑΤΟΣ'!AP198/'2.ΤΙΜΕΣ ΚΛΕΙΣΙΜΑΤΟΣ'!AP197)</f>
        <v>-5.1948168771040228E-3</v>
      </c>
      <c r="AQ197" s="43">
        <f>LN('2.ΤΙΜΕΣ ΚΛΕΙΣΙΜΑΤΟΣ'!AQ198/'2.ΤΙΜΕΣ ΚΛΕΙΣΙΜΑΤΟΣ'!AQ197)</f>
        <v>7.0368999926890247E-2</v>
      </c>
      <c r="AR197" s="43">
        <f>LN('2.ΤΙΜΕΣ ΚΛΕΙΣΙΜΑΤΟΣ'!AR198/'2.ΤΙΜΕΣ ΚΛΕΙΣΙΜΑΤΟΣ'!AR197)</f>
        <v>2.8170876966696439E-2</v>
      </c>
      <c r="AS197" s="43">
        <f>LN('2.ΤΙΜΕΣ ΚΛΕΙΣΙΜΑΤΟΣ'!AS198/'2.ΤΙΜΕΣ ΚΛΕΙΣΙΜΑΤΟΣ'!AS197)</f>
        <v>5.9701669865037544E-3</v>
      </c>
      <c r="AT197" s="43">
        <f>LN('2.ΤΙΜΕΣ ΚΛΕΙΣΙΜΑΤΟΣ'!AT198/'2.ΤΙΜΕΣ ΚΛΕΙΣΙΜΑΤΟΣ'!AT197)</f>
        <v>7.8431774610258787E-3</v>
      </c>
      <c r="AU197" s="43">
        <f>LN('2.ΤΙΜΕΣ ΚΛΕΙΣΙΜΑΤΟΣ'!AU198/'2.ΤΙΜΕΣ ΚΛΕΙΣΙΜΑΤΟΣ'!AU197)</f>
        <v>4.6661108599108624E-3</v>
      </c>
    </row>
    <row r="198" spans="1:47">
      <c r="A198" s="41">
        <v>43845</v>
      </c>
      <c r="B198" s="43">
        <f>LN('2.ΤΙΜΕΣ ΚΛΕΙΣΙΜΑΤΟΣ'!B199/'2.ΤΙΜΕΣ ΚΛΕΙΣΙΜΑΤΟΣ'!B198)</f>
        <v>2.0392863563140535E-2</v>
      </c>
      <c r="C198" s="43">
        <f>LN('2.ΤΙΜΕΣ ΚΛΕΙΣΙΜΑΤΟΣ'!C199/'2.ΤΙΜΕΣ ΚΛΕΙΣΙΜΑΤΟΣ'!C198)</f>
        <v>-1.4493007302566864E-2</v>
      </c>
      <c r="D198" s="43">
        <f>LN('2.ΤΙΜΕΣ ΚΛΕΙΣΙΜΑΤΟΣ'!D199/'2.ΤΙΜΕΣ ΚΛΕΙΣΙΜΑΤΟΣ'!D198)</f>
        <v>1.6556295172611565E-3</v>
      </c>
      <c r="E198" s="43">
        <f>LN('2.ΤΙΜΕΣ ΚΛΕΙΣΙΜΑΤΟΣ'!E199/'2.ΤΙΜΕΣ ΚΛΕΙΣΙΜΑΤΟΣ'!E198)</f>
        <v>-5.5540129170012875E-4</v>
      </c>
      <c r="F198" s="43">
        <f>LN('2.ΤΙΜΕΣ ΚΛΕΙΣΙΜΑΤΟΣ'!F199/'2.ΤΙΜΕΣ ΚΛΕΙΣΙΜΑΤΟΣ'!F198)</f>
        <v>1.1911853701530102E-3</v>
      </c>
      <c r="G198" s="43">
        <f>LN('2.ΤΙΜΕΣ ΚΛΕΙΣΙΜΑΤΟΣ'!G199/'2.ΤΙΜΕΣ ΚΛΕΙΣΙΜΑΤΟΣ'!G198)</f>
        <v>4.5462374076757413E-2</v>
      </c>
      <c r="H198" s="43">
        <f>LN('2.ΤΙΜΕΣ ΚΛΕΙΣΙΜΑΤΟΣ'!H199/'2.ΤΙΜΕΣ ΚΛΕΙΣΙΜΑΤΟΣ'!H198)</f>
        <v>-8.827914123565388E-3</v>
      </c>
      <c r="I198" s="43">
        <f>LN('2.ΤΙΜΕΣ ΚΛΕΙΣΙΜΑΤΟΣ'!I199/'2.ΤΙΜΕΣ ΚΛΕΙΣΙΜΑΤΟΣ'!I198)</f>
        <v>2.4491020008295911E-2</v>
      </c>
      <c r="J198" s="43">
        <f>LN('2.ΤΙΜΕΣ ΚΛΕΙΣΙΜΑΤΟΣ'!J199/'2.ΤΙΜΕΣ ΚΛΕΙΣΙΜΑΤΟΣ'!J198)</f>
        <v>2.7398974188114562E-2</v>
      </c>
      <c r="K198" s="43">
        <f>LN('2.ΤΙΜΕΣ ΚΛΕΙΣΙΜΑΤΟΣ'!K199/'2.ΤΙΜΕΣ ΚΛΕΙΣΙΜΑΤΟΣ'!K198)</f>
        <v>1.184132761216772E-3</v>
      </c>
      <c r="L198" s="43">
        <f>LN('2.ΤΙΜΕΣ ΚΛΕΙΣΙΜΑΤΟΣ'!L199/'2.ΤΙΜΕΣ ΚΛΕΙΣΙΜΑΤΟΣ'!L198)</f>
        <v>-3.0257209165369561E-3</v>
      </c>
      <c r="M198" s="43">
        <f>LN('2.ΤΙΜΕΣ ΚΛΕΙΣΙΜΑΤΟΣ'!M199/'2.ΤΙΜΕΣ ΚΛΕΙΣΙΜΑΤΟΣ'!M198)</f>
        <v>-5.2770571008438931E-3</v>
      </c>
      <c r="N198" s="43">
        <f>LN('2.ΤΙΜΕΣ ΚΛΕΙΣΙΜΑΤΟΣ'!N199/'2.ΤΙΜΕΣ ΚΛΕΙΣΙΜΑΤΟΣ'!N198)</f>
        <v>1.7475435225622598E-2</v>
      </c>
      <c r="O198" s="43">
        <f>LN('2.ΤΙΜΕΣ ΚΛΕΙΣΙΜΑΤΟΣ'!O199/'2.ΤΙΜΕΣ ΚΛΕΙΣΙΜΑΤΟΣ'!O198)</f>
        <v>6.6094093876738072E-3</v>
      </c>
      <c r="P198" s="43">
        <f>LN('2.ΤΙΜΕΣ ΚΛΕΙΣΙΜΑΤΟΣ'!P199/'2.ΤΙΜΕΣ ΚΛΕΙΣΙΜΑΤΟΣ'!P198)</f>
        <v>-7.6726719116601665E-3</v>
      </c>
      <c r="Q198" s="43">
        <f>LN('2.ΤΙΜΕΣ ΚΛΕΙΣΙΜΑΤΟΣ'!Q199/'2.ΤΙΜΕΣ ΚΛΕΙΣΙΜΑΤΟΣ'!Q198)</f>
        <v>-3.034903695153936E-3</v>
      </c>
      <c r="R198" s="43">
        <f>LN('2.ΤΙΜΕΣ ΚΛΕΙΣΙΜΑΤΟΣ'!R199/'2.ΤΙΜΕΣ ΚΛΕΙΣΙΜΑΤΟΣ'!R198)</f>
        <v>-8.9941434712285384E-3</v>
      </c>
      <c r="S198" s="43">
        <f>LN('2.ΤΙΜΕΣ ΚΛΕΙΣΙΜΑΤΟΣ'!S199/'2.ΤΙΜΕΣ ΚΛΕΙΣΙΜΑΤΟΣ'!S198)</f>
        <v>0</v>
      </c>
      <c r="T198" s="43">
        <f>LN('2.ΤΙΜΕΣ ΚΛΕΙΣΙΜΑΤΟΣ'!T199/'2.ΤΙΜΕΣ ΚΛΕΙΣΙΜΑΤΟΣ'!T198)</f>
        <v>1.2088797319004028E-2</v>
      </c>
      <c r="U198" s="43">
        <f>LN('2.ΤΙΜΕΣ ΚΛΕΙΣΙΜΑΤΟΣ'!U199/'2.ΤΙΜΕΣ ΚΛΕΙΣΙΜΑΤΟΣ'!U198)</f>
        <v>8.3682496705165792E-3</v>
      </c>
      <c r="V198" s="43">
        <f>LN('2.ΤΙΜΕΣ ΚΛΕΙΣΙΜΑΤΟΣ'!V199/'2.ΤΙΜΕΣ ΚΛΕΙΣΙΜΑΤΟΣ'!V198)</f>
        <v>1.1001211061973583E-2</v>
      </c>
      <c r="W198" s="43">
        <f>LN('2.ΤΙΜΕΣ ΚΛΕΙΣΙΜΑΤΟΣ'!W199/'2.ΤΙΜΕΣ ΚΛΕΙΣΙΜΑΤΟΣ'!W198)</f>
        <v>3.4622077284707912E-3</v>
      </c>
      <c r="X198" s="43">
        <f>LN('2.ΤΙΜΕΣ ΚΛΕΙΣΙΜΑΤΟΣ'!X199/'2.ΤΙΜΕΣ ΚΛΕΙΣΙΜΑΤΟΣ'!X198)</f>
        <v>2.4660924951934683E-3</v>
      </c>
      <c r="Y198" s="43">
        <f>LN('2.ΤΙΜΕΣ ΚΛΕΙΣΙΜΑΤΟΣ'!Y199/'2.ΤΙΜΕΣ ΚΛΕΙΣΙΜΑΤΟΣ'!Y198)</f>
        <v>4.175371410480592E-3</v>
      </c>
      <c r="Z198" s="43">
        <f>LN('2.ΤΙΜΕΣ ΚΛΕΙΣΙΜΑΤΟΣ'!Z199/'2.ΤΙΜΕΣ ΚΛΕΙΣΙΜΑΤΟΣ'!Z198)</f>
        <v>3.7243990909822727E-3</v>
      </c>
      <c r="AA198" s="43">
        <f>LN('2.ΤΙΜΕΣ ΚΛΕΙΣΙΜΑΤΟΣ'!AA199/'2.ΤΙΜΕΣ ΚΛΕΙΣΙΜΑΤΟΣ'!AA198)</f>
        <v>3.434948001463764E-2</v>
      </c>
      <c r="AB198" s="43">
        <f>LN('2.ΤΙΜΕΣ ΚΛΕΙΣΙΜΑΤΟΣ'!AB199/'2.ΤΙΜΕΣ ΚΛΕΙΣΙΜΑΤΟΣ'!AB198)</f>
        <v>-5.2219439811516007E-3</v>
      </c>
      <c r="AC198" s="43">
        <f>LN('2.ΤΙΜΕΣ ΚΛΕΙΣΙΜΑΤΟΣ'!AC199/'2.ΤΙΜΕΣ ΚΛΕΙΣΙΜΑΤΟΣ'!AC198)</f>
        <v>0</v>
      </c>
      <c r="AD198" s="43">
        <f>LN('2.ΤΙΜΕΣ ΚΛΕΙΣΙΜΑΤΟΣ'!AD199/'2.ΤΙΜΕΣ ΚΛΕΙΣΙΜΑΤΟΣ'!AD198)</f>
        <v>2.3563113728140902E-2</v>
      </c>
      <c r="AE198" s="43">
        <f>LN('2.ΤΙΜΕΣ ΚΛΕΙΣΙΜΑΤΟΣ'!AE199/'2.ΤΙΜΕΣ ΚΛΕΙΣΙΜΑΤΟΣ'!AE198)</f>
        <v>1.0969031370573937E-2</v>
      </c>
      <c r="AF198" s="43">
        <f>LN('2.ΤΙΜΕΣ ΚΛΕΙΣΙΜΑΤΟΣ'!AF199/'2.ΤΙΜΕΣ ΚΛΕΙΣΙΜΑΤΟΣ'!AF198)</f>
        <v>-1.0781672203454436E-3</v>
      </c>
      <c r="AG198" s="43">
        <f>LN('2.ΤΙΜΕΣ ΚΛΕΙΣΙΜΑΤΟΣ'!AG199/'2.ΤΙΜΕΣ ΚΛΕΙΣΙΜΑΤΟΣ'!AG198)</f>
        <v>-7.8227256812090449E-3</v>
      </c>
      <c r="AH198" s="43">
        <f>LN('2.ΤΙΜΕΣ ΚΛΕΙΣΙΜΑΤΟΣ'!AH199/'2.ΤΙΜΕΣ ΚΛΕΙΣΙΜΑΤΟΣ'!AH198)</f>
        <v>-1.6736405580296484E-3</v>
      </c>
      <c r="AI198" s="43">
        <f>LN('2.ΤΙΜΕΣ ΚΛΕΙΣΙΜΑΤΟΣ'!AI199/'2.ΤΙΜΕΣ ΚΛΕΙΣΙΜΑΤΟΣ'!AI198)</f>
        <v>4.4451762570833796E-2</v>
      </c>
      <c r="AJ198" s="43">
        <f>LN('2.ΤΙΜΕΣ ΚΛΕΙΣΙΜΑΤΟΣ'!AJ199/'2.ΤΙΜΕΣ ΚΛΕΙΣΙΜΑΤΟΣ'!AJ198)</f>
        <v>-4.1928782600360393E-3</v>
      </c>
      <c r="AK198" s="43">
        <f>LN('2.ΤΙΜΕΣ ΚΛΕΙΣΙΜΑΤΟΣ'!AK199/'2.ΤΙΜΕΣ ΚΛΕΙΣΙΜΑΤΟΣ'!AK198)</f>
        <v>9.523881511255541E-3</v>
      </c>
      <c r="AL198" s="43">
        <f>LN('2.ΤΙΜΕΣ ΚΛΕΙΣΙΜΑΤΟΣ'!AL199/'2.ΤΙΜΕΣ ΚΛΕΙΣΙΜΑΤΟΣ'!AL198)</f>
        <v>-9.3023926623135612E-3</v>
      </c>
      <c r="AM198" s="43">
        <f>LN('2.ΤΙΜΕΣ ΚΛΕΙΣΙΜΑΤΟΣ'!AM199/'2.ΤΙΜΕΣ ΚΛΕΙΣΙΜΑΤΟΣ'!AM198)</f>
        <v>0</v>
      </c>
      <c r="AN198" s="43">
        <f>LN('2.ΤΙΜΕΣ ΚΛΕΙΣΙΜΑΤΟΣ'!AN199/'2.ΤΙΜΕΣ ΚΛΕΙΣΙΜΑΤΟΣ'!AN198)</f>
        <v>1.5584731016698329E-2</v>
      </c>
      <c r="AO198" s="43">
        <f>LN('2.ΤΙΜΕΣ ΚΛΕΙΣΙΜΑΤΟΣ'!AO199/'2.ΤΙΜΕΣ ΚΛΕΙΣΙΜΑΤΟΣ'!AO198)</f>
        <v>2.4760549680652118E-2</v>
      </c>
      <c r="AP198" s="43">
        <f>LN('2.ΤΙΜΕΣ ΚΛΕΙΣΙΜΑΤΟΣ'!AP199/'2.ΤΙΜΕΣ ΚΛΕΙΣΙΜΑΤΟΣ'!AP198)</f>
        <v>3.5809452696710778E-2</v>
      </c>
      <c r="AQ198" s="43">
        <f>LN('2.ΤΙΜΕΣ ΚΛΕΙΣΙΜΑΤΟΣ'!AQ199/'2.ΤΙΜΕΣ ΚΛΕΙΣΙΜΑΤΟΣ'!AQ198)</f>
        <v>1.906956272035075E-2</v>
      </c>
      <c r="AR198" s="43">
        <f>LN('2.ΤΙΜΕΣ ΚΛΕΙΣΙΜΑΤΟΣ'!AR199/'2.ΤΙΜΕΣ ΚΛΕΙΣΙΜΑΤΟΣ'!AR198)</f>
        <v>0</v>
      </c>
      <c r="AS198" s="43">
        <f>LN('2.ΤΙΜΕΣ ΚΛΕΙΣΙΜΑΤΟΣ'!AS199/'2.ΤΙΜΕΣ ΚΛΕΙΣΙΜΑΤΟΣ'!AS198)</f>
        <v>1.7699577099400857E-2</v>
      </c>
      <c r="AT198" s="43">
        <f>LN('2.ΤΙΜΕΣ ΚΛΕΙΣΙΜΑΤΟΣ'!AT199/'2.ΤΙΜΕΣ ΚΛΕΙΣΙΜΑΤΟΣ'!AT198)</f>
        <v>5.19481687710393E-3</v>
      </c>
      <c r="AU198" s="43">
        <f>LN('2.ΤΙΜΕΣ ΚΛΕΙΣΙΜΑΤΟΣ'!AU199/'2.ΤΙΜΕΣ ΚΛΕΙΣΙΜΑΤΟΣ'!AU198)</f>
        <v>5.366169380779837E-3</v>
      </c>
    </row>
    <row r="199" spans="1:47">
      <c r="A199" s="41">
        <v>43846</v>
      </c>
      <c r="B199" s="43">
        <f>LN('2.ΤΙΜΕΣ ΚΛΕΙΣΙΜΑΤΟΣ'!B200/'2.ΤΙΜΕΣ ΚΛΕΙΣΙΜΑΤΟΣ'!B199)</f>
        <v>1.2414650880649455E-3</v>
      </c>
      <c r="C199" s="43">
        <f>LN('2.ΤΙΜΕΣ ΚΛΕΙΣΙΜΑΤΟΣ'!C200/'2.ΤΙΜΕΣ ΚΛΕΙΣΙΜΑΤΟΣ'!C199)</f>
        <v>7.2727593290798781E-3</v>
      </c>
      <c r="D199" s="43">
        <f>LN('2.ΤΙΜΕΣ ΚΛΕΙΣΙΜΑΤΟΣ'!D200/'2.ΤΙΜΕΣ ΚΛΕΙΣΙΜΑΤΟΣ'!D199)</f>
        <v>-6.4924589586786402E-2</v>
      </c>
      <c r="E199" s="43">
        <f>LN('2.ΤΙΜΕΣ ΚΛΕΙΣΙΜΑΤΟΣ'!E200/'2.ΤΙΜΕΣ ΚΛΕΙΣΙΜΑΤΟΣ'!E199)</f>
        <v>2.6317308317373358E-2</v>
      </c>
      <c r="F199" s="43">
        <f>LN('2.ΤΙΜΕΣ ΚΛΕΙΣΙΜΑΤΟΣ'!F200/'2.ΤΙΜΕΣ ΚΛΕΙΣΙΜΑΤΟΣ'!F199)</f>
        <v>-4.7732787526577709E-3</v>
      </c>
      <c r="G199" s="43">
        <f>LN('2.ΤΙΜΕΣ ΚΛΕΙΣΙΜΑΤΟΣ'!G200/'2.ΤΙΜΕΣ ΚΛΕΙΣΙΜΑΤΟΣ'!G199)</f>
        <v>2.21975673831281E-3</v>
      </c>
      <c r="H199" s="43">
        <f>LN('2.ΤΙΜΕΣ ΚΛΕΙΣΙΜΑΤΟΣ'!H200/'2.ΤΙΜΕΣ ΚΛΕΙΣΙΜΑΤΟΣ'!H199)</f>
        <v>9.8040000966208348E-3</v>
      </c>
      <c r="I199" s="43">
        <f>LN('2.ΤΙΜΕΣ ΚΛΕΙΣΙΜΑΤΟΣ'!I200/'2.ΤΙΜΕΣ ΚΛΕΙΣΙΜΑΤΟΣ'!I199)</f>
        <v>5.8965595668426353E-3</v>
      </c>
      <c r="J199" s="43">
        <f>LN('2.ΤΙΜΕΣ ΚΛΕΙΣΙΜΑΤΟΣ'!J200/'2.ΤΙΜΕΣ ΚΛΕΙΣΙΜΑΤΟΣ'!J199)</f>
        <v>1.3423020332140771E-2</v>
      </c>
      <c r="K199" s="43">
        <f>LN('2.ΤΙΜΕΣ ΚΛΕΙΣΙΜΑΤΟΣ'!K200/'2.ΤΙΜΕΣ ΚΛΕΙΣΙΜΑΤΟΣ'!K199)</f>
        <v>5.899722127188322E-3</v>
      </c>
      <c r="L199" s="43">
        <f>LN('2.ΤΙΜΕΣ ΚΛΕΙΣΙΜΑΤΟΣ'!L200/'2.ΤΙΜΕΣ ΚΛΕΙΣΙΜΑΤΟΣ'!L199)</f>
        <v>3.0257209165368902E-3</v>
      </c>
      <c r="M199" s="43">
        <f>LN('2.ΤΙΜΕΣ ΚΛΕΙΣΙΜΑΤΟΣ'!M200/'2.ΤΙΜΕΣ ΚΛΕΙΣΙΜΑΤΟΣ'!M199)</f>
        <v>2.0943173845243388E-2</v>
      </c>
      <c r="N199" s="43">
        <f>LN('2.ΤΙΜΕΣ ΚΛΕΙΣΙΜΑΤΟΣ'!N200/'2.ΤΙΜΕΣ ΚΛΕΙΣΙΜΑΤΟΣ'!N199)</f>
        <v>1.8161962089374907E-2</v>
      </c>
      <c r="O199" s="43">
        <f>LN('2.ΤΙΜΕΣ ΚΛΕΙΣΙΜΑΤΟΣ'!O200/'2.ΤΙΜΕΣ ΚΛΕΙΣΙΜΑΤΟΣ'!O199)</f>
        <v>2.6315804660560424E-3</v>
      </c>
      <c r="P199" s="43">
        <f>LN('2.ΤΙΜΕΣ ΚΛΕΙΣΙΜΑΤΟΣ'!P200/'2.ΤΙΜΕΣ ΚΛΕΙΣΙΜΑΤΟΣ'!P199)</f>
        <v>1.2828738128891231E-3</v>
      </c>
      <c r="Q199" s="43">
        <f>LN('2.ΤΙΜΕΣ ΚΛΕΙΣΙΜΑΤΟΣ'!Q200/'2.ΤΙΜΕΣ ΚΛΕΙΣΙΜΑΤΟΣ'!Q199)</f>
        <v>3.0349036951538896E-3</v>
      </c>
      <c r="R199" s="43">
        <f>LN('2.ΤΙΜΕΣ ΚΛΕΙΣΙΜΑΤΟΣ'!R200/'2.ΤΙΜΕΣ ΚΛΕΙΣΙΜΑΤΟΣ'!R199)</f>
        <v>5.689915777678676E-3</v>
      </c>
      <c r="S199" s="43">
        <f>LN('2.ΤΙΜΕΣ ΚΛΕΙΣΙΜΑΤΟΣ'!S200/'2.ΤΙΜΕΣ ΚΛΕΙΣΙΜΑΤΟΣ'!S199)</f>
        <v>-2.2883305180121626E-3</v>
      </c>
      <c r="T199" s="43">
        <f>LN('2.ΤΙΜΕΣ ΚΛΕΙΣΙΜΑΤΟΣ'!T200/'2.ΤΙΜΕΣ ΚΛΕΙΣΙΜΑΤΟΣ'!T199)</f>
        <v>2.244318622337187E-2</v>
      </c>
      <c r="U199" s="43">
        <f>LN('2.ΤΙΜΕΣ ΚΛΕΙΣΙΜΑΤΟΣ'!U200/'2.ΤΙΜΕΣ ΚΛΕΙΣΙΜΑΤΟΣ'!U199)</f>
        <v>2.0619287202735825E-2</v>
      </c>
      <c r="V199" s="43">
        <f>LN('2.ΤΙΜΕΣ ΚΛΕΙΣΙΜΑΤΟΣ'!V200/'2.ΤΙΜΕΣ ΚΛΕΙΣΙΜΑΤΟΣ'!V199)</f>
        <v>4.3668191663403895E-3</v>
      </c>
      <c r="W199" s="43">
        <f>LN('2.ΤΙΜΕΣ ΚΛΕΙΣΙΜΑΤΟΣ'!W200/'2.ΤΙΜΕΣ ΚΛΕΙΣΙΜΑΤΟΣ'!W199)</f>
        <v>1.1514106050418357E-3</v>
      </c>
      <c r="X199" s="43">
        <f>LN('2.ΤΙΜΕΣ ΚΛΕΙΣΙΜΑΤΟΣ'!X200/'2.ΤΙΜΕΣ ΚΛΕΙΣΙΜΑΤΟΣ'!X199)</f>
        <v>-2.4660924951934427E-3</v>
      </c>
      <c r="Y199" s="43">
        <f>LN('2.ΤΙΜΕΣ ΚΛΕΙΣΙΜΑΤΟΣ'!Y200/'2.ΤΙΜΕΣ ΚΛΕΙΣΙΜΑΤΟΣ'!Y199)</f>
        <v>1.2422519998557329E-2</v>
      </c>
      <c r="Z199" s="43">
        <f>LN('2.ΤΙΜΕΣ ΚΛΕΙΣΙΜΑΤΟΣ'!Z200/'2.ΤΙΜΕΣ ΚΛΕΙΣΙΜΑΤΟΣ'!Z199)</f>
        <v>-3.7243990909823282E-3</v>
      </c>
      <c r="AA199" s="43">
        <f>LN('2.ΤΙΜΕΣ ΚΛΕΙΣΙΜΑΤΟΣ'!AA200/'2.ΤΙΜΕΣ ΚΛΕΙΣΙΜΑΤΟΣ'!AA199)</f>
        <v>0</v>
      </c>
      <c r="AB199" s="43">
        <f>LN('2.ΤΙΜΕΣ ΚΛΕΙΣΙΜΑΤΟΣ'!AB200/'2.ΤΙΜΕΣ ΚΛΕΙΣΙΜΑΤΟΣ'!AB199)</f>
        <v>1.7436796048268374E-3</v>
      </c>
      <c r="AC199" s="43">
        <f>LN('2.ΤΙΜΕΣ ΚΛΕΙΣΙΜΑΤΟΣ'!AC200/'2.ΤΙΜΕΣ ΚΛΕΙΣΙΜΑΤΟΣ'!AC199)</f>
        <v>0</v>
      </c>
      <c r="AD199" s="43">
        <f>LN('2.ΤΙΜΕΣ ΚΛΕΙΣΙΜΑΤΟΣ'!AD200/'2.ΤΙΜΕΣ ΚΛΕΙΣΙΜΑΤΟΣ'!AD199)</f>
        <v>0</v>
      </c>
      <c r="AE199" s="43">
        <f>LN('2.ΤΙΜΕΣ ΚΛΕΙΣΙΜΑΤΟΣ'!AE200/'2.ΤΙΜΕΣ ΚΛΕΙΣΙΜΑΤΟΣ'!AE199)</f>
        <v>7.2464085207672533E-3</v>
      </c>
      <c r="AF199" s="43">
        <f>LN('2.ΤΙΜΕΣ ΚΛΕΙΣΙΜΑΤΟΣ'!AF200/'2.ΤΙΜΕΣ ΚΛΕΙΣΙΜΑΤΟΣ'!AF199)</f>
        <v>1.8172600579645502E-2</v>
      </c>
      <c r="AG199" s="43">
        <f>LN('2.ΤΙΜΕΣ ΚΛΕΙΣΙΜΑΤΟΣ'!AG200/'2.ΤΙΜΕΣ ΚΛΕΙΣΙΜΑΤΟΣ'!AG199)</f>
        <v>-7.88440352414887E-3</v>
      </c>
      <c r="AH199" s="43">
        <f>LN('2.ΤΙΜΕΣ ΚΛΕΙΣΙΜΑΤΟΣ'!AH200/'2.ΤΙΜΕΣ ΚΛΕΙΣΙΜΑΤΟΣ'!AH199)</f>
        <v>3.3444847228473501E-3</v>
      </c>
      <c r="AI199" s="43">
        <f>LN('2.ΤΙΜΕΣ ΚΛΕΙΣΙΜΑΤΟΣ'!AI200/'2.ΤΙΜΕΣ ΚΛΕΙΣΙΜΑΤΟΣ'!AI199)</f>
        <v>0</v>
      </c>
      <c r="AJ199" s="43">
        <f>LN('2.ΤΙΜΕΣ ΚΛΕΙΣΙΜΑΤΟΣ'!AJ200/'2.ΤΙΜΕΣ ΚΛΕΙΣΙΜΑΤΟΣ'!AJ199)</f>
        <v>1.6667052485211643E-2</v>
      </c>
      <c r="AK199" s="43">
        <f>LN('2.ΤΙΜΕΣ ΚΛΕΙΣΙΜΑΤΟΣ'!AK200/'2.ΤΙΜΕΣ ΚΛΕΙΣΙΜΑΤΟΣ'!AK199)</f>
        <v>0</v>
      </c>
      <c r="AL199" s="43">
        <f>LN('2.ΤΙΜΕΣ ΚΛΕΙΣΙΜΑΤΟΣ'!AL200/'2.ΤΙΜΕΣ ΚΛΕΙΣΙΜΑΤΟΣ'!AL199)</f>
        <v>1.8519047767237531E-2</v>
      </c>
      <c r="AM199" s="43">
        <f>LN('2.ΤΙΜΕΣ ΚΛΕΙΣΙΜΑΤΟΣ'!AM200/'2.ΤΙΜΕΣ ΚΛΕΙΣΙΜΑΤΟΣ'!AM199)</f>
        <v>0</v>
      </c>
      <c r="AN199" s="43">
        <f>LN('2.ΤΙΜΕΣ ΚΛΕΙΣΙΜΑΤΟΣ'!AN200/'2.ΤΙΜΕΣ ΚΛΕΙΣΙΜΑΤΟΣ'!AN199)</f>
        <v>-2.4349029010286499E-2</v>
      </c>
      <c r="AO199" s="43">
        <f>LN('2.ΤΙΜΕΣ ΚΛΕΙΣΙΜΑΤΟΣ'!AO200/'2.ΤΙΜΕΣ ΚΛΕΙΣΙΜΑΤΟΣ'!AO199)</f>
        <v>-1.0929070532190317E-2</v>
      </c>
      <c r="AP199" s="43">
        <f>LN('2.ΤΙΜΕΣ ΚΛΕΙΣΙΜΑΤΟΣ'!AP200/'2.ΤΙΜΕΣ ΚΛΕΙΣΙΜΑΤΟΣ'!AP199)</f>
        <v>-2.5157245972472469E-3</v>
      </c>
      <c r="AQ199" s="43">
        <f>LN('2.ΤΙΜΕΣ ΚΛΕΙΣΙΜΑΤΟΣ'!AQ200/'2.ΤΙΜΕΣ ΚΛΕΙΣΙΜΑΤΟΣ'!AQ199)</f>
        <v>-1.5677812719229793E-2</v>
      </c>
      <c r="AR199" s="43">
        <f>LN('2.ΤΙΜΕΣ ΚΛΕΙΣΙΜΑΤΟΣ'!AR200/'2.ΤΙΜΕΣ ΚΛΕΙΣΙΜΑΤΟΣ'!AR199)</f>
        <v>-2.2472855852058628E-2</v>
      </c>
      <c r="AS199" s="43">
        <f>LN('2.ΤΙΜΕΣ ΚΛΕΙΣΙΜΑΤΟΣ'!AS200/'2.ΤΙΜΕΣ ΚΛΕΙΣΙΜΑΤΟΣ'!AS199)</f>
        <v>-1.176484157958637E-2</v>
      </c>
      <c r="AT199" s="43">
        <f>LN('2.ΤΙΜΕΣ ΚΛΕΙΣΙΜΑΤΟΣ'!AT200/'2.ΤΙΜΕΣ ΚΛΕΙΣΙΜΑΤΟΣ'!AT199)</f>
        <v>0</v>
      </c>
      <c r="AU199" s="43">
        <f>LN('2.ΤΙΜΕΣ ΚΛΕΙΣΙΜΑΤΟΣ'!AU200/'2.ΤΙΜΕΣ ΚΛΕΙΣΙΜΑΤΟΣ'!AU199)</f>
        <v>3.7296030420302393E-3</v>
      </c>
    </row>
    <row r="200" spans="1:47">
      <c r="A200" s="41">
        <v>43847</v>
      </c>
      <c r="B200" s="43">
        <f>LN('2.ΤΙΜΕΣ ΚΛΕΙΣΙΜΑΤΟΣ'!B201/'2.ΤΙΜΕΣ ΚΛΕΙΣΙΜΑΤΟΣ'!B200)</f>
        <v>7.1086684763268758E-3</v>
      </c>
      <c r="C200" s="43">
        <f>LN('2.ΤΙΜΕΣ ΚΛΕΙΣΙΜΑΤΟΣ'!C201/'2.ΤΙΜΕΣ ΚΛΕΙΣΙΜΑΤΟΣ'!C200)</f>
        <v>0</v>
      </c>
      <c r="D200" s="43">
        <f>LN('2.ΤΙΜΕΣ ΚΛΕΙΣΙΜΑΤΟΣ'!D201/'2.ΤΙΜΕΣ ΚΛΕΙΣΙΜΑΤΟΣ'!D200)</f>
        <v>8.7874027668042379E-3</v>
      </c>
      <c r="E200" s="43">
        <f>LN('2.ΤΙΜΕΣ ΚΛΕΙΣΙΜΑΤΟΣ'!E201/'2.ΤΙΜΕΣ ΚΛΕΙΣΙΜΑΤΟΣ'!E200)</f>
        <v>1.1299555253933466E-2</v>
      </c>
      <c r="F200" s="43">
        <f>LN('2.ΤΙΜΕΣ ΚΛΕΙΣΙΜΑΤΟΣ'!F201/'2.ΤΙΜΕΣ ΚΛΕΙΣΙΜΑΤΟΣ'!F200)</f>
        <v>5.9630468882466E-3</v>
      </c>
      <c r="G200" s="43">
        <f>LN('2.ΤΙΜΕΣ ΚΛΕΙΣΙΜΑΤΟΣ'!G201/'2.ΤΙΜΕΣ ΚΛΕΙΣΙΜΑΤΟΣ'!G200)</f>
        <v>-2.2197567383128881E-3</v>
      </c>
      <c r="H200" s="43">
        <f>LN('2.ΤΙΜΕΣ ΚΛΕΙΣΙΜΑΤΟΣ'!H201/'2.ΤΙΜΕΣ ΚΛΕΙΣΙΜΑΤΟΣ'!H200)</f>
        <v>9.7513415820629139E-4</v>
      </c>
      <c r="I200" s="43">
        <f>LN('2.ΤΙΜΕΣ ΚΛΕΙΣΙΜΑΤΟΣ'!I201/'2.ΤΙΜΕΣ ΚΛΕΙΣΙΜΑΤΟΣ'!I200)</f>
        <v>0</v>
      </c>
      <c r="J200" s="43">
        <f>LN('2.ΤΙΜΕΣ ΚΛΕΙΣΙΜΑΤΟΣ'!J201/'2.ΤΙΜΕΣ ΚΛΕΙΣΙΜΑΤΟΣ'!J200)</f>
        <v>1.9980026626730579E-3</v>
      </c>
      <c r="K200" s="43">
        <f>LN('2.ΤΙΜΕΣ ΚΛΕΙΣΙΜΑΤΟΣ'!K201/'2.ΤΙΜΕΣ ΚΛΕΙΣΙΜΑΤΟΣ'!K200)</f>
        <v>-8.2693914825067421E-3</v>
      </c>
      <c r="L200" s="43">
        <f>LN('2.ΤΙΜΕΣ ΚΛΕΙΣΙΜΑΤΟΣ'!L201/'2.ΤΙΜΕΣ ΚΛΕΙΣΙΜΑΤΟΣ'!L200)</f>
        <v>1.6974945790132586E-2</v>
      </c>
      <c r="M200" s="43">
        <f>LN('2.ΤΙΜΕΣ ΚΛΕΙΣΙΜΑΤΟΣ'!M201/'2.ΤΙΜΕΣ ΚΛΕΙΣΙΜΑΤΟΣ'!M200)</f>
        <v>-1.2513197684783949E-2</v>
      </c>
      <c r="N200" s="43">
        <f>LN('2.ΤΙΜΕΣ ΚΛΕΙΣΙΜΑΤΟΣ'!N201/'2.ΤΙΜΕΣ ΚΛΕΙΣΙΜΑΤΟΣ'!N200)</f>
        <v>0</v>
      </c>
      <c r="O200" s="43">
        <f>LN('2.ΤΙΜΕΣ ΚΛΕΙΣΙΜΑΤΟΣ'!O201/'2.ΤΙΜΕΣ ΚΛΕΙΣΙΜΑΤΟΣ'!O200)</f>
        <v>-1.4560151331329776E-2</v>
      </c>
      <c r="P200" s="43">
        <f>LN('2.ΤΙΜΕΣ ΚΛΕΙΣΙΜΑΤΟΣ'!P201/'2.ΤΙΜΕΣ ΚΛΕΙΣΙΜΑΤΟΣ'!P200)</f>
        <v>7.6628727455690972E-3</v>
      </c>
      <c r="Q200" s="43">
        <f>LN('2.ΤΙΜΕΣ ΚΛΕΙΣΙΜΑΤΟΣ'!Q201/'2.ΤΙΜΕΣ ΚΛΕΙΣΙΜΑΤΟΣ'!Q200)</f>
        <v>-4.8602768822527944E-3</v>
      </c>
      <c r="R200" s="43">
        <f>LN('2.ΤΙΜΕΣ ΚΛΕΙΣΙΜΑΤΟΣ'!R201/'2.ΤΙΜΕΣ ΚΛΕΙΣΙΜΑΤΟΣ'!R200)</f>
        <v>4.7169898781388667E-3</v>
      </c>
      <c r="S200" s="43">
        <f>LN('2.ΤΙΜΕΣ ΚΛΕΙΣΙΜΑΤΟΣ'!S201/'2.ΤΙΜΕΣ ΚΛΕΙΣΙΜΑΤΟΣ'!S200)</f>
        <v>-8.0506472771671323E-3</v>
      </c>
      <c r="T200" s="43">
        <f>LN('2.ΤΙΜΕΣ ΚΛΕΙΣΙΜΑΤΟΣ'!T201/'2.ΤΙΜΕΣ ΚΛΕΙΣΙΜΑΤΟΣ'!T200)</f>
        <v>7.8023802841848001E-3</v>
      </c>
      <c r="U200" s="43">
        <f>LN('2.ΤΙΜΕΣ ΚΛΕΙΣΙΜΑΤΟΣ'!U201/'2.ΤΙΜΕΣ ΚΛΕΙΣΙΜΑΤΟΣ'!U200)</f>
        <v>8.1301260832503091E-3</v>
      </c>
      <c r="V200" s="43">
        <f>LN('2.ΤΙΜΕΣ ΚΛΕΙΣΙΜΑΤΟΣ'!V201/'2.ΤΙΜΕΣ ΚΛΕΙΣΙΜΑΤΟΣ'!V200)</f>
        <v>-6.5574005461590517E-3</v>
      </c>
      <c r="W200" s="43">
        <f>LN('2.ΤΙΜΕΣ ΚΛΕΙΣΙΜΑΤΟΣ'!W201/'2.ΤΙΜΕΣ ΚΛΕΙΣΙΜΑΤΟΣ'!W200)</f>
        <v>1.2578782206860185E-2</v>
      </c>
      <c r="X200" s="43">
        <f>LN('2.ΤΙΜΕΣ ΚΛΕΙΣΙΜΑΤΟΣ'!X201/'2.ΤΙΜΕΣ ΚΛΕΙΣΙΜΑΤΟΣ'!X200)</f>
        <v>1.9560525854493572E-2</v>
      </c>
      <c r="Y200" s="43">
        <f>LN('2.ΤΙΜΕΣ ΚΛΕΙΣΙΜΑΤΟΣ'!Y201/'2.ΤΙΜΕΣ ΚΛΕΙΣΙΜΑΤΟΣ'!Y200)</f>
        <v>-4.1237171838621519E-3</v>
      </c>
      <c r="Z200" s="43">
        <f>LN('2.ΤΙΜΕΣ ΚΛΕΙΣΙΜΑΤΟΣ'!Z201/'2.ΤΙΜΕΣ ΚΛΕΙΣΙΜΑΤΟΣ'!Z200)</f>
        <v>0</v>
      </c>
      <c r="AA200" s="43">
        <f>LN('2.ΤΙΜΕΣ ΚΛΕΙΣΙΜΑΤΟΣ'!AA201/'2.ΤΙΜΕΣ ΚΛΕΙΣΙΜΑΤΟΣ'!AA200)</f>
        <v>3.0692946399406198E-2</v>
      </c>
      <c r="AB200" s="43">
        <f>LN('2.ΤΙΜΕΣ ΚΛΕΙΣΙΜΑΤΟΣ'!AB201/'2.ΤΙΜΕΣ ΚΛΕΙΣΙΜΑΤΟΣ'!AB200)</f>
        <v>1.7271586508660498E-2</v>
      </c>
      <c r="AC200" s="43">
        <f>LN('2.ΤΙΜΕΣ ΚΛΕΙΣΙΜΑΤΟΣ'!AC201/'2.ΤΙΜΕΣ ΚΛΕΙΣΙΜΑΤΟΣ'!AC200)</f>
        <v>2.7739268827252244E-3</v>
      </c>
      <c r="AD200" s="43">
        <f>LN('2.ΤΙΜΕΣ ΚΛΕΙΣΙΜΑΤΟΣ'!AD201/'2.ΤΙΜΕΣ ΚΛΕΙΣΙΜΑΤΟΣ'!AD200)</f>
        <v>-1.3708021337787146E-3</v>
      </c>
      <c r="AE200" s="43">
        <f>LN('2.ΤΙΜΕΣ ΚΛΕΙΣΙΜΑΤΟΣ'!AE201/'2.ΤΙΜΕΣ ΚΛΕΙΣΙΜΑΤΟΣ'!AE200)</f>
        <v>-7.2464085207671978E-3</v>
      </c>
      <c r="AF200" s="43">
        <f>LN('2.ΤΙΜΕΣ ΚΛΕΙΣΙΜΑΤΟΣ'!AF201/'2.ΤΙΜΕΣ ΚΛΕΙΣΙΜΑΤΟΣ'!AF200)</f>
        <v>-7.4428839070784245E-3</v>
      </c>
      <c r="AG200" s="43">
        <f>LN('2.ΤΙΜΕΣ ΚΛΕΙΣΙΜΑΤΟΣ'!AG201/'2.ΤΙΜΕΣ ΚΛΕΙΣΙΜΑΤΟΣ'!AG200)</f>
        <v>2.6350476380050318E-3</v>
      </c>
      <c r="AH200" s="43">
        <f>LN('2.ΤΙΜΕΣ ΚΛΕΙΣΙΜΑΤΟΣ'!AH201/'2.ΤΙΜΕΣ ΚΛΕΙΣΙΜΑΤΟΣ'!AH200)</f>
        <v>1.6680571006970134E-3</v>
      </c>
      <c r="AI200" s="43">
        <f>LN('2.ΤΙΜΕΣ ΚΛΕΙΣΙΜΑΤΟΣ'!AI201/'2.ΤΙΜΕΣ ΚΛΕΙΣΙΜΑΤΟΣ'!AI200)</f>
        <v>-6.2305497506361975E-3</v>
      </c>
      <c r="AJ200" s="43">
        <f>LN('2.ΤΙΜΕΣ ΚΛΕΙΣΙΜΑΤΟΣ'!AJ201/'2.ΤΙΜΕΣ ΚΛΕΙΣΙΜΑΤΟΣ'!AJ200)</f>
        <v>-8.2988028146950658E-3</v>
      </c>
      <c r="AK200" s="43">
        <f>LN('2.ΤΙΜΕΣ ΚΛΕΙΣΙΜΑΤΟΣ'!AK201/'2.ΤΙΜΕΣ ΚΛΕΙΣΙΜΑΤΟΣ'!AK200)</f>
        <v>-1.4320053774748445E-2</v>
      </c>
      <c r="AL200" s="43">
        <f>LN('2.ΤΙΜΕΣ ΚΛΕΙΣΙΜΑΤΟΣ'!AL201/'2.ΤΙΜΕΣ ΚΛΕΙΣΙΜΑΤΟΣ'!AL200)</f>
        <v>-1.8519047767237527E-2</v>
      </c>
      <c r="AM200" s="43">
        <f>LN('2.ΤΙΜΕΣ ΚΛΕΙΣΙΜΑΤΟΣ'!AM201/'2.ΤΙΜΕΣ ΚΛΕΙΣΙΜΑΤΟΣ'!AM200)</f>
        <v>-1.6529301951210582E-2</v>
      </c>
      <c r="AN200" s="43">
        <f>LN('2.ΤΙΜΕΣ ΚΛΕΙΣΙΜΑΤΟΣ'!AN201/'2.ΤΙΜΕΣ ΚΛΕΙΣΙΜΑΤΟΣ'!AN200)</f>
        <v>8.7642979935882576E-3</v>
      </c>
      <c r="AO200" s="43">
        <f>LN('2.ΤΙΜΕΣ ΚΛΕΙΣΙΜΑΤΟΣ'!AO201/'2.ΤΙΜΕΣ ΚΛΕΙΣΙΜΑΤΟΣ'!AO200)</f>
        <v>-5.5096558109695845E-3</v>
      </c>
      <c r="AP200" s="43">
        <f>LN('2.ΤΙΜΕΣ ΚΛΕΙΣΙΜΑΤΟΣ'!AP201/'2.ΤΙΜΕΣ ΚΛΕΙΣΙΜΑΤΟΣ'!AP200)</f>
        <v>-2.5220694327099465E-3</v>
      </c>
      <c r="AQ200" s="43">
        <f>LN('2.ΤΙΜΕΣ ΚΛΕΙΣΙΜΑΤΟΣ'!AQ201/'2.ΤΙΜΕΣ ΚΛΕΙΣΙΜΑΤΟΣ'!AQ200)</f>
        <v>-1.2493064247466556E-2</v>
      </c>
      <c r="AR200" s="43">
        <f>LN('2.ΤΙΜΕΣ ΚΛΕΙΣΙΜΑΤΟΣ'!AR201/'2.ΤΙΜΕΣ ΚΛΕΙΣΙΜΑΤΟΣ'!AR200)</f>
        <v>1.1357184639274286E-3</v>
      </c>
      <c r="AS200" s="43">
        <f>LN('2.ΤΙΜΕΣ ΚΛΕΙΣΙΜΑΤΟΣ'!AS201/'2.ΤΙΜΕΣ ΚΛΕΙΣΙΜΑΤΟΣ'!AS200)</f>
        <v>-5.9347355198145777E-3</v>
      </c>
      <c r="AT200" s="43">
        <f>LN('2.ΤΙΜΕΣ ΚΛΕΙΣΙΜΑΤΟΣ'!AT201/'2.ΤΙΜΕΣ ΚΛΕΙΣΙΜΑΤΟΣ'!AT200)</f>
        <v>-1.5666116744399463E-2</v>
      </c>
      <c r="AU200" s="43">
        <f>LN('2.ΤΙΜΕΣ ΚΛΕΙΣΙΜΑΤΟΣ'!AU201/'2.ΤΙΜΕΣ ΚΛΕΙΣΙΜΑΤΟΣ'!AU200)</f>
        <v>2.239666593767078E-3</v>
      </c>
    </row>
    <row r="201" spans="1:47">
      <c r="A201" s="41">
        <v>43850</v>
      </c>
      <c r="B201" s="43">
        <f>LN('2.ΤΙΜΕΣ ΚΛΕΙΣΙΜΑΤΟΣ'!B202/'2.ΤΙΜΕΣ ΚΛΕΙΣΙΜΑΤΟΣ'!B201)</f>
        <v>7.0584917884532498E-3</v>
      </c>
      <c r="C201" s="43">
        <f>LN('2.ΤΙΜΕΣ ΚΛΕΙΣΙΜΑΤΟΣ'!C202/'2.ΤΙΜΕΣ ΚΛΕΙΣΙΜΑΤΟΣ'!C201)</f>
        <v>0</v>
      </c>
      <c r="D201" s="43">
        <f>LN('2.ΤΙΜΕΣ ΚΛΕΙΣΙΜΑΤΟΣ'!D202/'2.ΤΙΜΕΣ ΚΛΕΙΣΙΜΑΤΟΣ'!D201)</f>
        <v>8.7450814493257568E-4</v>
      </c>
      <c r="E201" s="43">
        <f>LN('2.ΤΙΜΕΣ ΚΛΕΙΣΙΜΑΤΟΣ'!E202/'2.ΤΙΜΕΣ ΚΛΕΙΣΙΜΑΤΟΣ'!E201)</f>
        <v>2.5879447987820541E-2</v>
      </c>
      <c r="F201" s="43">
        <f>LN('2.ΤΙΜΕΣ ΚΛΕΙΣΙΜΑΤΟΣ'!F202/'2.ΤΙΜΕΣ ΚΛΕΙΣΙΜΑΤΟΣ'!F201)</f>
        <v>1.0644689511414007E-2</v>
      </c>
      <c r="G201" s="43">
        <f>LN('2.ΤΙΜΕΣ ΚΛΕΙΣΙΜΑΤΟΣ'!G202/'2.ΤΙΜΕΣ ΚΛΕΙΣΙΜΑΤΟΣ'!G201)</f>
        <v>2.6317308317373358E-2</v>
      </c>
      <c r="H201" s="43">
        <f>LN('2.ΤΙΜΕΣ ΚΛΕΙΣΙΜΑΤΟΣ'!H202/'2.ΤΙΜΕΣ ΚΛΕΙΣΙΜΑΤΟΣ'!H201)</f>
        <v>-9.7513415820631828E-4</v>
      </c>
      <c r="I201" s="43">
        <f>LN('2.ΤΙΜΕΣ ΚΛΕΙΣΙΜΑΤΟΣ'!I202/'2.ΤΙΜΕΣ ΚΛΕΙΣΙΜΑΤΟΣ'!I201)</f>
        <v>-5.3461642545722405E-4</v>
      </c>
      <c r="J201" s="43">
        <f>LN('2.ΤΙΜΕΣ ΚΛΕΙΣΙΜΑΤΟΣ'!J202/'2.ΤΙΜΕΣ ΚΛΕΙΣΙΜΑΤΟΣ'!J201)</f>
        <v>6.6313240353813828E-3</v>
      </c>
      <c r="K201" s="43">
        <f>LN('2.ΤΙΜΕΣ ΚΛΕΙΣΙΜΑΤΟΣ'!K202/'2.ΤΙΜΕΣ ΚΛΕΙΣΙΜΑΤΟΣ'!K201)</f>
        <v>-3.5650661644960344E-3</v>
      </c>
      <c r="L201" s="43">
        <f>LN('2.ΤΙΜΕΣ ΚΛΕΙΣΙΜΑΤΟΣ'!L202/'2.ΤΙΜΕΣ ΚΛΕΙΣΙΜΑΤΟΣ'!L201)</f>
        <v>2.2516859284333432E-2</v>
      </c>
      <c r="M201" s="43">
        <f>LN('2.ΤΙΜΕΣ ΚΛΕΙΣΙΜΑΤΟΣ'!M202/'2.ΤΙΜΕΣ ΚΛΕΙΣΙΜΑΤΟΣ'!M201)</f>
        <v>-2.1008411088117279E-3</v>
      </c>
      <c r="N201" s="43">
        <f>LN('2.ΤΙΜΕΣ ΚΛΕΙΣΙΜΑΤΟΣ'!N202/'2.ΤΙΜΕΣ ΚΛΕΙΣΙΜΑΤΟΣ'!N201)</f>
        <v>-1.1100833702391837E-3</v>
      </c>
      <c r="O201" s="43">
        <f>LN('2.ΤΙΜΕΣ ΚΛΕΙΣΙΜΑΤΟΣ'!O202/'2.ΤΙΜΕΣ ΚΛΕΙΣΙΜΑΤΟΣ'!O201)</f>
        <v>-1.3342230131366103E-3</v>
      </c>
      <c r="P201" s="43">
        <f>LN('2.ΤΙΜΕΣ ΚΛΕΙΣΙΜΑΤΟΣ'!P202/'2.ΤΙΜΕΣ ΚΛΕΙΣΙΜΑΤΟΣ'!P201)</f>
        <v>5.0761530318605679E-3</v>
      </c>
      <c r="Q201" s="43">
        <f>LN('2.ΤΙΜΕΣ ΚΛΕΙΣΙΜΑΤΟΣ'!Q202/'2.ΤΙΜΕΣ ΚΛΕΙΣΙΜΑΤΟΣ'!Q201)</f>
        <v>1.2172856037517249E-3</v>
      </c>
      <c r="R201" s="43">
        <f>LN('2.ΤΙΜΕΣ ΚΛΕΙΣΙΜΑΤΟΣ'!R202/'2.ΤΙΜΕΣ ΚΛΕΙΣΙΜΑΤΟΣ'!R201)</f>
        <v>-6.6100335101965078E-3</v>
      </c>
      <c r="S201" s="43">
        <f>LN('2.ΤΙΜΕΣ ΚΛΕΙΣΙΜΑΤΟΣ'!S202/'2.ΤΙΜΕΣ ΚΛΕΙΣΙΜΑΤΟΣ'!S201)</f>
        <v>3.1820866611078975E-2</v>
      </c>
      <c r="T201" s="43">
        <f>LN('2.ΤΙΜΕΣ ΚΛΕΙΣΙΜΑΤΟΣ'!T202/'2.ΤΙΜΕΣ ΚΛΕΙΣΙΜΑΤΟΣ'!T201)</f>
        <v>5.1679701584425976E-3</v>
      </c>
      <c r="U201" s="43">
        <f>LN('2.ΤΙΜΕΣ ΚΛΕΙΣΙΜΑΤΟΣ'!U202/'2.ΤΙΜΕΣ ΚΛΕΙΣΙΜΑΤΟΣ'!U201)</f>
        <v>2.022245380767649E-3</v>
      </c>
      <c r="V201" s="43">
        <f>LN('2.ΤΙΜΕΣ ΚΛΕΙΣΙΜΑΤΟΣ'!V202/'2.ΤΙΜΕΣ ΚΛΕΙΣΙΜΑΤΟΣ'!V201)</f>
        <v>8.7336799687546315E-3</v>
      </c>
      <c r="W201" s="43">
        <f>LN('2.ΤΙΜΕΣ ΚΛΕΙΣΙΜΑΤΟΣ'!W202/'2.ΤΙΜΕΣ ΚΛΕΙΣΙΜΑΤΟΣ'!W201)</f>
        <v>1.6901810802603036E-2</v>
      </c>
      <c r="X201" s="43">
        <f>LN('2.ΤΙΜΕΣ ΚΛΕΙΣΙΜΑΤΟΣ'!X202/'2.ΤΙΜΕΣ ΚΛΕΙΣΙΜΑΤΟΣ'!X201)</f>
        <v>0</v>
      </c>
      <c r="Y201" s="43">
        <f>LN('2.ΤΙΜΕΣ ΚΛΕΙΣΙΜΑΤΟΣ'!Y202/'2.ΤΙΜΕΣ ΚΛΕΙΣΙΜΑΤΟΣ'!Y201)</f>
        <v>2.0450610471290841E-2</v>
      </c>
      <c r="Z201" s="43">
        <f>LN('2.ΤΙΜΕΣ ΚΛΕΙΣΙΜΑΤΟΣ'!Z202/'2.ΤΙΜΕΣ ΚΛΕΙΣΙΜΑΤΟΣ'!Z201)</f>
        <v>0</v>
      </c>
      <c r="AA201" s="43">
        <f>LN('2.ΤΙΜΕΣ ΚΛΕΙΣΙΜΑΤΟΣ'!AA202/'2.ΤΙΜΕΣ ΚΛΕΙΣΙΜΑΤΟΣ'!AA201)</f>
        <v>-2.2930941063917017E-2</v>
      </c>
      <c r="AB201" s="43">
        <f>LN('2.ΤΙΜΕΣ ΚΛΕΙΣΙΜΑΤΟΣ'!AB202/'2.ΤΙΜΕΣ ΚΛΕΙΣΙΜΑΤΟΣ'!AB201)</f>
        <v>-1.0327114155849517E-2</v>
      </c>
      <c r="AC201" s="43">
        <f>LN('2.ΤΙΜΕΣ ΚΛΕΙΣΙΜΑΤΟΣ'!AC202/'2.ΤΙΜΕΣ ΚΛΕΙΣΙΜΑΤΟΣ'!AC201)</f>
        <v>-9.7425961988185927E-3</v>
      </c>
      <c r="AD201" s="43">
        <f>LN('2.ΤΙΜΕΣ ΚΛΕΙΣΙΜΑΤΟΣ'!AD202/'2.ΤΙΜΕΣ ΚΛΕΙΣΙΜΑΤΟΣ'!AD201)</f>
        <v>8.1967672041784907E-3</v>
      </c>
      <c r="AE201" s="43">
        <f>LN('2.ΤΙΜΕΣ ΚΛΕΙΣΙΜΑΤΟΣ'!AE202/'2.ΤΙΜΕΣ ΚΛΕΙΣΙΜΑΤΟΣ'!AE201)</f>
        <v>0</v>
      </c>
      <c r="AF201" s="43">
        <f>LN('2.ΤΙΜΕΣ ΚΛΕΙΣΙΜΑΤΟΣ'!AF202/'2.ΤΙΜΕΣ ΚΛΕΙΣΙΜΑΤΟΣ'!AF201)</f>
        <v>1.4830780306968003E-2</v>
      </c>
      <c r="AG201" s="43">
        <f>LN('2.ΤΙΜΕΣ ΚΛΕΙΣΙΜΑΤΟΣ'!AG202/'2.ΤΙΜΕΣ ΚΛΕΙΣΙΜΑΤΟΣ'!AG201)</f>
        <v>2.6281224062694084E-3</v>
      </c>
      <c r="AH201" s="43">
        <f>LN('2.ΤΙΜΕΣ ΚΛΕΙΣΙΜΑΤΟΣ'!AH202/'2.ΤΙΜΕΣ ΚΛΕΙΣΙΜΑΤΟΣ'!AH201)</f>
        <v>-1.5113637810048184E-2</v>
      </c>
      <c r="AI201" s="43">
        <f>LN('2.ΤΙΜΕΣ ΚΛΕΙΣΙΜΑΤΟΣ'!AI202/'2.ΤΙΜΕΣ ΚΛΕΙΣΙΜΑΤΟΣ'!AI201)</f>
        <v>-3.8221212820197741E-2</v>
      </c>
      <c r="AJ201" s="43">
        <f>LN('2.ΤΙΜΕΣ ΚΛΕΙΣΙΜΑΤΟΣ'!AJ202/'2.ΤΙΜΕΣ ΚΛΕΙΣΙΜΑΤΟΣ'!AJ201)</f>
        <v>-4.1753714104805105E-3</v>
      </c>
      <c r="AK201" s="43">
        <f>LN('2.ΤΙΜΕΣ ΚΛΕΙΣΙΜΑΤΟΣ'!AK202/'2.ΤΙΜΕΣ ΚΛΕΙΣΙΜΑΤΟΣ'!AK201)</f>
        <v>4.7961722634930135E-3</v>
      </c>
      <c r="AL201" s="43">
        <f>LN('2.ΤΙΜΕΣ ΚΛΕΙΣΙΜΑΤΟΣ'!AL202/'2.ΤΙΜΕΣ ΚΛΕΙΣΙΜΑΤΟΣ'!AL201)</f>
        <v>9.3023926623136306E-3</v>
      </c>
      <c r="AM201" s="43">
        <f>LN('2.ΤΙΜΕΣ ΚΛΕΙΣΙΜΑΤΟΣ'!AM202/'2.ΤΙΜΕΣ ΚΛΕΙΣΙΜΑΤΟΣ'!AM201)</f>
        <v>1.3793322132335769E-2</v>
      </c>
      <c r="AN201" s="43">
        <f>LN('2.ΤΙΜΕΣ ΚΛΕΙΣΙΜΑΤΟΣ'!AN202/'2.ΤΙΜΕΣ ΚΛΕΙΣΙΜΑΤΟΣ'!AN201)</f>
        <v>-2.6526754333428482E-2</v>
      </c>
      <c r="AO201" s="43">
        <f>LN('2.ΤΙΜΕΣ ΚΛΕΙΣΙΜΑΤΟΣ'!AO202/'2.ΤΙΜΕΣ ΚΛΕΙΣΙΜΑΤΟΣ'!AO201)</f>
        <v>-5.5401803756153561E-3</v>
      </c>
      <c r="AP201" s="43">
        <f>LN('2.ΤΙΜΕΣ ΚΛΕΙΣΙΜΑΤΟΣ'!AP202/'2.ΤΙΜΕΣ ΚΛΕΙΣΙΜΑΤΟΣ'!AP201)</f>
        <v>-2.5284463533586377E-3</v>
      </c>
      <c r="AQ201" s="43">
        <f>LN('2.ΤΙΜΕΣ ΚΛΕΙΣΙΜΑΤΟΣ'!AQ202/'2.ΤΙΜΕΣ ΚΛΕΙΣΙΜΑΤΟΣ'!AQ201)</f>
        <v>3.0390633705009287E-2</v>
      </c>
      <c r="AR201" s="43">
        <f>LN('2.ΤΙΜΕΣ ΚΛΕΙΣΙΜΑΤΟΣ'!AR202/'2.ΤΙΜΕΣ ΚΛΕΙΣΙΜΑΤΟΣ'!AR201)</f>
        <v>2.1337137388131325E-2</v>
      </c>
      <c r="AS201" s="43">
        <f>LN('2.ΤΙΜΕΣ ΚΛΕΙΣΙΜΑΤΟΣ'!AS202/'2.ΤΙΜΕΣ ΚΛΕΙΣΙΜΑΤΟΣ'!AS201)</f>
        <v>5.9347355198145265E-3</v>
      </c>
      <c r="AT201" s="43">
        <f>LN('2.ΤΙΜΕΣ ΚΛΕΙΣΙΜΑΤΟΣ'!AT202/'2.ΤΙΜΕΣ ΚΛΕΙΣΙΜΑΤΟΣ'!AT201)</f>
        <v>5.1293294387550481E-2</v>
      </c>
      <c r="AU201" s="43">
        <f>LN('2.ΤΙΜΕΣ ΚΛΕΙΣΙΜΑΤΟΣ'!AU202/'2.ΤΙΜΕΣ ΚΛΕΙΣΙΜΑΤΟΣ'!AU201)</f>
        <v>6.3806620592564171E-3</v>
      </c>
    </row>
    <row r="202" spans="1:47">
      <c r="A202" s="41">
        <v>43851</v>
      </c>
      <c r="B202" s="43">
        <f>LN('2.ΤΙΜΕΣ ΚΛΕΙΣΙΜΑΤΟΣ'!B203/'2.ΤΙΜΕΣ ΚΛΕΙΣΙΜΑΤΟΣ'!B202)</f>
        <v>0</v>
      </c>
      <c r="C202" s="43">
        <f>LN('2.ΤΙΜΕΣ ΚΛΕΙΣΙΜΑΤΟΣ'!C203/'2.ΤΙΜΕΣ ΚΛΕΙΣΙΜΑΤΟΣ'!C202)</f>
        <v>-5.8139698654198447E-3</v>
      </c>
      <c r="D202" s="43">
        <f>LN('2.ΤΙΜΕΣ ΚΛΕΙΣΙΜΑΤΟΣ'!D203/'2.ΤΙΜΕΣ ΚΛΕΙΣΙΜΑΤΟΣ'!D202)</f>
        <v>7.8363483293158696E-3</v>
      </c>
      <c r="E202" s="43">
        <f>LN('2.ΤΙΜΕΣ ΚΛΕΙΣΙΜΑΤΟΣ'!E203/'2.ΤΙΜΕΣ ΚΛΕΙΣΙΜΑΤΟΣ'!E202)</f>
        <v>3.6429912785010087E-3</v>
      </c>
      <c r="F202" s="43">
        <f>LN('2.ΤΙΜΕΣ ΚΛΕΙΣΙΜΑΤΟΣ'!F203/'2.ΤΙΜΕΣ ΚΛΕΙΣΙΜΑΤΟΣ'!F202)</f>
        <v>-1.177163173014752E-3</v>
      </c>
      <c r="G202" s="43">
        <f>LN('2.ΤΙΜΕΣ ΚΛΕΙΣΙΜΑΤΟΣ'!G203/'2.ΤΙΜΕΣ ΚΛΕΙΣΙΜΑΤΟΣ'!G202)</f>
        <v>-1.5267472130788421E-2</v>
      </c>
      <c r="H202" s="43">
        <f>LN('2.ΤΙΜΕΣ ΚΛΕΙΣΙΜΑΤΟΣ'!H203/'2.ΤΙΜΕΣ ΚΛΕΙΣΙΜΑΤΟΣ'!H202)</f>
        <v>-6.8526944620405069E-3</v>
      </c>
      <c r="I202" s="43">
        <f>LN('2.ΤΙΜΕΣ ΚΛΕΙΣΙΜΑΤΟΣ'!I203/'2.ΤΙΜΕΣ ΚΛΕΙΣΙΜΑΤΟΣ'!I202)</f>
        <v>-8.0537348070968268E-3</v>
      </c>
      <c r="J202" s="43">
        <f>LN('2.ΤΙΜΕΣ ΚΛΕΙΣΙΜΑΤΟΣ'!J203/'2.ΤΙΜΕΣ ΚΛΕΙΣΙΜΑΤΟΣ'!J202)</f>
        <v>6.6072020903824706E-4</v>
      </c>
      <c r="K202" s="43">
        <f>LN('2.ΤΙΜΕΣ ΚΛΕΙΣΙΜΑΤΟΣ'!K203/'2.ΤΙΜΕΣ ΚΛΕΙΣΙΜΑΤΟΣ'!K202)</f>
        <v>-5.9701669865039079E-3</v>
      </c>
      <c r="L202" s="43">
        <f>LN('2.ΤΙΜΕΣ ΚΛΕΙΣΙΜΑΤΟΣ'!L203/'2.ΤΙΜΕΣ ΚΛΕΙΣΙΜΑΤΟΣ'!L202)</f>
        <v>0</v>
      </c>
      <c r="M202" s="43">
        <f>LN('2.ΤΙΜΕΣ ΚΛΕΙΣΙΜΑΤΟΣ'!M203/'2.ΤΙΜΕΣ ΚΛΕΙΣΙΜΑΤΟΣ'!M202)</f>
        <v>-1.0520779508037803E-3</v>
      </c>
      <c r="N202" s="43">
        <f>LN('2.ΤΙΜΕΣ ΚΛΕΙΣΙΜΑΤΟΣ'!N203/'2.ΤΙΜΕΣ ΚΛΕΙΣΙΜΑΤΟΣ'!N202)</f>
        <v>-3.7092030657097336E-3</v>
      </c>
      <c r="O202" s="43">
        <f>LN('2.ΤΙΜΕΣ ΚΛΕΙΣΙΜΑΤΟΣ'!O203/'2.ΤΙΜΕΣ ΚΛΕΙΣΙΜΑΤΟΣ'!O202)</f>
        <v>-4.0133833134586763E-3</v>
      </c>
      <c r="P202" s="43">
        <f>LN('2.ΤΙΜΕΣ ΚΛΕΙΣΙΜΑΤΟΣ'!P203/'2.ΤΙΜΕΣ ΚΛΕΙΣΙΜΑΤΟΣ'!P202)</f>
        <v>5.5398779389788169E-2</v>
      </c>
      <c r="Q202" s="43">
        <f>LN('2.ΤΙΜΕΣ ΚΛΕΙΣΙΜΑΤΟΣ'!Q203/'2.ΤΙΜΕΣ ΚΛΕΙΣΙΜΑΤΟΣ'!Q202)</f>
        <v>6.6687121950381248E-3</v>
      </c>
      <c r="R202" s="43">
        <f>LN('2.ΤΙΜΕΣ ΚΛΕΙΣΙΜΑΤΟΣ'!R203/'2.ΤΙΜΕΣ ΚΛΕΙΣΙΜΑΤΟΣ'!R202)</f>
        <v>4.25431981773751E-3</v>
      </c>
      <c r="S202" s="43">
        <f>LN('2.ΤΙΜΕΣ ΚΛΕΙΣΙΜΑΤΟΣ'!S203/'2.ΤΙΜΕΣ ΚΛΕΙΣΙΜΑΤΟΣ'!S202)</f>
        <v>2.8667894869571848E-2</v>
      </c>
      <c r="T202" s="43">
        <f>LN('2.ΤΙΜΕΣ ΚΛΕΙΣΙΜΑΤΟΣ'!T203/'2.ΤΙΜΕΣ ΚΛΕΙΣΙΜΑΤΟΣ'!T202)</f>
        <v>6.4226296564671922E-3</v>
      </c>
      <c r="U202" s="43">
        <f>LN('2.ΤΙΜΕΣ ΚΛΕΙΣΙΜΑΤΟΣ'!U203/'2.ΤΙΜΕΣ ΚΛΕΙΣΙΜΑΤΟΣ'!U202)</f>
        <v>2.0181641562371953E-3</v>
      </c>
      <c r="V202" s="43">
        <f>LN('2.ΤΙΜΕΣ ΚΛΕΙΣΙΜΑΤΟΣ'!V203/'2.ΤΙΜΕΣ ΚΛΕΙΣΙΜΑΤΟΣ'!V202)</f>
        <v>-1.0929070532190317E-2</v>
      </c>
      <c r="W202" s="43">
        <f>LN('2.ΤΙΜΕΣ ΚΛΕΙΣΙΜΑΤΟΣ'!W203/'2.ΤΙΜΕΣ ΚΛΕΙΣΙΜΑΤΟΣ'!W202)</f>
        <v>1.000564211732117E-2</v>
      </c>
      <c r="X202" s="43">
        <f>LN('2.ΤΙΜΕΣ ΚΛΕΙΣΙΜΑΤΟΣ'!X203/'2.ΤΙΜΕΣ ΚΛΕΙΣΙΜΑΤΟΣ'!X202)</f>
        <v>7.2376673002306031E-3</v>
      </c>
      <c r="Y202" s="43">
        <f>LN('2.ΤΙΜΕΣ ΚΛΕΙΣΙΜΑΤΟΣ'!Y203/'2.ΤΙΜΕΣ ΚΛΕΙΣΙΜΑΤΟΣ'!Y202)</f>
        <v>1.207258123426924E-2</v>
      </c>
      <c r="Z202" s="43">
        <f>LN('2.ΤΙΜΕΣ ΚΛΕΙΣΙΜΑΤΟΣ'!Z203/'2.ΤΙΜΕΣ ΚΛΕΙΣΙΜΑΤΟΣ'!Z202)</f>
        <v>3.7243990909822727E-3</v>
      </c>
      <c r="AA202" s="43">
        <f>LN('2.ΤΙΜΕΣ ΚΛΕΙΣΙΜΑΤΟΣ'!AA203/'2.ΤΙΜΕΣ ΚΛΕΙΣΙΜΑΤΟΣ'!AA202)</f>
        <v>1.2804272245987968E-2</v>
      </c>
      <c r="AB202" s="43">
        <f>LN('2.ΤΙΜΕΣ ΚΛΕΙΣΙΜΑΤΟΣ'!AB203/'2.ΤΙΜΕΣ ΚΛΕΙΣΙΜΑΤΟΣ'!AB202)</f>
        <v>3.4542348680873824E-3</v>
      </c>
      <c r="AC202" s="43">
        <f>LN('2.ΤΙΜΕΣ ΚΛΕΙΣΙΜΑΤΟΣ'!AC203/'2.ΤΙΜΕΣ ΚΛΕΙΣΙΜΑΤΟΣ'!AC202)</f>
        <v>1.2508849691708707E-2</v>
      </c>
      <c r="AD202" s="43">
        <f>LN('2.ΤΙΜΕΣ ΚΛΕΙΣΙΜΑΤΟΣ'!AD203/'2.ΤΙΜΕΣ ΚΛΕΙΣΙΜΑΤΟΣ'!AD202)</f>
        <v>-6.8259650703998706E-3</v>
      </c>
      <c r="AE202" s="43">
        <f>LN('2.ΤΙΜΕΣ ΚΛΕΙΣΙΜΑΤΟΣ'!AE203/'2.ΤΙΜΕΣ ΚΛΕΙΣΙΜΑΤΟΣ'!AE202)</f>
        <v>1.8018505502678212E-2</v>
      </c>
      <c r="AF202" s="43">
        <f>LN('2.ΤΙΜΕΣ ΚΛΕΙΣΙΜΑΤΟΣ'!AF203/'2.ΤΙΜΕΣ ΚΛΕΙΣΙΜΑΤΟΣ'!AF202)</f>
        <v>4.1972779353399159E-3</v>
      </c>
      <c r="AG202" s="43">
        <f>LN('2.ΤΙΜΕΣ ΚΛΕΙΣΙΜΑΤΟΣ'!AG203/'2.ΤΙΜΕΣ ΚΛΕΙΣΙΜΑΤΟΣ'!AG202)</f>
        <v>1.5625317903080815E-2</v>
      </c>
      <c r="AH202" s="43">
        <f>LN('2.ΤΙΜΕΣ ΚΛΕΙΣΙΜΑΤΟΣ'!AH203/'2.ΤΙΜΕΣ ΚΛΕΙΣΙΜΑΤΟΣ'!AH202)</f>
        <v>-1.0204170174241736E-2</v>
      </c>
      <c r="AI202" s="43">
        <f>LN('2.ΤΙΜΕΣ ΚΛΕΙΣΙΜΑΤΟΣ'!AI203/'2.ΤΙΜΕΣ ΚΛΕΙΣΙΜΑΤΟΣ'!AI202)</f>
        <v>0</v>
      </c>
      <c r="AJ202" s="43">
        <f>LN('2.ΤΙΜΕΣ ΚΛΕΙΣΙΜΑΤΟΣ'!AJ203/'2.ΤΙΜΕΣ ΚΛΕΙΣΙΜΑΤΟΣ'!AJ202)</f>
        <v>4.175371410480592E-3</v>
      </c>
      <c r="AK202" s="43">
        <f>LN('2.ΤΙΜΕΣ ΚΛΕΙΣΙΜΑΤΟΣ'!AK203/'2.ΤΙΜΕΣ ΚΛΕΙΣΙΜΑΤΟΣ'!AK202)</f>
        <v>-9.6154586994419804E-3</v>
      </c>
      <c r="AL202" s="43">
        <f>LN('2.ΤΙΜΕΣ ΚΛΕΙΣΙΜΑΤΟΣ'!AL203/'2.ΤΙΜΕΣ ΚΛΕΙΣΙΜΑΤΟΣ'!AL202)</f>
        <v>0</v>
      </c>
      <c r="AM202" s="43">
        <f>LN('2.ΤΙΜΕΣ ΚΛΕΙΣΙΜΑΤΟΣ'!AM203/'2.ΤΙΜΕΣ ΚΛΕΙΣΙΜΑΤΟΣ'!AM202)</f>
        <v>5.4644944720787453E-3</v>
      </c>
      <c r="AN202" s="43">
        <f>LN('2.ΤΙΜΕΣ ΚΛΕΙΣΙΜΑΤΟΣ'!AN203/'2.ΤΙΜΕΣ ΚΛΕΙΣΙΜΑΤΟΣ'!AN202)</f>
        <v>-3.836086787244633E-2</v>
      </c>
      <c r="AO202" s="43">
        <f>LN('2.ΤΙΜΕΣ ΚΛΕΙΣΙΜΑΤΟΣ'!AO203/'2.ΤΙΜΕΣ ΚΛΕΙΣΙΜΑΤΟΣ'!AO202)</f>
        <v>0</v>
      </c>
      <c r="AP202" s="43">
        <f>LN('2.ΤΙΜΕΣ ΚΛΕΙΣΙΜΑΤΟΣ'!AP203/'2.ΤΙΜΕΣ ΚΛΕΙΣΙΜΑΤΟΣ'!AP202)</f>
        <v>-1.2739025777429826E-2</v>
      </c>
      <c r="AQ202" s="43">
        <f>LN('2.ΤΙΜΕΣ ΚΛΕΙΣΙΜΑΤΟΣ'!AQ203/'2.ΤΙΜΕΣ ΚΛΕΙΣΙΜΑΤΟΣ'!AQ202)</f>
        <v>-3.3314855910033568E-3</v>
      </c>
      <c r="AR202" s="43">
        <f>LN('2.ΤΙΜΕΣ ΚΛΕΙΣΙΜΑΤΟΣ'!AR203/'2.ΤΙΜΕΣ ΚΛΕΙΣΙΜΑΤΟΣ'!AR202)</f>
        <v>-1.1117288526904293E-3</v>
      </c>
      <c r="AS202" s="43">
        <f>LN('2.ΤΙΜΕΣ ΚΛΕΙΣΙΜΑΤΟΣ'!AS203/'2.ΤΙΜΕΣ ΚΛΕΙΣΙΜΑΤΟΣ'!AS202)</f>
        <v>0</v>
      </c>
      <c r="AT202" s="43">
        <f>LN('2.ΤΙΜΕΣ ΚΛΕΙΣΙΜΑΤΟΣ'!AT203/'2.ΤΙΜΕΣ ΚΛΕΙΣΙΜΑΤΟΣ'!AT202)</f>
        <v>-2.503130218118477E-3</v>
      </c>
      <c r="AU202" s="43">
        <f>LN('2.ΤΙΜΕΣ ΚΛΕΙΣΙΜΑΤΟΣ'!AU203/'2.ΤΙΜΕΣ ΚΛΕΙΣΙΜΑΤΟΣ'!AU202)</f>
        <v>2.1992391212848029E-3</v>
      </c>
    </row>
    <row r="203" spans="1:47">
      <c r="A203" s="41">
        <v>43852</v>
      </c>
      <c r="B203" s="43">
        <f>LN('2.ΤΙΜΕΣ ΚΛΕΙΣΙΜΑΤΟΣ'!B204/'2.ΤΙΜΕΣ ΚΛΕΙΣΙΜΑΤΟΣ'!B203)</f>
        <v>-4.9049761123160429E-3</v>
      </c>
      <c r="C203" s="43">
        <f>LN('2.ΤΙΜΕΣ ΚΛΕΙΣΙΜΑΤΟΣ'!C204/'2.ΤΙΜΕΣ ΚΛΕΙΣΙΜΑΤΟΣ'!C203)</f>
        <v>1.1594332780919227E-2</v>
      </c>
      <c r="D203" s="43">
        <f>LN('2.ΤΙΜΕΣ ΚΛΕΙΣΙΜΑΤΟΣ'!D204/'2.ΤΙΜΕΣ ΚΛΕΙΣΙΜΑΤΟΣ'!D203)</f>
        <v>2.0601586991217731E-2</v>
      </c>
      <c r="E203" s="43">
        <f>LN('2.ΤΙΜΕΣ ΚΛΕΙΣΙΜΑΤΟΣ'!E204/'2.ΤΙΜΕΣ ΚΛΕΙΣΙΜΑΤΟΣ'!E203)</f>
        <v>7.7620053354891094E-3</v>
      </c>
      <c r="F203" s="43">
        <f>LN('2.ΤΙΜΕΣ ΚΛΕΙΣΙΜΑΤΟΣ'!F204/'2.ΤΙΜΕΣ ΚΛΕΙΣΙΜΑΤΟΣ'!F203)</f>
        <v>-3.5398267051239508E-3</v>
      </c>
      <c r="G203" s="43">
        <f>LN('2.ΤΙΜΕΣ ΚΛΕΙΣΙΜΑΤΟΣ'!G204/'2.ΤΙΜΕΣ ΚΛΕΙΣΙΜΑΤΟΣ'!G203)</f>
        <v>-1.1049836186584935E-2</v>
      </c>
      <c r="H203" s="43">
        <f>LN('2.ΤΙΜΕΣ ΚΛΕΙΣΙΜΑΤΟΣ'!H204/'2.ΤΙΜΕΣ ΚΛΕΙΣΙΜΑΤΟΣ'!H203)</f>
        <v>-3.9370129593395316E-3</v>
      </c>
      <c r="I203" s="43">
        <f>LN('2.ΤΙΜΕΣ ΚΛΕΙΣΙΜΑΤΟΣ'!I204/'2.ΤΙΜΕΣ ΚΛΕΙΣΙΜΑΤΟΣ'!I203)</f>
        <v>-1.6185598354108047E-3</v>
      </c>
      <c r="J203" s="43">
        <f>LN('2.ΤΙΜΕΣ ΚΛΕΙΣΙΜΑΤΟΣ'!J204/'2.ΤΙΜΕΣ ΚΛΕΙΣΙΜΑΤΟΣ'!J203)</f>
        <v>6.9113324309153235E-3</v>
      </c>
      <c r="K203" s="43">
        <f>LN('2.ΤΙΜΕΣ ΚΛΕΙΣΙΜΑΤΟΣ'!K204/'2.ΤΙΜΕΣ ΚΛΕΙΣΙΜΑΤΟΣ'!K203)</f>
        <v>-6.006024060211698E-3</v>
      </c>
      <c r="L203" s="43">
        <f>LN('2.ΤΙΜΕΣ ΚΛΕΙΣΙΜΑΤΟΣ'!L204/'2.ΤΙΜΕΣ ΚΛΕΙΣΙΜΑΤΟΣ'!L203)</f>
        <v>-1.0705698355988726E-2</v>
      </c>
      <c r="M203" s="43">
        <f>LN('2.ΤΙΜΕΣ ΚΛΕΙΣΙΜΑΤΟΣ'!M204/'2.ΤΙΜΕΣ ΚΛΕΙΣΙΜΑΤΟΣ'!M203)</f>
        <v>4.2016868536999766E-3</v>
      </c>
      <c r="N203" s="43">
        <f>LN('2.ΤΙΜΕΣ ΚΛΕΙΣΙΜΑΤΟΣ'!N204/'2.ΤΙΜΕΣ ΚΛΕΙΣΙΜΑΤΟΣ'!N203)</f>
        <v>6.0512688512274551E-3</v>
      </c>
      <c r="O203" s="43">
        <f>LN('2.ΤΙΜΕΣ ΚΛΕΙΣΙΜΑΤΟΣ'!O204/'2.ΤΙΜΕΣ ΚΛΕΙΣΙΜΑΤΟΣ'!O203)</f>
        <v>4.0133833134587413E-3</v>
      </c>
      <c r="P203" s="43">
        <f>LN('2.ΤΙΜΕΣ ΚΛΕΙΣΙΜΑΤΟΣ'!P204/'2.ΤΙΜΕΣ ΚΛΕΙΣΙΜΑΤΟΣ'!P203)</f>
        <v>-6.006024060211698E-3</v>
      </c>
      <c r="Q203" s="43">
        <f>LN('2.ΤΙΜΕΣ ΚΛΕΙΣΙΜΑΤΟΣ'!Q204/'2.ΤΙΜΕΣ ΚΛΕΙΣΙΜΑΤΟΣ'!Q203)</f>
        <v>-6.0606246116910699E-3</v>
      </c>
      <c r="R203" s="43">
        <f>LN('2.ΤΙΜΕΣ ΚΛΕΙΣΙΜΑΤΟΣ'!R204/'2.ΤΙΜΕΣ ΚΛΕΙΣΙΜΑΤΟΣ'!R203)</f>
        <v>-1.0908336764138271E-2</v>
      </c>
      <c r="S203" s="43">
        <f>LN('2.ΤΙΜΕΣ ΚΛΕΙΣΙΜΑΤΟΣ'!S204/'2.ΤΙΜΕΣ ΚΛΕΙΣΙΜΑΤΟΣ'!S203)</f>
        <v>-6.5430985889358357E-3</v>
      </c>
      <c r="T203" s="43">
        <f>LN('2.ΤΙΜΕΣ ΚΛΕΙΣΙΜΑΤΟΣ'!T204/'2.ΤΙΜΕΣ ΚΛΕΙΣΙΜΑΤΟΣ'!T203)</f>
        <v>-1.2812301560484619E-3</v>
      </c>
      <c r="U203" s="43">
        <f>LN('2.ΤΙΜΕΣ ΚΛΕΙΣΙΜΑΤΟΣ'!U204/'2.ΤΙΜΕΣ ΚΛΕΙΣΙΜΑΤΟΣ'!U203)</f>
        <v>-1.2170535620255066E-2</v>
      </c>
      <c r="V203" s="43">
        <f>LN('2.ΤΙΜΕΣ ΚΛΕΙΣΙΜΑΤΟΣ'!V204/'2.ΤΙΜΕΣ ΚΛΕΙΣΙΜΑΤΟΣ'!V203)</f>
        <v>-8.8300794482720369E-3</v>
      </c>
      <c r="W203" s="43">
        <f>LN('2.ΤΙΜΕΣ ΚΛΕΙΣΙΜΑΤΟΣ'!W204/'2.ΤΙΜΕΣ ΚΛΕΙΣΙΜΑΤΟΣ'!W203)</f>
        <v>-1.1123585218662316E-2</v>
      </c>
      <c r="X203" s="43">
        <f>LN('2.ΤΙΜΕΣ ΚΛΕΙΣΙΜΑΤΟΣ'!X204/'2.ΤΙΜΕΣ ΚΛΕΙΣΙΜΑΤΟΣ'!X203)</f>
        <v>2.3754086008107057E-2</v>
      </c>
      <c r="Y203" s="43">
        <f>LN('2.ΤΙΜΕΣ ΚΛΕΙΣΙΜΑΤΟΣ'!Y204/'2.ΤΙΜΕΣ ΚΛΕΙΣΙΜΑΤΟΣ'!Y203)</f>
        <v>1.9980026626730579E-3</v>
      </c>
      <c r="Z203" s="43">
        <f>LN('2.ΤΙΜΕΣ ΚΛΕΙΣΙΜΑΤΟΣ'!Z204/'2.ΤΙΜΕΣ ΚΛΕΙΣΙΜΑΤΟΣ'!Z203)</f>
        <v>0</v>
      </c>
      <c r="AA203" s="43">
        <f>LN('2.ΤΙΜΕΣ ΚΛΕΙΣΙΜΑΤΟΣ'!AA204/'2.ΤΙΜΕΣ ΚΛΕΙΣΙΜΑΤΟΣ'!AA203)</f>
        <v>2.5126950077421859E-2</v>
      </c>
      <c r="AB203" s="43">
        <f>LN('2.ΤΙΜΕΣ ΚΛΕΙΣΙΜΑΤΟΣ'!AB204/'2.ΤΙΜΕΣ ΚΛΕΙΣΙΜΑΤΟΣ'!AB203)</f>
        <v>-3.4542348680874461E-3</v>
      </c>
      <c r="AC203" s="43">
        <f>LN('2.ΤΙΜΕΣ ΚΛΕΙΣΙΜΑΤΟΣ'!AC204/'2.ΤΙΜΕΣ ΚΛΕΙΣΙΜΑΤΟΣ'!AC203)</f>
        <v>-5.5401803756153561E-3</v>
      </c>
      <c r="AD203" s="43">
        <f>LN('2.ΤΙΜΕΣ ΚΛΕΙΣΙΜΑΤΟΣ'!AD204/'2.ΤΙΜΕΣ ΚΛΕΙΣΙΜΑΤΟΣ'!AD203)</f>
        <v>1.2253386805764967E-2</v>
      </c>
      <c r="AE203" s="43">
        <f>LN('2.ΤΙΜΕΣ ΚΛΕΙΣΙΜΑΤΟΣ'!AE204/'2.ΤΙΜΕΣ ΚΛΕΙΣΙΜΑΤΟΣ'!AE203)</f>
        <v>-1.4388737452099669E-2</v>
      </c>
      <c r="AF203" s="43">
        <f>LN('2.ΤΙΜΕΣ ΚΛΕΙΣΙΜΑΤΟΣ'!AF204/'2.ΤΙΜΕΣ ΚΛΕΙΣΙΜΑΤΟΣ'!AF203)</f>
        <v>2.991455657152324E-2</v>
      </c>
      <c r="AG203" s="43">
        <f>LN('2.ΤΙΜΕΣ ΚΛΕΙΣΙΜΑΤΟΣ'!AG204/'2.ΤΙΜΕΣ ΚΛΕΙΣΙΜΑΤΟΣ'!AG203)</f>
        <v>7.7220460939103185E-3</v>
      </c>
      <c r="AH203" s="43">
        <f>LN('2.ΤΙΜΕΣ ΚΛΕΙΣΙΜΑΤΟΣ'!AH204/'2.ΤΙΜΕΣ ΚΛΕΙΣΙΜΑΤΟΣ'!AH203)</f>
        <v>-6.8610903799452404E-3</v>
      </c>
      <c r="AI203" s="43">
        <f>LN('2.ΤΙΜΕΣ ΚΛΕΙΣΙΜΑΤΟΣ'!AI204/'2.ΤΙΜΕΣ ΚΛΕΙΣΙΜΑΤΟΣ'!AI203)</f>
        <v>3.1951599806602428E-2</v>
      </c>
      <c r="AJ203" s="43">
        <f>LN('2.ΤΙΜΕΣ ΚΛΕΙΣΙΜΑΤΟΣ'!AJ204/'2.ΤΙΜΕΣ ΚΛΕΙΣΙΜΑΤΟΣ'!AJ203)</f>
        <v>4.1580101486638982E-3</v>
      </c>
      <c r="AK203" s="43">
        <f>LN('2.ΤΙΜΕΣ ΚΛΕΙΣΙΜΑΤΟΣ'!AK204/'2.ΤΙΜΕΣ ΚΛΕΙΣΙΜΑΤΟΣ'!AK203)</f>
        <v>-1.4598799421152636E-2</v>
      </c>
      <c r="AL203" s="43">
        <f>LN('2.ΤΙΜΕΣ ΚΛΕΙΣΙΜΑΤΟΣ'!AL204/'2.ΤΙΜΕΣ ΚΛΕΙΣΙΜΑΤΟΣ'!AL203)</f>
        <v>1.8349138668196617E-2</v>
      </c>
      <c r="AM203" s="43">
        <f>LN('2.ΤΙΜΕΣ ΚΛΕΙΣΙΜΑΤΟΣ'!AM204/'2.ΤΙΜΕΣ ΚΛΕΙΣΙΜΑΤΟΣ'!AM203)</f>
        <v>3.2174357027856114E-2</v>
      </c>
      <c r="AN203" s="43">
        <f>LN('2.ΤΙΜΕΣ ΚΛΕΙΣΙΜΑΤΟΣ'!AN204/'2.ΤΙΜΕΣ ΚΛΕΙΣΙΜΑΤΟΣ'!AN203)</f>
        <v>8.5613752722991723E-2</v>
      </c>
      <c r="AO203" s="43">
        <f>LN('2.ΤΙΜΕΣ ΚΛΕΙΣΙΜΑΤΟΣ'!AO204/'2.ΤΙΜΕΣ ΚΛΕΙΣΙΜΑΤΟΣ'!AO203)</f>
        <v>5.5401803756153509E-3</v>
      </c>
      <c r="AP203" s="43">
        <f>LN('2.ΤΙΜΕΣ ΚΛΕΙΣΙΜΑΤΟΣ'!AP204/'2.ΤΙΜΕΣ ΚΛΕΙΣΙΜΑΤΟΣ'!AP203)</f>
        <v>2.5317807984290001E-2</v>
      </c>
      <c r="AQ203" s="43">
        <f>LN('2.ΤΙΜΕΣ ΚΛΕΙΣΙΜΑΤΟΣ'!AQ204/'2.ΤΙΜΕΣ ΚΛΕΙΣΙΜΑΤΟΣ'!AQ203)</f>
        <v>6.6519092283059186E-3</v>
      </c>
      <c r="AR203" s="43">
        <f>LN('2.ΤΙΜΕΣ ΚΛΕΙΣΙΜΑΤΟΣ'!AR204/'2.ΤΙΜΕΣ ΚΛΕΙΣΙΜΑΤΟΣ'!AR203)</f>
        <v>6.6519092283059186E-3</v>
      </c>
      <c r="AS203" s="43">
        <f>LN('2.ΤΙΜΕΣ ΚΛΕΙΣΙΜΑΤΟΣ'!AS204/'2.ΤΙΜΕΣ ΚΛΕΙΣΙΜΑΤΟΣ'!AS203)</f>
        <v>-8.9153636579522803E-3</v>
      </c>
      <c r="AT203" s="43">
        <f>LN('2.ΤΙΜΕΣ ΚΛΕΙΣΙΜΑΤΟΣ'!AT204/'2.ΤΙΜΕΣ ΚΛΕΙΣΙΜΑΤΟΣ'!AT203)</f>
        <v>-1.0075651988741587E-2</v>
      </c>
      <c r="AU203" s="43">
        <f>LN('2.ΤΙΜΕΣ ΚΛΕΙΣΙΜΑΤΟΣ'!AU204/'2.ΤΙΜΕΣ ΚΛΕΙΣΙΜΑΤΟΣ'!AU203)</f>
        <v>6.8958569243179229E-4</v>
      </c>
    </row>
    <row r="204" spans="1:47">
      <c r="A204" s="41">
        <v>43853</v>
      </c>
      <c r="B204" s="43">
        <f>LN('2.ΤΙΜΕΣ ΚΛΕΙΣΙΜΑΤΟΣ'!B205/'2.ΤΙΜΕΣ ΚΛΕΙΣΙΜΑΤΟΣ'!B204)</f>
        <v>4.5991189452273731E-3</v>
      </c>
      <c r="C204" s="43">
        <f>LN('2.ΤΙΜΕΣ ΚΛΕΙΣΙΜΑΤΟΣ'!C205/'2.ΤΙΜΕΣ ΚΛΕΙΣΙΜΑΤΟΣ'!C204)</f>
        <v>-7.2306894931460589E-3</v>
      </c>
      <c r="D204" s="43">
        <f>LN('2.ΤΙΜΕΣ ΚΛΕΙΣΙΜΑΤΟΣ'!D205/'2.ΤΙΜΕΣ ΚΛΕΙΣΙΜΑΤΟΣ'!D204)</f>
        <v>-6.8201457882083264E-3</v>
      </c>
      <c r="E204" s="43">
        <f>LN('2.ΤΙΜΕΣ ΚΛΕΙΣΙΜΑΤΟΣ'!E205/'2.ΤΙΜΕΣ ΚΛΕΙΣΙΜΑΤΟΣ'!E204)</f>
        <v>-6.7235836430074008E-3</v>
      </c>
      <c r="F204" s="43">
        <f>LN('2.ΤΙΜΕΣ ΚΛΕΙΣΙΜΑΤΟΣ'!F205/'2.ΤΙΜΕΣ ΚΛΕΙΣΙΜΑΤΟΣ'!F204)</f>
        <v>-1.3087634755367984E-2</v>
      </c>
      <c r="G204" s="43">
        <f>LN('2.ΤΙΜΕΣ ΚΛΕΙΣΙΜΑΤΟΣ'!G205/'2.ΤΙΜΕΣ ΚΛΕΙΣΙΜΑΤΟΣ'!G204)</f>
        <v>1.5435808129839248E-2</v>
      </c>
      <c r="H204" s="43">
        <f>LN('2.ΤΙΜΕΣ ΚΛΕΙΣΙΜΑΤΟΣ'!H205/'2.ΤΙΜΕΣ ΚΛΕΙΣΙΜΑΤΟΣ'!H204)</f>
        <v>0</v>
      </c>
      <c r="I204" s="43">
        <f>LN('2.ΤΙΜΕΣ ΚΛΕΙΣΙΜΑΤΟΣ'!I205/'2.ΤΙΜΕΣ ΚΛΕΙΣΙΜΑΤΟΣ'!I204)</f>
        <v>1.6185598354108027E-3</v>
      </c>
      <c r="J204" s="43">
        <f>LN('2.ΤΙΜΕΣ ΚΛΕΙΣΙΜΑΤΟΣ'!J205/'2.ΤΙΜΕΣ ΚΛΕΙΣΙΜΑΤΟΣ'!J204)</f>
        <v>-9.5568366193394799E-3</v>
      </c>
      <c r="K204" s="43">
        <f>LN('2.ΤΙΜΕΣ ΚΛΕΙΣΙΜΑΤΟΣ'!K205/'2.ΤΙΜΕΣ ΚΛΕΙΣΙΜΑΤΟΣ'!K204)</f>
        <v>0</v>
      </c>
      <c r="L204" s="43">
        <f>LN('2.ΤΙΜΕΣ ΚΛΕΙΣΙΜΑΤΟΣ'!L205/'2.ΤΙΜΕΣ ΚΛΕΙΣΙΜΑΤΟΣ'!L204)</f>
        <v>-1.4785878045087476E-2</v>
      </c>
      <c r="M204" s="43">
        <f>LN('2.ΤΙΜΕΣ ΚΛΕΙΣΙΜΑΤΟΣ'!M205/'2.ΤΙΜΕΣ ΚΛΕΙΣΙΜΑΤΟΣ'!M204)</f>
        <v>-4.2016868536999697E-3</v>
      </c>
      <c r="N204" s="43">
        <f>LN('2.ΤΙΜΕΣ ΚΛΕΙΣΙΜΑΤΟΣ'!N205/'2.ΤΙΜΕΣ ΚΛΕΙΣΙΜΑΤΟΣ'!N204)</f>
        <v>-1.2139378604471751E-2</v>
      </c>
      <c r="O204" s="43">
        <f>LN('2.ΤΙΜΕΣ ΚΛΕΙΣΙΜΑΤΟΣ'!O205/'2.ΤΙΜΕΣ ΚΛΕΙΣΙΜΑΤΟΣ'!O204)</f>
        <v>5.3262442826741627E-3</v>
      </c>
      <c r="P204" s="43">
        <f>LN('2.ΤΙΜΕΣ ΚΛΕΙΣΙΜΑΤΟΣ'!P205/'2.ΤΙΜΕΣ ΚΛΕΙΣΙΜΑΤΟΣ'!P204)</f>
        <v>-7.2551708811720217E-3</v>
      </c>
      <c r="Q204" s="43">
        <f>LN('2.ΤΙΜΕΣ ΚΛΕΙΣΙΜΑΤΟΣ'!Q205/'2.ΤΙΜΕΣ ΚΛΕΙΣΙΜΑΤΟΣ'!Q204)</f>
        <v>-9.1603693986642785E-3</v>
      </c>
      <c r="R204" s="43">
        <f>LN('2.ΤΙΜΕΣ ΚΛΕΙΣΙΜΑΤΟΣ'!R205/'2.ΤΙΜΕΣ ΚΛΕΙΣΙΜΑΤΟΣ'!R204)</f>
        <v>4.7675805432252139E-4</v>
      </c>
      <c r="S204" s="43">
        <f>LN('2.ΤΙΜΕΣ ΚΛΕΙΣΙΜΑΤΟΣ'!S205/'2.ΤΙΜΕΣ ΚΛΕΙΣΙΜΑΤΟΣ'!S204)</f>
        <v>-1.1001211061973682E-2</v>
      </c>
      <c r="T204" s="43">
        <f>LN('2.ΤΙΜΕΣ ΚΛΕΙΣΙΜΑΤΟΣ'!T205/'2.ΤΙΜΕΣ ΚΛΕΙΣΙΜΑΤΟΣ'!T204)</f>
        <v>-5.1413995004186523E-3</v>
      </c>
      <c r="U204" s="43">
        <f>LN('2.ΤΙΜΕΣ ΚΛΕΙΣΙΜΑΤΟΣ'!U205/'2.ΤΙΜΕΣ ΚΛΕΙΣΙΜΑΤΟΣ'!U204)</f>
        <v>-8.196767204178515E-3</v>
      </c>
      <c r="V204" s="43">
        <f>LN('2.ΤΙΜΕΣ ΚΛΕΙΣΙΜΑΤΟΣ'!V205/'2.ΤΙΜΕΣ ΚΛΕΙΣΙΜΑΤΟΣ'!V204)</f>
        <v>-2.2197567383128881E-3</v>
      </c>
      <c r="W204" s="43">
        <f>LN('2.ΤΙΜΕΣ ΚΛΕΙΣΙΜΑΤΟΣ'!W205/'2.ΤΙΜΕΣ ΚΛΕΙΣΙΜΑΤΟΣ'!W204)</f>
        <v>-4.4843124473285759E-3</v>
      </c>
      <c r="X204" s="43">
        <f>LN('2.ΤΙΜΕΣ ΚΛΕΙΣΙΜΑΤΟΣ'!X205/'2.ΤΙΜΕΣ ΚΛΕΙΣΙΜΑΤΟΣ'!X204)</f>
        <v>-7.0671672230923311E-3</v>
      </c>
      <c r="Y204" s="43">
        <f>LN('2.ΤΙΜΕΣ ΚΛΕΙΣΙΜΑΤΟΣ'!Y205/'2.ΤΙΜΕΣ ΚΛΕΙΣΙΜΑΤΟΣ'!Y204)</f>
        <v>-9.0226175996375307E-3</v>
      </c>
      <c r="Z204" s="43">
        <f>LN('2.ΤΙΜΕΣ ΚΛΕΙΣΙΜΑΤΟΣ'!Z205/'2.ΤΙΜΕΣ ΚΛΕΙΣΙΜΑΤΟΣ'!Z204)</f>
        <v>0</v>
      </c>
      <c r="AA204" s="43">
        <f>LN('2.ΤΙΜΕΣ ΚΛΕΙΣΙΜΑΤΟΣ'!AA205/'2.ΤΙΜΕΣ ΚΛΕΙΣΙΜΑΤΟΣ'!AA204)</f>
        <v>-2.4844733276620564E-3</v>
      </c>
      <c r="AB204" s="43">
        <f>LN('2.ΤΙΜΕΣ ΚΛΕΙΣΙΜΑΤΟΣ'!AB205/'2.ΤΙΜΕΣ ΚΛΕΙΣΙΜΑΤΟΣ'!AB204)</f>
        <v>3.4542348680873824E-3</v>
      </c>
      <c r="AC204" s="43">
        <f>LN('2.ΤΙΜΕΣ ΚΛΕΙΣΙΜΑΤΟΣ'!AC205/'2.ΤΙΜΕΣ ΚΛΕΙΣΙΜΑΤΟΣ'!AC204)</f>
        <v>6.920442844573757E-3</v>
      </c>
      <c r="AD204" s="43">
        <f>LN('2.ΤΙΜΕΣ ΚΛΕΙΣΙΜΑΤΟΣ'!AD205/'2.ΤΙΜΕΣ ΚΛΕΙΣΙΜΑΤΟΣ'!AD204)</f>
        <v>-6.7888923336862032E-3</v>
      </c>
      <c r="AE204" s="43">
        <f>LN('2.ΤΙΜΕΣ ΚΛΕΙΣΙΜΑΤΟΣ'!AE205/'2.ΤΙΜΕΣ ΚΛΕΙΣΙΜΑΤΟΣ'!AE204)</f>
        <v>-3.6297680505786127E-3</v>
      </c>
      <c r="AF204" s="43">
        <f>LN('2.ΤΙΜΕΣ ΚΛΕΙΣΙΜΑΤΟΣ'!AF205/'2.ΤΙΜΕΣ ΚΛΕΙΣΙΜΑΤΟΣ'!AF204)</f>
        <v>-2.991455657152324E-2</v>
      </c>
      <c r="AG204" s="43">
        <f>LN('2.ΤΙΜΕΣ ΚΛΕΙΣΙΜΑΤΟΣ'!AG205/'2.ΤΙΜΕΣ ΚΛΕΙΣΙΜΑΤΟΣ'!AG204)</f>
        <v>-2.5975486403260677E-2</v>
      </c>
      <c r="AH204" s="43">
        <f>LN('2.ΤΙΜΕΣ ΚΛΕΙΣΙΜΑΤΟΣ'!AH205/'2.ΤΙΜΕΣ ΚΛΕΙΣΙΜΑΤΟΣ'!AH204)</f>
        <v>3.4364294985810974E-3</v>
      </c>
      <c r="AI204" s="43">
        <f>LN('2.ΤΙΜΕΣ ΚΛΕΙΣΙΜΑΤΟΣ'!AI205/'2.ΤΙΜΕΣ ΚΛΕΙΣΙΜΑΤΟΣ'!AI204)</f>
        <v>1.8692133012152546E-2</v>
      </c>
      <c r="AJ204" s="43">
        <f>LN('2.ΤΙΜΕΣ ΚΛΕΙΣΙΜΑΤΟΣ'!AJ205/'2.ΤΙΜΕΣ ΚΛΕΙΣΙΜΑΤΟΣ'!AJ204)</f>
        <v>-1.2526259819180369E-2</v>
      </c>
      <c r="AK204" s="43">
        <f>LN('2.ΤΙΜΕΣ ΚΛΕΙΣΙΜΑΤΟΣ'!AK205/'2.ΤΙΜΕΣ ΚΛΕΙΣΙΜΑΤΟΣ'!AK204)</f>
        <v>1.4598799421152631E-2</v>
      </c>
      <c r="AL204" s="43">
        <f>LN('2.ΤΙΜΕΣ ΚΛΕΙΣΙΜΑΤΟΣ'!AL205/'2.ΤΙΜΕΣ ΚΛΕΙΣΙΜΑΤΟΣ'!AL204)</f>
        <v>-9.1324835632725868E-3</v>
      </c>
      <c r="AM204" s="43">
        <f>LN('2.ΤΙΜΕΣ ΚΛΕΙΣΙΜΑΤΟΣ'!AM205/'2.ΤΙΜΕΣ ΚΛΕΙΣΙΜΑΤΟΣ'!AM204)</f>
        <v>2.6350476380050318E-3</v>
      </c>
      <c r="AN204" s="43">
        <f>LN('2.ΤΙΜΕΣ ΚΛΕΙΣΙΜΑΤΟΣ'!AN205/'2.ΤΙΜΕΣ ΚΛΕΙΣΙΜΑΤΟΣ'!AN204)</f>
        <v>-6.1693569005339781E-2</v>
      </c>
      <c r="AO204" s="43">
        <f>LN('2.ΤΙΜΕΣ ΚΛΕΙΣΙΜΑΤΟΣ'!AO205/'2.ΤΙΜΕΣ ΚΛΕΙΣΙΜΑΤΟΣ'!AO204)</f>
        <v>5.5096558109696998E-3</v>
      </c>
      <c r="AP204" s="43">
        <f>LN('2.ΤΙΜΕΣ ΚΛΕΙΣΙΜΑΤΟΣ'!AP205/'2.ΤΙΜΕΣ ΚΛΕΙΣΙΜΑΤΟΣ'!AP204)</f>
        <v>-5.0125418235442863E-3</v>
      </c>
      <c r="AQ204" s="43">
        <f>LN('2.ΤΙΜΕΣ ΚΛΕΙΣΙΜΑΤΟΣ'!AQ205/'2.ΤΙΜΕΣ ΚΛΕΙΣΙΜΑΤΟΣ'!AQ204)</f>
        <v>-2.5742887693134819E-2</v>
      </c>
      <c r="AR204" s="43">
        <f>LN('2.ΤΙΜΕΣ ΚΛΕΙΣΙΜΑΤΟΣ'!AR205/'2.ΤΙΜΕΣ ΚΛΕΙΣΙΜΑΤΟΣ'!AR204)</f>
        <v>0</v>
      </c>
      <c r="AS204" s="43">
        <f>LN('2.ΤΙΜΕΣ ΚΛΕΙΣΙΜΑΤΟΣ'!AS205/'2.ΤΙΜΕΣ ΚΛΕΙΣΙΜΑΤΟΣ'!AS204)</f>
        <v>5.9523985272953517E-3</v>
      </c>
      <c r="AT204" s="43">
        <f>LN('2.ΤΙΜΕΣ ΚΛΕΙΣΙΜΑΤΟΣ'!AT205/'2.ΤΙΜΕΣ ΚΛΕΙΣΙΜΑΤΟΣ'!AT204)</f>
        <v>-1.5306421282675545E-2</v>
      </c>
      <c r="AU204" s="43">
        <f>LN('2.ΤΙΜΕΣ ΚΛΕΙΣΙΜΑΤΟΣ'!AU205/'2.ΤΙΜΕΣ ΚΛΕΙΣΙΜΑΤΟΣ'!AU204)</f>
        <v>-3.9849369184383728E-3</v>
      </c>
    </row>
    <row r="205" spans="1:47">
      <c r="A205" s="41">
        <v>43854</v>
      </c>
      <c r="B205" s="43">
        <f>LN('2.ΤΙΜΕΣ ΚΛΕΙΣΙΜΑΤΟΣ'!B206/'2.ΤΙΜΕΣ ΚΛΕΙΣΙΜΑΤΟΣ'!B205)</f>
        <v>8.5288363475205017E-3</v>
      </c>
      <c r="C205" s="43">
        <f>LN('2.ΤΙΜΕΣ ΚΛΕΙΣΙΜΑΤΟΣ'!C206/'2.ΤΙΜΕΣ ΚΛΕΙΣΙΜΑΤΟΣ'!C205)</f>
        <v>-7.2595284494901655E-4</v>
      </c>
      <c r="D205" s="43">
        <f>LN('2.ΤΙΜΕΣ ΚΛΕΙΣΙΜΑΤΟΣ'!D206/'2.ΤΙΜΕΣ ΚΛΕΙΣΙΜΑΤΟΣ'!D205)</f>
        <v>1.7094021256491012E-3</v>
      </c>
      <c r="E205" s="43">
        <f>LN('2.ΤΙΜΕΣ ΚΛΕΙΣΙΜΑΤΟΣ'!E206/'2.ΤΙΜΕΣ ΚΛΕΙΣΙΜΑΤΟΣ'!E205)</f>
        <v>9.8115943315839702E-3</v>
      </c>
      <c r="F205" s="43">
        <f>LN('2.ΤΙΜΕΣ ΚΛΕΙΣΙΜΑΤΟΣ'!F206/'2.ΤΙΜΕΣ ΚΛΕΙΣΙΜΑΤΟΣ'!F205)</f>
        <v>1.3087634755367922E-2</v>
      </c>
      <c r="G205" s="43">
        <f>LN('2.ΤΙΜΕΣ ΚΛΕΙΣΙΜΑΤΟΣ'!G206/'2.ΤΙΜΕΣ ΚΛΕΙΣΙΜΑΤΟΣ'!G205)</f>
        <v>-6.5861928528567265E-3</v>
      </c>
      <c r="H205" s="43">
        <f>LN('2.ΤΙΜΕΣ ΚΛΕΙΣΙΜΑΤΟΣ'!H206/'2.ΤΙΜΕΣ ΚΛΕΙΣΙΜΑΤΟΣ'!H205)</f>
        <v>9.8570732475912817E-4</v>
      </c>
      <c r="I205" s="43">
        <f>LN('2.ΤΙΜΕΣ ΚΛΕΙΣΙΜΑΤΟΣ'!I206/'2.ΤΙΜΕΣ ΚΛΕΙΣΙΜΑΤΟΣ'!I205)</f>
        <v>0</v>
      </c>
      <c r="J205" s="43">
        <f>LN('2.ΤΙΜΕΣ ΚΛΕΙΣΙΜΑΤΟΣ'!J206/'2.ΤΙΜΕΣ ΚΛΕΙΣΙΜΑΤΟΣ'!J205)</f>
        <v>8.2440697750820625E-3</v>
      </c>
      <c r="K205" s="43">
        <f>LN('2.ΤΙΜΕΣ ΚΛΕΙΣΙΜΑΤΟΣ'!K206/'2.ΤΙΜΕΣ ΚΛΕΙΣΙΜΑΤΟΣ'!K205)</f>
        <v>2.0274993861410861E-2</v>
      </c>
      <c r="L205" s="43">
        <f>LN('2.ΤΙΜΕΣ ΚΛΕΙΣΙΜΑΤΟΣ'!L206/'2.ΤΙΜΕΣ ΚΛΕΙΣΙΜΑΤΟΣ'!L205)</f>
        <v>7.9129987573255036E-3</v>
      </c>
      <c r="M205" s="43">
        <f>LN('2.ΤΙΜΕΣ ΚΛΕΙΣΙΜΑΤΟΣ'!M206/'2.ΤΙΜΕΣ ΚΛΕΙΣΙΜΑΤΟΣ'!M205)</f>
        <v>1.5666116744399456E-2</v>
      </c>
      <c r="N205" s="43">
        <f>LN('2.ΤΙΜΕΣ ΚΛΕΙΣΙΜΑΤΟΣ'!N206/'2.ΤΙΜΕΣ ΚΛΕΙΣΙΜΑΤΟΣ'!N205)</f>
        <v>1.3369845106465834E-2</v>
      </c>
      <c r="O205" s="43">
        <f>LN('2.ΤΙΜΕΣ ΚΛΕΙΣΙΜΑΤΟΣ'!O206/'2.ΤΙΜΕΣ ΚΛΕΙΣΙΜΑΤΟΣ'!O205)</f>
        <v>1.8421573567362595E-2</v>
      </c>
      <c r="P205" s="43">
        <f>LN('2.ΤΙΜΕΣ ΚΛΕΙΣΙΜΑΤΟΣ'!P206/'2.ΤΙΜΕΣ ΚΛΕΙΣΙΜΑΤΟΣ'!P205)</f>
        <v>2.3981964686485405E-2</v>
      </c>
      <c r="Q205" s="43">
        <f>LN('2.ΤΙΜΕΣ ΚΛΕΙΣΙΜΑΤΟΣ'!Q206/'2.ΤΙΜΕΣ ΚΛΕΙΣΙΜΑΤΟΣ'!Q205)</f>
        <v>2.1245108613736279E-2</v>
      </c>
      <c r="R205" s="43">
        <f>LN('2.ΤΙΜΕΣ ΚΛΕΙΣΙΜΑΤΟΣ'!R206/'2.ΤΙΜΕΣ ΚΛΕΙΣΙΜΑΤΟΣ'!R205)</f>
        <v>3.0973851010129852E-2</v>
      </c>
      <c r="S205" s="43">
        <f>LN('2.ΤΙΜΕΣ ΚΛΕΙΣΙΜΑΤΟΣ'!S206/'2.ΤΙΜΕΣ ΚΛΕΙΣΙΜΑΤΟΣ'!S205)</f>
        <v>-3.3241027838385598E-3</v>
      </c>
      <c r="T205" s="43">
        <f>LN('2.ΤΙΜΕΣ ΚΛΕΙΣΙΜΑΤΟΣ'!T206/'2.ΤΙΜΕΣ ΚΛΕΙΣΙΜΑΤΟΣ'!T205)</f>
        <v>2.7956077266590135E-2</v>
      </c>
      <c r="U205" s="43">
        <f>LN('2.ΤΙΜΕΣ ΚΛΕΙΣΙΜΑΤΟΣ'!U206/'2.ΤΙΜΕΣ ΚΛΕΙΣΙΜΑΤΟΣ'!U205)</f>
        <v>2.0367302824433733E-2</v>
      </c>
      <c r="V205" s="43">
        <f>LN('2.ΤΙΜΕΣ ΚΛΕΙΣΙΜΑΤΟΣ'!V206/'2.ΤΙΜΕΣ ΚΛΕΙΣΙΜΑΤΟΣ'!V205)</f>
        <v>1.1049836186584935E-2</v>
      </c>
      <c r="W205" s="43">
        <f>LN('2.ΤΙΜΕΣ ΚΛΕΙΣΙΜΑΤΟΣ'!W206/'2.ΤΙΜΕΣ ΚΛΕΙΣΙΜΑΤΟΣ'!W205)</f>
        <v>1.3393057336438035E-2</v>
      </c>
      <c r="X205" s="43">
        <f>LN('2.ΤΙΜΕΣ ΚΛΕΙΣΙΜΑΤΟΣ'!X206/'2.ΤΙΜΕΣ ΚΛΕΙΣΙΜΑΤΟΣ'!X205)</f>
        <v>4.8452383385946748E-2</v>
      </c>
      <c r="Y205" s="43">
        <f>LN('2.ΤΙΜΕΣ ΚΛΕΙΣΙΜΑΤΟΣ'!Y206/'2.ΤΙΜΕΣ ΚΛΕΙΣΙΜΑΤΟΣ'!Y205)</f>
        <v>1.6974945790132586E-2</v>
      </c>
      <c r="Z205" s="43">
        <f>LN('2.ΤΙΜΕΣ ΚΛΕΙΣΙΜΑΤΟΣ'!Z206/'2.ΤΙΜΕΣ ΚΛΕΙΣΙΜΑΤΟΣ'!Z205)</f>
        <v>3.2909734088797958E-2</v>
      </c>
      <c r="AA205" s="43">
        <f>LN('2.ΤΙΜΕΣ ΚΛΕΙΣΙΜΑΤΟΣ'!AA206/'2.ΤΙΜΕΣ ΚΛΕΙΣΙΜΑΤΟΣ'!AA205)</f>
        <v>4.9627893421290972E-3</v>
      </c>
      <c r="AB205" s="43">
        <f>LN('2.ΤΙΜΕΣ ΚΛΕΙΣΙΜΑΤΟΣ'!AB206/'2.ΤΙΜΕΣ ΚΛΕΙΣΙΜΑΤΟΣ'!AB205)</f>
        <v>1.0291686036547724E-2</v>
      </c>
      <c r="AC205" s="43">
        <f>LN('2.ΤΙΜΕΣ ΚΛΕΙΣΙΜΑΤΟΣ'!AC206/'2.ΤΙΜΕΣ ΚΛΕΙΣΙΜΑΤΟΣ'!AC205)</f>
        <v>5.5020771539833384E-3</v>
      </c>
      <c r="AD205" s="43">
        <f>LN('2.ΤΙΜΕΣ ΚΛΕΙΣΙΜΑΤΟΣ'!AD206/'2.ΤΙΜΕΣ ΚΛΕΙΣΙΜΑΤΟΣ'!AD205)</f>
        <v>2.8208720634509157E-2</v>
      </c>
      <c r="AE205" s="43">
        <f>LN('2.ΤΙΜΕΣ ΚΛΕΙΣΙΜΑΤΟΣ'!AE206/'2.ΤΙΜΕΣ ΚΛΕΙΣΙΜΑΤΟΣ'!AE205)</f>
        <v>2.8675799976666298E-2</v>
      </c>
      <c r="AF205" s="43">
        <f>LN('2.ΤΙΜΕΣ ΚΛΕΙΣΙΜΑΤΟΣ'!AF206/'2.ΤΙΜΕΣ ΚΛΕΙΣΙΜΑΤΟΣ'!AF205)</f>
        <v>7.3031101849763492E-3</v>
      </c>
      <c r="AG205" s="43">
        <f>LN('2.ΤΙΜΕΣ ΚΛΕΙΣΙΜΑΤΟΣ'!AG206/'2.ΤΙΜΕΣ ΚΛΕΙΣΙΜΑΤΟΣ'!AG205)</f>
        <v>2.5975486403260736E-2</v>
      </c>
      <c r="AH205" s="43">
        <f>LN('2.ΤΙΜΕΣ ΚΛΕΙΣΙΜΑΤΟΣ'!AH206/'2.ΤΙΜΕΣ ΚΛΕΙΣΙΜΑΤΟΣ'!AH205)</f>
        <v>0</v>
      </c>
      <c r="AI205" s="43">
        <f>LN('2.ΤΙΜΕΣ ΚΛΕΙΣΙΜΑΤΟΣ'!AI206/'2.ΤΙΜΕΣ ΚΛΕΙΣΙΜΑΤΟΣ'!AI205)</f>
        <v>-1.2422519998557096E-2</v>
      </c>
      <c r="AJ205" s="43">
        <f>LN('2.ΤΙΜΕΣ ΚΛΕΙΣΙΜΑΤΟΣ'!AJ206/'2.ΤΙΜΕΣ ΚΛΕΙΣΙΜΑΤΟΣ'!AJ205)</f>
        <v>0</v>
      </c>
      <c r="AK205" s="43">
        <f>LN('2.ΤΙΜΕΣ ΚΛΕΙΣΙΜΑΤΟΣ'!AK206/'2.ΤΙΜΕΣ ΚΛΕΙΣΙΜΑΤΟΣ'!AK205)</f>
        <v>9.6154586994419734E-3</v>
      </c>
      <c r="AL205" s="43">
        <f>LN('2.ΤΙΜΕΣ ΚΛΕΙΣΙΜΑΤΟΣ'!AL206/'2.ΤΙΜΕΣ ΚΛΕΙΣΙΜΑΤΟΣ'!AL205)</f>
        <v>8.7775610882385585E-2</v>
      </c>
      <c r="AM205" s="43">
        <f>LN('2.ΤΙΜΕΣ ΚΛΕΙΣΙΜΑΤΟΣ'!AM206/'2.ΤΙΜΕΣ ΚΛΕΙΣΙΜΑΤΟΣ'!AM205)</f>
        <v>5.249355886143745E-3</v>
      </c>
      <c r="AN205" s="43">
        <f>LN('2.ΤΙΜΕΣ ΚΛΕΙΣΙΜΑΤΟΣ'!AN206/'2.ΤΙΜΕΣ ΚΛΕΙΣΙΜΑΤΟΣ'!AN205)</f>
        <v>8.7011376989629699E-2</v>
      </c>
      <c r="AO205" s="43">
        <f>LN('2.ΤΙΜΕΣ ΚΛΕΙΣΙΜΑΤΟΣ'!AO206/'2.ΤΙΜΕΣ ΚΛΕΙΣΙΜΑΤΟΣ'!AO205)</f>
        <v>8.2079804178295818E-3</v>
      </c>
      <c r="AP205" s="43">
        <f>LN('2.ΤΙΜΕΣ ΚΛΕΙΣΙΜΑΤΟΣ'!AP206/'2.ΤΙΜΕΣ ΚΛΕΙΣΙΜΑΤΟΣ'!AP205)</f>
        <v>1.0000083334583179E-2</v>
      </c>
      <c r="AQ205" s="43">
        <f>LN('2.ΤΙΜΕΣ ΚΛΕΙΣΙΜΑΤΟΣ'!AQ206/'2.ΤΙΜΕΣ ΚΛΕΙΣΙΜΑΤΟΣ'!AQ205)</f>
        <v>2.1313201601546598E-2</v>
      </c>
      <c r="AR205" s="43">
        <f>LN('2.ΤΙΜΕΣ ΚΛΕΙΣΙΜΑΤΟΣ'!AR206/'2.ΤΙΜΕΣ ΚΛΕΙΣΙΜΑΤΟΣ'!AR205)</f>
        <v>2.1858793812499017E-2</v>
      </c>
      <c r="AS205" s="43">
        <f>LN('2.ΤΙΜΕΣ ΚΛΕΙΣΙΜΑΤΟΣ'!AS206/'2.ΤΙΜΕΣ ΚΛΕΙΣΙΜΑΤΟΣ'!AS205)</f>
        <v>4.9213982781412799E-2</v>
      </c>
      <c r="AT205" s="43">
        <f>LN('2.ΤΙΜΕΣ ΚΛΕΙΣΙΜΑΤΟΣ'!AT206/'2.ΤΙΜΕΣ ΚΛΕΙΣΙΜΑΤΟΣ'!AT205)</f>
        <v>1.5306421282675507E-2</v>
      </c>
      <c r="AU205" s="43">
        <f>LN('2.ΤΙΜΕΣ ΚΛΕΙΣΙΜΑΤΟΣ'!AU206/'2.ΤΙΜΕΣ ΚΛΕΙΣΙΜΑΤΟΣ'!AU205)</f>
        <v>1.0032873473749161E-2</v>
      </c>
    </row>
    <row r="206" spans="1:47">
      <c r="A206" s="41">
        <v>43857</v>
      </c>
      <c r="B206" s="43">
        <f>LN('2.ΤΙΜΕΣ ΚΛΕΙΣΙΜΑΤΟΣ'!B207/'2.ΤΙΜΕΣ ΚΛΕΙΣΙΜΑΤΟΣ'!B206)</f>
        <v>-8.5288363475204357E-3</v>
      </c>
      <c r="C206" s="43">
        <f>LN('2.ΤΙΜΕΣ ΚΛΕΙΣΙΜΑΤΟΣ'!C207/'2.ΤΙΜΕΣ ΚΛΕΙΣΙΜΑΤΟΣ'!C206)</f>
        <v>-5.0964799064843148E-3</v>
      </c>
      <c r="D206" s="43">
        <f>LN('2.ΤΙΜΕΣ ΚΛΕΙΣΙΜΑΤΟΣ'!D207/'2.ΤΙΜΕΣ ΚΛΕΙΣΙΜΑΤΟΣ'!D206)</f>
        <v>-1.0300520257965767E-2</v>
      </c>
      <c r="E206" s="43">
        <f>LN('2.ΤΙΜΕΣ ΚΛΕΙΣΙΜΑΤΟΣ'!E207/'2.ΤΙΜΕΣ ΚΛΕΙΣΙΜΑΤΟΣ'!E206)</f>
        <v>-2.8141513134126772E-2</v>
      </c>
      <c r="F206" s="43">
        <f>LN('2.ΤΙΜΕΣ ΚΛΕΙΣΙΜΑΤΟΣ'!F207/'2.ΤΙΜΕΣ ΚΛΕΙΣΙΜΑΤΟΣ'!F206)</f>
        <v>-2.150620522096373E-2</v>
      </c>
      <c r="G206" s="43">
        <f>LN('2.ΤΙΜΕΣ ΚΛΕΙΣΙΜΑΤΟΣ'!G207/'2.ΤΙΜΕΣ ΚΛΕΙΣΙΜΑΤΟΣ'!G206)</f>
        <v>-3.3597784966176672E-2</v>
      </c>
      <c r="H206" s="43">
        <f>LN('2.ΤΙΜΕΣ ΚΛΕΙΣΙΜΑΤΟΣ'!H207/'2.ΤΙΜΕΣ ΚΛΕΙΣΙΜΑΤΟΣ'!H206)</f>
        <v>4.9140148024289414E-3</v>
      </c>
      <c r="I206" s="43">
        <f>LN('2.ΤΙΜΕΣ ΚΛΕΙΣΙΜΑΤΟΣ'!I207/'2.ΤΙΜΕΣ ΚΛΕΙΣΙΜΑΤΟΣ'!I206)</f>
        <v>-1.0295403861099674E-2</v>
      </c>
      <c r="J206" s="43">
        <f>LN('2.ΤΙΜΕΣ ΚΛΕΙΣΙΜΑΤΟΣ'!J207/'2.ΤΙΜΕΣ ΚΛΕΙΣΙΜΑΤΟΣ'!J206)</f>
        <v>-2.5275705380237587E-2</v>
      </c>
      <c r="K206" s="43">
        <f>LN('2.ΤΙΜΕΣ ΚΛΕΙΣΙΜΑΤΟΣ'!K207/'2.ΤΙΜΕΣ ΚΛΕΙΣΙΜΑΤΟΣ'!K206)</f>
        <v>-2.2687540266794884E-2</v>
      </c>
      <c r="L206" s="43">
        <f>LN('2.ΤΙΜΕΣ ΚΛΕΙΣΙΜΑΤΟΣ'!L207/'2.ΤΙΜΕΣ ΚΛΕΙΣΙΜΑΤΟΣ'!L206)</f>
        <v>-2.4434025337282134E-2</v>
      </c>
      <c r="M206" s="43">
        <f>LN('2.ΤΙΜΕΣ ΚΛΕΙΣΙΜΑΤΟΣ'!M207/'2.ΤΙΜΕΣ ΚΛΕΙΣΙΜΑΤΟΣ'!M206)</f>
        <v>-1.5666116744399463E-2</v>
      </c>
      <c r="N206" s="43">
        <f>LN('2.ΤΙΜΕΣ ΚΛΕΙΣΙΜΑΤΟΣ'!N207/'2.ΤΙΜΕΣ ΚΛΕΙΣΙΜΑΤΟΣ'!N206)</f>
        <v>2.4564001543234725E-3</v>
      </c>
      <c r="O206" s="43">
        <f>LN('2.ΤΙΜΕΣ ΚΛΕΙΣΙΜΑΤΟΣ'!O207/'2.ΤΙΜΕΣ ΚΛΕΙΣΙΜΑΤΟΣ'!O206)</f>
        <v>-9.1683680868794425E-3</v>
      </c>
      <c r="P206" s="43">
        <f>LN('2.ΤΙΜΕΣ ΚΛΕΙΣΙΜΑΤΟΣ'!P207/'2.ΤΙΜΕΣ ΚΛΕΙΣΙΜΑΤΟΣ'!P206)</f>
        <v>1.1778699192612705E-2</v>
      </c>
      <c r="Q206" s="43">
        <f>LN('2.ΤΙΜΕΣ ΚΛΕΙΣΙΜΑΤΟΣ'!Q207/'2.ΤΙΜΕΣ ΚΛΕΙΣΙΜΑΤΟΣ'!Q206)</f>
        <v>-2.4317307650706357E-2</v>
      </c>
      <c r="R206" s="43">
        <f>LN('2.ΤΙΜΕΣ ΚΛΕΙΣΙΜΑΤΟΣ'!R207/'2.ΤΙΜΕΣ ΚΛΕΙΣΙΜΑΤΟΣ'!R206)</f>
        <v>-6.4905188446637407E-3</v>
      </c>
      <c r="S206" s="43">
        <f>LN('2.ΤΙΜΕΣ ΚΛΕΙΣΙΜΑΤΟΣ'!S207/'2.ΤΙΜΕΣ ΚΛΕΙΣΙΜΑΤΟΣ'!S206)</f>
        <v>-1.228379488215231E-2</v>
      </c>
      <c r="T206" s="43">
        <f>LN('2.ΤΙΜΕΣ ΚΛΕΙΣΙΜΑΤΟΣ'!T207/'2.ΤΙΜΕΣ ΚΛΕΙΣΙΜΑΤΟΣ'!T206)</f>
        <v>-2.409755157906053E-2</v>
      </c>
      <c r="U206" s="43">
        <f>LN('2.ΤΙΜΕΣ ΚΛΕΙΣΙΜΑΤΟΣ'!U207/'2.ΤΙΜΕΣ ΚΛΕΙΣΙΜΑΤΟΣ'!U206)</f>
        <v>-6.0667526822374262E-3</v>
      </c>
      <c r="V206" s="43">
        <f>LN('2.ΤΙΜΕΣ ΚΛΕΙΣΙΜΑΤΟΣ'!V207/'2.ΤΙΜΕΣ ΚΛΕΙΣΙΜΑΤΟΣ'!V206)</f>
        <v>1.092907053219023E-2</v>
      </c>
      <c r="W206" s="43">
        <f>LN('2.ΤΙΜΕΣ ΚΛΕΙΣΙΜΑΤΟΣ'!W207/'2.ΤΙΜΕΣ ΚΛΕΙΣΙΜΑΤΟΣ'!W206)</f>
        <v>-1.9026875054694095E-2</v>
      </c>
      <c r="X206" s="43">
        <f>LN('2.ΤΙΜΕΣ ΚΛΕΙΣΙΜΑΤΟΣ'!X207/'2.ΤΙΜΕΣ ΚΛΕΙΣΙΜΑΤΟΣ'!X206)</f>
        <v>8.9686699827603161E-3</v>
      </c>
      <c r="Y206" s="43">
        <f>LN('2.ΤΙΜΕΣ ΚΛΕΙΣΙΜΑΤΟΣ'!Y207/'2.ΤΙΜΕΣ ΚΛΕΙΣΙΜΑΤΟΣ'!Y206)</f>
        <v>-2.1011278212592927E-2</v>
      </c>
      <c r="Z206" s="43">
        <f>LN('2.ΤΙΜΕΣ ΚΛΕΙΣΙΜΑΤΟΣ'!Z207/'2.ΤΙΜΕΣ ΚΛΕΙΣΙΜΑΤΟΣ'!Z206)</f>
        <v>0</v>
      </c>
      <c r="AA206" s="43">
        <f>LN('2.ΤΙΜΕΣ ΚΛΕΙΣΙΜΑΤΟΣ'!AA207/'2.ΤΙΜΕΣ ΚΛΕΙΣΙΜΑΤΟΣ'!AA206)</f>
        <v>-2.7605266091888857E-2</v>
      </c>
      <c r="AB206" s="43">
        <f>LN('2.ΤΙΜΕΣ ΚΛΕΙΣΙΜΑΤΟΣ'!AB207/'2.ΤΙΜΕΣ ΚΛΕΙΣΙΜΑΤΟΣ'!AB206)</f>
        <v>-3.2960485849260583E-2</v>
      </c>
      <c r="AC206" s="43">
        <f>LN('2.ΤΙΜΕΣ ΚΛΕΙΣΙΜΑΤΟΣ'!AC207/'2.ΤΙΜΕΣ ΚΛΕΙΣΙΜΑΤΟΣ'!AC206)</f>
        <v>-1.103459472370906E-2</v>
      </c>
      <c r="AD206" s="43">
        <f>LN('2.ΤΙΜΕΣ ΚΛΕΙΣΙΜΑΤΟΣ'!AD207/'2.ΤΙΜΕΣ ΚΛΕΙΣΙΜΑΤΟΣ'!AD206)</f>
        <v>-2.9572047362373226E-2</v>
      </c>
      <c r="AE206" s="43">
        <f>LN('2.ΤΙΜΕΣ ΚΛΕΙΣΙΜΑΤΟΣ'!AE207/'2.ΤΙΜΕΣ ΚΛΕΙΣΙΜΑΤΟΣ'!AE206)</f>
        <v>-7.0922283094919103E-3</v>
      </c>
      <c r="AF206" s="43">
        <f>LN('2.ΤΙΜΕΣ ΚΛΕΙΣΙΜΑΤΟΣ'!AF207/'2.ΤΙΜΕΣ ΚΛΕΙΣΙΜΑΤΟΣ'!AF206)</f>
        <v>-1.6771881613828213E-2</v>
      </c>
      <c r="AG206" s="43">
        <f>LN('2.ΤΙΜΕΣ ΚΛΕΙΣΙΜΑΤΟΣ'!AG207/'2.ΤΙΜΕΣ ΚΛΕΙΣΙΜΑΤΟΣ'!AG206)</f>
        <v>-2.5975486403260677E-2</v>
      </c>
      <c r="AH206" s="43">
        <f>LN('2.ΤΙΜΕΣ ΚΛΕΙΣΙΜΑΤΟΣ'!AH207/'2.ΤΙΜΕΣ ΚΛΕΙΣΙΜΑΤΟΣ'!AH206)</f>
        <v>-1.7167386190545851E-3</v>
      </c>
      <c r="AI206" s="43">
        <f>LN('2.ΤΙΜΕΣ ΚΛΕΙΣΙΜΑΤΟΣ'!AI207/'2.ΤΙΜΕΣ ΚΛΕΙΣΙΜΑΤΟΣ'!AI206)</f>
        <v>0</v>
      </c>
      <c r="AJ206" s="43">
        <f>LN('2.ΤΙΜΕΣ ΚΛΕΙΣΙΜΑΤΟΣ'!AJ207/'2.ΤΙΜΕΣ ΚΛΕΙΣΙΜΑΤΟΣ'!AJ206)</f>
        <v>-1.2685159527315687E-2</v>
      </c>
      <c r="AK206" s="43">
        <f>LN('2.ΤΙΜΕΣ ΚΛΕΙΣΙΜΑΤΟΣ'!AK207/'2.ΤΙΜΕΣ ΚΛΕΙΣΙΜΑΤΟΣ'!AK206)</f>
        <v>-9.6154586994419804E-3</v>
      </c>
      <c r="AL206" s="43">
        <f>LN('2.ΤΙΜΕΣ ΚΛΕΙΣΙΜΑΤΟΣ'!AL207/'2.ΤΙΜΕΣ ΚΛΕΙΣΙΜΑΤΟΣ'!AL206)</f>
        <v>-3.4191364748279197E-2</v>
      </c>
      <c r="AM206" s="43">
        <f>LN('2.ΤΙΜΕΣ ΚΛΕΙΣΙΜΑΤΟΣ'!AM207/'2.ΤΙΜΕΣ ΚΛΕΙΣΙΜΑΤΟΣ'!AM206)</f>
        <v>-7.884403524148759E-3</v>
      </c>
      <c r="AN206" s="43">
        <f>LN('2.ΤΙΜΕΣ ΚΛΕΙΣΙΜΑΤΟΣ'!AN207/'2.ΤΙΜΕΣ ΚΛΕΙΣΙΜΑΤΟΣ'!AN206)</f>
        <v>1.6529301951210506E-2</v>
      </c>
      <c r="AO206" s="43">
        <f>LN('2.ΤΙΜΕΣ ΚΛΕΙΣΙΜΑΤΟΣ'!AO207/'2.ΤΙΜΕΣ ΚΛΕΙΣΙΜΑΤΟΣ'!AO206)</f>
        <v>-1.3717636228799195E-2</v>
      </c>
      <c r="AP206" s="43">
        <f>LN('2.ΤΙΜΕΣ ΚΛΕΙΣΙΜΑΤΟΣ'!AP207/'2.ΤΙΜΕΣ ΚΛΕΙΣΙΜΑΤΟΣ'!AP206)</f>
        <v>-7.490671729157402E-3</v>
      </c>
      <c r="AQ206" s="43">
        <f>LN('2.ΤΙΜΕΣ ΚΛΕΙΣΙΜΑΤΟΣ'!AQ207/'2.ΤΙΜΕΣ ΚΛΕΙΣΙΜΑΤΟΣ'!AQ206)</f>
        <v>-7.7994824348237507E-3</v>
      </c>
      <c r="AR206" s="43">
        <f>LN('2.ΤΙΜΕΣ ΚΛΕΙΣΙΜΑΤΟΣ'!AR207/'2.ΤΙΜΕΣ ΚΛΕΙΣΙΜΑΤΟΣ'!AR206)</f>
        <v>-9.7773728382949381E-3</v>
      </c>
      <c r="AS206" s="43">
        <f>LN('2.ΤΙΜΕΣ ΚΛΕΙΣΙΜΑΤΟΣ'!AS207/'2.ΤΙΜΕΣ ΚΛΕΙΣΙΜΑΤΟΣ'!AS206)</f>
        <v>5.6338177182560642E-3</v>
      </c>
      <c r="AT206" s="43">
        <f>LN('2.ΤΙΜΕΣ ΚΛΕΙΣΙΜΑΤΟΣ'!AT207/'2.ΤΙΜΕΣ ΚΛΕΙΣΙΜΑΤΟΣ'!AT206)</f>
        <v>-2.046107187134006E-2</v>
      </c>
      <c r="AU206" s="43">
        <f>LN('2.ΤΙΜΕΣ ΚΛΕΙΣΙΜΑΤΟΣ'!AU207/'2.ΤΙΜΕΣ ΚΛΕΙΣΙΜΑΤΟΣ'!AU206)</f>
        <v>-1.3146845127628287E-2</v>
      </c>
    </row>
    <row r="207" spans="1:47">
      <c r="A207" s="41">
        <v>43858</v>
      </c>
      <c r="B207" s="43">
        <f>LN('2.ΤΙΜΕΣ ΚΛΕΙΣΙΜΑΤΟΣ'!B208/'2.ΤΙΜΕΣ ΚΛΕΙΣΙΜΑΤΟΣ'!B207)</f>
        <v>8.2254843051518568E-3</v>
      </c>
      <c r="C207" s="43">
        <f>LN('2.ΤΙΜΕΣ ΚΛΕΙΣΙΜΑΤΟΣ'!C208/'2.ΤΙΜΕΣ ΚΛΕΙΣΙΜΑΤΟΣ'!C207)</f>
        <v>-1.3965680861971759E-2</v>
      </c>
      <c r="D207" s="43">
        <f>LN('2.ΤΙΜΕΣ ΚΛΕΙΣΙΜΑΤΟΣ'!D208/'2.ΤΙΜΕΣ ΚΛΕΙΣΙΜΑΤΟΣ'!D207)</f>
        <v>-2.5339931633365412E-2</v>
      </c>
      <c r="E207" s="43">
        <f>LN('2.ΤΙΜΕΣ ΚΛΕΙΣΙΜΑΤΟΣ'!E208/'2.ΤΙΜΕΣ ΚΛΕΙΣΙΜΑΤΟΣ'!E207)</f>
        <v>-1.0093047167735132E-2</v>
      </c>
      <c r="F207" s="43">
        <f>LN('2.ΤΙΜΕΣ ΚΛΕΙΣΙΜΑΤΟΣ'!F208/'2.ΤΙΜΕΣ ΚΛΕΙΣΙΜΑΤΟΣ'!F207)</f>
        <v>4.8192864359489218E-3</v>
      </c>
      <c r="G207" s="43">
        <f>LN('2.ΤΙΜΕΣ ΚΛΕΙΣΙΜΑΤΟΣ'!G208/'2.ΤΙΜΕΣ ΚΛΕΙΣΙΜΑΤΟΣ'!G207)</f>
        <v>-2.0714204387563221E-2</v>
      </c>
      <c r="H207" s="43">
        <f>LN('2.ΤΙΜΕΣ ΚΛΕΙΣΙΜΑΤΟΣ'!H208/'2.ΤΙΜΕΣ ΚΛΕΙΣΙΜΑΤΟΣ'!H207)</f>
        <v>-8.8626872578453173E-3</v>
      </c>
      <c r="I207" s="43">
        <f>LN('2.ΤΙΜΕΣ ΚΛΕΙΣΙΜΑΤΟΣ'!I208/'2.ΤΙΜΕΣ ΚΛΕΙΣΙΜΑΤΟΣ'!I207)</f>
        <v>-1.0899183640255736E-3</v>
      </c>
      <c r="J207" s="43">
        <f>LN('2.ΤΙΜΕΣ ΚΛΕΙΣΙΜΑΤΟΣ'!J208/'2.ΤΙΜΕΣ ΚΛΕΙΣΙΜΑΤΟΣ'!J207)</f>
        <v>-8.1163786780727425E-3</v>
      </c>
      <c r="K207" s="43">
        <f>LN('2.ΤΙΜΕΣ ΚΛΕΙΣΙΜΑΤΟΣ'!K208/'2.ΤΙΜΕΣ ΚΛΕΙΣΙΜΑΤΟΣ'!K207)</f>
        <v>9.6154586994419734E-3</v>
      </c>
      <c r="L207" s="43">
        <f>LN('2.ΤΙΜΕΣ ΚΛΕΙΣΙΜΑΤΟΣ'!L208/'2.ΤΙΜΕΣ ΚΛΕΙΣΙΜΑΤΟΣ'!L207)</f>
        <v>-9.6374065732423974E-3</v>
      </c>
      <c r="M207" s="43">
        <f>LN('2.ΤΙΜΕΣ ΚΛΕΙΣΙΜΑΤΟΣ'!M208/'2.ΤΙΜΕΣ ΚΛΕΙΣΙΜΑΤΟΣ'!M207)</f>
        <v>-3.1628914085081953E-3</v>
      </c>
      <c r="N207" s="43">
        <f>LN('2.ΤΙΜΕΣ ΚΛΕΙΣΙΜΑΤΟΣ'!N208/'2.ΤΙΜΕΣ ΚΛΕΙΣΙΜΑΤΟΣ'!N207)</f>
        <v>0</v>
      </c>
      <c r="O207" s="43">
        <f>LN('2.ΤΙΜΕΣ ΚΛΕΙΣΙΜΑΤΟΣ'!O208/'2.ΤΙΜΕΣ ΚΛΕΙΣΙΜΑΤΟΣ'!O207)</f>
        <v>0</v>
      </c>
      <c r="P207" s="43">
        <f>LN('2.ΤΙΜΕΣ ΚΛΕΙΣΙΜΑΤΟΣ'!P208/'2.ΤΙΜΕΣ ΚΛΕΙΣΙΜΑΤΟΣ'!P207)</f>
        <v>2.999071368368254E-2</v>
      </c>
      <c r="Q207" s="43">
        <f>LN('2.ΤΙΜΕΣ ΚΛΕΙΣΙΜΑΤΟΣ'!Q208/'2.ΤΙΜΕΣ ΚΛΕΙΣΙΜΑΤΟΣ'!Q207)</f>
        <v>-4.3169971454007873E-3</v>
      </c>
      <c r="R207" s="43">
        <f>LN('2.ΤΙΜΕΣ ΚΛΕΙΣΙΜΑΤΟΣ'!R208/'2.ΤΙΜΕΣ ΚΛΕΙΣΙΜΑΤΟΣ'!R207)</f>
        <v>0</v>
      </c>
      <c r="S207" s="43">
        <f>LN('2.ΤΙΜΕΣ ΚΛΕΙΣΙΜΑΤΟΣ'!S208/'2.ΤΙΜΕΣ ΚΛΕΙΣΙΜΑΤΟΣ'!S207)</f>
        <v>1.1173300598125255E-2</v>
      </c>
      <c r="T207" s="43">
        <f>LN('2.ΤΙΜΕΣ ΚΛΕΙΣΙΜΑΤΟΣ'!T208/'2.ΤΙΜΕΣ ΚΛΕΙΣΙΜΑΤΟΣ'!T207)</f>
        <v>0</v>
      </c>
      <c r="U207" s="43">
        <f>LN('2.ΤΙΜΕΣ ΚΛΕΙΣΙΜΑΤΟΣ'!U208/'2.ΤΙΜΕΣ ΚΛΕΙΣΙΜΑΤΟΣ'!U207)</f>
        <v>-4.0650462481694452E-3</v>
      </c>
      <c r="V207" s="43">
        <f>LN('2.ΤΙΜΕΣ ΚΛΕΙΣΙΜΑΤΟΣ'!V208/'2.ΤΙΜΕΣ ΚΛΕΙΣΙΜΑΤΟΣ'!V207)</f>
        <v>-1.0929070532190317E-2</v>
      </c>
      <c r="W207" s="43">
        <f>LN('2.ΤΙΜΕΣ ΚΛΕΙΣΙΜΑΤΟΣ'!W208/'2.ΤΙΜΕΣ ΚΛΕΙΣΙΜΑΤΟΣ'!W207)</f>
        <v>0</v>
      </c>
      <c r="X207" s="43">
        <f>LN('2.ΤΙΜΕΣ ΚΛΕΙΣΙΜΑΤΟΣ'!X208/'2.ΤΙΜΕΣ ΚΛΕΙΣΙΜΑΤΟΣ'!X207)</f>
        <v>2.8604810581663417E-2</v>
      </c>
      <c r="Y207" s="43">
        <f>LN('2.ΤΙΜΕΣ ΚΛΕΙΣΙΜΑΤΟΣ'!Y208/'2.ΤΙΜΕΣ ΚΛΕΙΣΙΜΑΤΟΣ'!Y207)</f>
        <v>-6.0852114755455631E-3</v>
      </c>
      <c r="Z207" s="43">
        <f>LN('2.ΤΙΜΕΣ ΚΛΕΙΣΙΜΑΤΟΣ'!Z208/'2.ΤΙΜΕΣ ΚΛΕΙΣΙΜΑΤΟΣ'!Z207)</f>
        <v>-3.6036075032986558E-3</v>
      </c>
      <c r="AA207" s="43">
        <f>LN('2.ΤΙΜΕΣ ΚΛΕΙΣΙΜΑΤΟΣ'!AA208/'2.ΤΙΜΕΣ ΚΛΕΙΣΙΜΑΤΟΣ'!AA207)</f>
        <v>1.5151805020602246E-2</v>
      </c>
      <c r="AB207" s="43">
        <f>LN('2.ΤΙΜΕΣ ΚΛΕΙΣΙΜΑΤΟΣ'!AB208/'2.ΤΙΜΕΣ ΚΛΕΙΣΙΜΑΤΟΣ'!AB207)</f>
        <v>3.5211303985789606E-3</v>
      </c>
      <c r="AC207" s="43">
        <f>LN('2.ΤΙΜΕΣ ΚΛΕΙΣΙΜΑΤΟΣ'!AC208/'2.ΤΙΜΕΣ ΚΛΕΙΣΙΜΑΤΟΣ'!AC207)</f>
        <v>5.5325175697256979E-3</v>
      </c>
      <c r="AD207" s="43">
        <f>LN('2.ΤΙΜΕΣ ΚΛΕΙΣΙΜΑΤΟΣ'!AD208/'2.ΤΙΜΕΣ ΚΛΕΙΣΙΜΑΤΟΣ'!AD207)</f>
        <v>1.4895332946440333E-2</v>
      </c>
      <c r="AE207" s="43">
        <f>LN('2.ΤΙΜΕΣ ΚΛΕΙΣΙΜΑΤΟΣ'!AE208/'2.ΤΙΜΕΣ ΚΛΕΙΣΙΜΑΤΟΣ'!AE207)</f>
        <v>-1.795380361659582E-2</v>
      </c>
      <c r="AF207" s="43">
        <f>LN('2.ΤΙΜΕΣ ΚΛΕΙΣΙΜΑΤΟΣ'!AF208/'2.ΤΙΜΕΣ ΚΛΕΙΣΙΜΑΤΟΣ'!AF207)</f>
        <v>-1.1696039763191187E-2</v>
      </c>
      <c r="AG207" s="43">
        <f>LN('2.ΤΙΜΕΣ ΚΛΕΙΣΙΜΑΤΟΣ'!AG208/'2.ΤΙΜΕΣ ΚΛΕΙΣΙΜΑΤΟΣ'!AG207)</f>
        <v>1.0471299867295437E-2</v>
      </c>
      <c r="AH207" s="43">
        <f>LN('2.ΤΙΜΕΣ ΚΛΕΙΣΙΜΑΤΟΣ'!AH208/'2.ΤΙΜΕΣ ΚΛΕΙΣΙΜΑΤΟΣ'!AH207)</f>
        <v>-5.1679701584425612E-3</v>
      </c>
      <c r="AI207" s="43">
        <f>LN('2.ΤΙΜΕΣ ΚΛΕΙΣΙΜΑΤΟΣ'!AI208/'2.ΤΙΜΕΣ ΚΛΕΙΣΙΜΑΤΟΣ'!AI207)</f>
        <v>6.2305497506361628E-3</v>
      </c>
      <c r="AJ207" s="43">
        <f>LN('2.ΤΙΜΕΣ ΚΛΕΙΣΙΜΑΤΟΣ'!AJ208/'2.ΤΙΜΕΣ ΚΛΕΙΣΙΜΑΤΟΣ'!AJ207)</f>
        <v>-4.2643987864576507E-3</v>
      </c>
      <c r="AK207" s="43">
        <f>LN('2.ΤΙΜΕΣ ΚΛΕΙΣΙΜΑΤΟΣ'!AK208/'2.ΤΙΜΕΣ ΚΛΕΙΣΙΜΑΤΟΣ'!AK207)</f>
        <v>-9.7088141269609379E-3</v>
      </c>
      <c r="AL207" s="43">
        <f>LN('2.ΤΙΜΕΣ ΚΛΕΙΣΙΜΑΤΟΣ'!AL208/'2.ΤΙΜΕΣ ΚΛΕΙΣΙΜΑΤΟΣ'!AL207)</f>
        <v>-8.7336799687546662E-3</v>
      </c>
      <c r="AM207" s="43">
        <f>LN('2.ΤΙΜΕΣ ΚΛΕΙΣΙΜΑΤΟΣ'!AM208/'2.ΤΙΜΕΣ ΚΛΕΙΣΙΜΑΤΟΣ'!AM207)</f>
        <v>-1.3280407667894378E-2</v>
      </c>
      <c r="AN207" s="43">
        <f>LN('2.ΤΙΜΕΣ ΚΛΕΙΣΙΜΑΤΟΣ'!AN208/'2.ΤΙΜΕΣ ΚΛΕΙΣΙΜΑΤΟΣ'!AN207)</f>
        <v>-3.3336420267591836E-2</v>
      </c>
      <c r="AO207" s="43">
        <f>LN('2.ΤΙΜΕΣ ΚΛΕΙΣΙΜΑΤΟΣ'!AO208/'2.ΤΙΜΕΣ ΚΛΕΙΣΙΜΑΤΟΣ'!AO207)</f>
        <v>5.5096558109696998E-3</v>
      </c>
      <c r="AP207" s="43">
        <f>LN('2.ΤΙΜΕΣ ΚΛΕΙΣΙΜΑΤΟΣ'!AP208/'2.ΤΙΜΕΣ ΚΛΕΙΣΙΜΑΤΟΣ'!AP207)</f>
        <v>3.9317103340834839E-2</v>
      </c>
      <c r="AQ207" s="43">
        <f>LN('2.ΤΙΜΕΣ ΚΛΕΙΣΙΜΑΤΟΣ'!AQ208/'2.ΤΙΜΕΣ ΚΛΕΙΣΙΜΑΤΟΣ'!AQ207)</f>
        <v>-1.464814923733463E-2</v>
      </c>
      <c r="AR207" s="43">
        <f>LN('2.ΤΙΜΕΣ ΚΛΕΙΣΙΜΑΤΟΣ'!AR208/'2.ΤΙΜΕΣ ΚΛΕΙΣΙΜΑΤΟΣ'!AR207)</f>
        <v>1.9460073554712343E-2</v>
      </c>
      <c r="AS207" s="43">
        <f>LN('2.ΤΙΜΕΣ ΚΛΕΙΣΙΜΑΤΟΣ'!AS208/'2.ΤΙΜΕΣ ΚΛΕΙΣΙΜΑΤΟΣ'!AS207)</f>
        <v>-1.4144507386164738E-2</v>
      </c>
      <c r="AT207" s="43">
        <f>LN('2.ΤΙΜΕΣ ΚΛΕΙΣΙΜΑΤΟΣ'!AT208/'2.ΤΙΜΕΣ ΚΛΕΙΣΙΜΑΤΟΣ'!AT207)</f>
        <v>-1.562531790308087E-2</v>
      </c>
      <c r="AU207" s="43">
        <f>LN('2.ΤΙΜΕΣ ΚΛΕΙΣΙΜΑΤΟΣ'!AU208/'2.ΤΙΜΕΣ ΚΛΕΙΣΙΜΑΤΟΣ'!AU207)</f>
        <v>-3.0165612708224067E-3</v>
      </c>
    </row>
    <row r="208" spans="1:47">
      <c r="A208" s="41">
        <v>43859</v>
      </c>
      <c r="B208" s="43">
        <f>LN('2.ΤΙΜΕΣ ΚΛΕΙΣΙΜΑΤΟΣ'!B209/'2.ΤΙΜΕΣ ΚΛΕΙΣΙΜΑΤΟΣ'!B208)</f>
        <v>-3.9519735277696883E-3</v>
      </c>
      <c r="C208" s="43">
        <f>LN('2.ΤΙΜΕΣ ΚΛΕΙΣΙΜΑΤΟΣ'!C209/'2.ΤΙΜΕΣ ΚΛΕΙΣΙΜΑΤΟΣ'!C208)</f>
        <v>-7.4046652772369499E-4</v>
      </c>
      <c r="D208" s="43">
        <f>LN('2.ΤΙΜΕΣ ΚΛΕΙΣΙΜΑΤΟΣ'!D209/'2.ΤΙΜΕΣ ΚΛΕΙΣΙΜΑΤΟΣ'!D208)</f>
        <v>-7.104825623744683E-3</v>
      </c>
      <c r="E208" s="43">
        <f>LN('2.ΤΙΜΕΣ ΚΛΕΙΣΙΜΑΤΟΣ'!E209/'2.ΤΙΜΕΣ ΚΛΕΙΣΙΜΑΤΟΣ'!E208)</f>
        <v>-4.2803703661726516E-3</v>
      </c>
      <c r="F208" s="43">
        <f>LN('2.ΤΙΜΕΣ ΚΛΕΙΣΙΜΑΤΟΣ'!F209/'2.ΤΙΜΕΣ ΚΛΕΙΣΙΜΑΤΟΣ'!F208)</f>
        <v>2.4009615375380463E-3</v>
      </c>
      <c r="G208" s="43">
        <f>LN('2.ΤΙΜΕΣ ΚΛΕΙΣΙΜΑΤΟΣ'!G209/'2.ΤΙΜΕΣ ΚΛΕΙΣΙΜΑΤΟΣ'!G208)</f>
        <v>3.4823018358744904E-3</v>
      </c>
      <c r="H208" s="43">
        <f>LN('2.ΤΙΜΕΣ ΚΛΕΙΣΙΜΑΤΟΣ'!H209/'2.ΤΙΜΕΣ ΚΛΕΙΣΙΜΑΤΟΣ'!H208)</f>
        <v>-9.940439705250801E-3</v>
      </c>
      <c r="I208" s="43">
        <f>LN('2.ΤΙΜΕΣ ΚΛΕΙΣΙΜΑΤΟΣ'!I209/'2.ΤΙΜΕΣ ΚΛΕΙΣΙΜΑΤΟΣ'!I208)</f>
        <v>9.7667623897146286E-3</v>
      </c>
      <c r="J208" s="43">
        <f>LN('2.ΤΙΜΕΣ ΚΛΕΙΣΙΜΑΤΟΣ'!J209/'2.ΤΙΜΕΣ ΚΛΕΙΣΙΜΑΤΟΣ'!J208)</f>
        <v>1.0135221894043148E-2</v>
      </c>
      <c r="K208" s="43">
        <f>LN('2.ΤΙΜΕΣ ΚΛΕΙΣΙΜΑΤΟΣ'!K209/'2.ΤΙΜΕΣ ΚΛΕΙΣΙΜΑΤΟΣ'!K208)</f>
        <v>-4.7961722634929441E-3</v>
      </c>
      <c r="L208" s="43">
        <f>LN('2.ΤΙΜΕΣ ΚΛΕΙΣΙΜΑΤΟΣ'!L209/'2.ΤΙΜΕΣ ΚΛΕΙΣΙΜΑΤΟΣ'!L208)</f>
        <v>-1.0198879007454116E-3</v>
      </c>
      <c r="M208" s="43">
        <f>LN('2.ΤΙΜΕΣ ΚΛΕΙΣΙΜΑΤΟΣ'!M209/'2.ΤΙΜΕΣ ΚΛΕΙΣΙΜΑΤΟΣ'!M208)</f>
        <v>-6.3559536006987157E-3</v>
      </c>
      <c r="N208" s="43">
        <f>LN('2.ΤΙΜΕΣ ΚΛΕΙΣΙΜΑΤΟΣ'!N209/'2.ΤΙΜΕΣ ΚΛΕΙΣΙΜΑΤΟΣ'!N208)</f>
        <v>-6.0289324418354466E-3</v>
      </c>
      <c r="O208" s="43">
        <f>LN('2.ΤΙΜΕΣ ΚΛΕΙΣΙΜΑΤΟΣ'!O209/'2.ΤΙΜΕΣ ΚΛΕΙΣΙΜΑΤΟΣ'!O208)</f>
        <v>5.249355886143745E-3</v>
      </c>
      <c r="P208" s="43">
        <f>LN('2.ΤΙΜΕΣ ΚΛΕΙΣΙΜΑΤΟΣ'!P209/'2.ΤΙΜΕΣ ΚΛΕΙΣΙΜΑΤΟΣ'!P208)</f>
        <v>-2.9990713683682519E-2</v>
      </c>
      <c r="Q208" s="43">
        <f>LN('2.ΤΙΜΕΣ ΚΛΕΙΣΙΜΑΤΟΣ'!Q209/'2.ΤΙΜΕΣ ΚΛΕΙΣΙΜΑΤΟΣ'!Q208)</f>
        <v>-3.7151745518634312E-3</v>
      </c>
      <c r="R208" s="43">
        <f>LN('2.ΤΙΜΕΣ ΚΛΕΙΣΙΜΑΤΟΣ'!R209/'2.ΤΙΜΕΣ ΚΛΕΙΣΙΜΑΤΟΣ'!R208)</f>
        <v>0</v>
      </c>
      <c r="S208" s="43">
        <f>LN('2.ΤΙΜΕΣ ΚΛΕΙΣΙΜΑΤΟΣ'!S209/'2.ΤΙΜΕΣ ΚΛΕΙΣΙΜΑΤΟΣ'!S208)</f>
        <v>3.3277900926745245E-3</v>
      </c>
      <c r="T208" s="43">
        <f>LN('2.ΤΙΜΕΣ ΚΛΕΙΣΙΜΑΤΟΣ'!T209/'2.ΤΙΜΕΣ ΚΛΕΙΣΙΜΑΤΟΣ'!T208)</f>
        <v>-3.8585256875295227E-3</v>
      </c>
      <c r="U208" s="43">
        <f>LN('2.ΤΙΜΕΣ ΚΛΕΙΣΙΜΑΤΟΣ'!U209/'2.ΤΙΜΕΣ ΚΛΕΙΣΙΜΑΤΟΣ'!U208)</f>
        <v>-8.1800047119308071E-3</v>
      </c>
      <c r="V208" s="43">
        <f>LN('2.ΤΙΜΕΣ ΚΛΕΙΣΙΜΑΤΟΣ'!V209/'2.ΤΙΜΕΣ ΚΛΕΙΣΙΜΑΤΟΣ'!V208)</f>
        <v>2.195390563435656E-3</v>
      </c>
      <c r="W208" s="43">
        <f>LN('2.ΤΙΜΕΣ ΚΛΕΙΣΙΜΑΤΟΣ'!W209/'2.ΤΙΜΕΣ ΚΛΕΙΣΙΜΑΤΟΣ'!W208)</f>
        <v>0</v>
      </c>
      <c r="X208" s="43">
        <f>LN('2.ΤΙΜΕΣ ΚΛΕΙΣΙΜΑΤΟΣ'!X209/'2.ΤΙΜΕΣ ΚΛΕΙΣΙΜΑΤΟΣ'!X208)</f>
        <v>2.1668480850902932E-3</v>
      </c>
      <c r="Y208" s="43">
        <f>LN('2.ΤΙΜΕΣ ΚΛΕΙΣΙΜΑΤΟΣ'!Y209/'2.ΤΙΜΕΣ ΚΛΕΙΣΙΜΑΤΟΣ'!Y208)</f>
        <v>-7.146533734074088E-3</v>
      </c>
      <c r="Z208" s="43">
        <f>LN('2.ΤΙΜΕΣ ΚΛΕΙΣΙΜΑΤΟΣ'!Z209/'2.ΤΙΜΕΣ ΚΛΕΙΣΙΜΑΤΟΣ'!Z208)</f>
        <v>-1.0889399799268319E-2</v>
      </c>
      <c r="AA208" s="43">
        <f>LN('2.ΤΙΜΕΣ ΚΛΕΙΣΙΜΑΤΟΣ'!AA209/'2.ΤΙΜΕΣ ΚΛΕΙΣΙΜΑΤΟΣ'!AA208)</f>
        <v>2.9631797606371149E-2</v>
      </c>
      <c r="AB208" s="43">
        <f>LN('2.ΤΙΜΕΣ ΚΛΕΙΣΙΜΑΤΟΣ'!AB209/'2.ΤΙΜΕΣ ΚΛΕΙΣΙΜΑΤΟΣ'!AB208)</f>
        <v>-7.0547029798900384E-3</v>
      </c>
      <c r="AC208" s="43">
        <f>LN('2.ΤΙΜΕΣ ΚΛΕΙΣΙΜΑΤΟΣ'!AC209/'2.ΤΙΜΕΣ ΚΛΕΙΣΙΜΑΤΟΣ'!AC208)</f>
        <v>1.3783599701213596E-3</v>
      </c>
      <c r="AD208" s="43">
        <f>LN('2.ΤΙΜΕΣ ΚΛΕΙΣΙΜΑΤΟΣ'!AD209/'2.ΤΙΜΕΣ ΚΛΕΙΣΙΜΑΤΟΣ'!AD208)</f>
        <v>0</v>
      </c>
      <c r="AE208" s="43">
        <f>LN('2.ΤΙΜΕΣ ΚΛΕΙΣΙΜΑΤΟΣ'!AE209/'2.ΤΙΜΕΣ ΚΛΕΙΣΙΜΑΤΟΣ'!AE208)</f>
        <v>-3.6297680505786127E-3</v>
      </c>
      <c r="AF208" s="43">
        <f>LN('2.ΤΙΜΕΣ ΚΛΕΙΣΙΜΑΤΟΣ'!AF209/'2.ΤΙΜΕΣ ΚΛΕΙΣΙΜΑΤΟΣ'!AF208)</f>
        <v>-8.5929637228318347E-3</v>
      </c>
      <c r="AG208" s="43">
        <f>LN('2.ΤΙΜΕΣ ΚΛΕΙΣΙΜΑΤΟΣ'!AG209/'2.ΤΙΜΕΣ ΚΛΕΙΣΙΜΑΤΟΣ'!AG208)</f>
        <v>-1.0471299867295366E-2</v>
      </c>
      <c r="AH208" s="43">
        <f>LN('2.ΤΙΜΕΣ ΚΛΕΙΣΙΜΑΤΟΣ'!AH209/'2.ΤΙΜΕΣ ΚΛΕΙΣΙΜΑΤΟΣ'!AH208)</f>
        <v>1.7256259674698574E-3</v>
      </c>
      <c r="AI208" s="43">
        <f>LN('2.ΤΙΜΕΣ ΚΛΕΙΣΙΜΑΤΟΣ'!AI209/'2.ΤΙΜΕΣ ΚΛΕΙΣΙΜΑΤΟΣ'!AI208)</f>
        <v>1.8462062839735352E-2</v>
      </c>
      <c r="AJ208" s="43">
        <f>LN('2.ΤΙΜΕΣ ΚΛΕΙΣΙΜΑΤΟΣ'!AJ209/'2.ΤΙΜΕΣ ΚΛΕΙΣΙΜΑΤΟΣ'!AJ208)</f>
        <v>-1.2903404835907841E-2</v>
      </c>
      <c r="AK208" s="43">
        <f>LN('2.ΤΙΜΕΣ ΚΛΕΙΣΙΜΑΤΟΣ'!AK209/'2.ΤΙΜΕΣ ΚΛΕΙΣΙΜΑΤΟΣ'!AK208)</f>
        <v>-4.8899852941916809E-3</v>
      </c>
      <c r="AL208" s="43">
        <f>LN('2.ΤΙΜΕΣ ΚΛΕΙΣΙΜΑΤΟΣ'!AL209/'2.ΤΙΜΕΣ ΚΛΕΙΣΙΜΑΤΟΣ'!AL208)</f>
        <v>0</v>
      </c>
      <c r="AM208" s="43">
        <f>LN('2.ΤΙΜΕΣ ΚΛΕΙΣΙΜΑΤΟΣ'!AM209/'2.ΤΙΜΕΣ ΚΛΕΙΣΙΜΑΤΟΣ'!AM208)</f>
        <v>-2.6773777707164029E-3</v>
      </c>
      <c r="AN208" s="43">
        <f>LN('2.ΤΙΜΕΣ ΚΛΕΙΣΙΜΑΤΟΣ'!AN209/'2.ΤΙΜΕΣ ΚΛΕΙΣΙΜΑΤΟΣ'!AN208)</f>
        <v>-3.2733327243754967E-2</v>
      </c>
      <c r="AO208" s="43">
        <f>LN('2.ΤΙΜΕΣ ΚΛΕΙΣΙΜΑΤΟΣ'!AO209/'2.ΤΙΜΕΣ ΚΛΕΙΣΙΜΑΤΟΣ'!AO208)</f>
        <v>0</v>
      </c>
      <c r="AP208" s="43">
        <f>LN('2.ΤΙΜΕΣ ΚΛΕΙΣΙΜΑΤΟΣ'!AP209/'2.ΤΙΜΕΣ ΚΛΕΙΣΙΜΑΤΟΣ'!AP208)</f>
        <v>2.4067400305648376E-3</v>
      </c>
      <c r="AQ208" s="43">
        <f>LN('2.ΤΙΜΕΣ ΚΛΕΙΣΙΜΑΤΟΣ'!AQ209/'2.ΤΙΜΕΣ ΚΛΕΙΣΙΜΑΤΟΣ'!AQ208)</f>
        <v>1.7998236122616609E-2</v>
      </c>
      <c r="AR208" s="43">
        <f>LN('2.ΤΙΜΕΣ ΚΛΕΙΣΙΜΑΤΟΣ'!AR209/'2.ΤΙΜΕΣ ΚΛΕΙΣΙΜΑΤΟΣ'!AR208)</f>
        <v>0.11944712732769383</v>
      </c>
      <c r="AS208" s="43">
        <f>LN('2.ΤΙΜΕΣ ΚΛΕΙΣΙΜΑΤΟΣ'!AS209/'2.ΤΙΜΕΣ ΚΛΕΙΣΙΜΑΤΟΣ'!AS208)</f>
        <v>1.4144507386164743E-2</v>
      </c>
      <c r="AT208" s="43">
        <f>LN('2.ΤΙΜΕΣ ΚΛΕΙΣΙΜΑΤΟΣ'!AT209/'2.ΤΙΜΕΣ ΚΛΕΙΣΙΜΑΤΟΣ'!AT208)</f>
        <v>1.3037994338129801E-2</v>
      </c>
      <c r="AU208" s="43">
        <f>LN('2.ΤΙΜΕΣ ΚΛΕΙΣΙΜΑΤΟΣ'!AU209/'2.ΤΙΜΕΣ ΚΛΕΙΣΙΜΑΤΟΣ'!AU208)</f>
        <v>-2.3811578094792142E-3</v>
      </c>
    </row>
    <row r="209" spans="1:47">
      <c r="A209" s="41">
        <v>43860</v>
      </c>
      <c r="B209" s="43">
        <f>LN('2.ΤΙΜΕΣ ΚΛΕΙΣΙΜΑΤΟΣ'!B210/'2.ΤΙΜΕΣ ΚΛΕΙΣΙΜΑΤΟΣ'!B209)</f>
        <v>7.5861386419891867E-3</v>
      </c>
      <c r="C209" s="43">
        <f>LN('2.ΤΙΜΕΣ ΚΛΕΙΣΙΜΑΤΟΣ'!C210/'2.ΤΙΜΕΣ ΚΛΕΙΣΙΜΑΤΟΣ'!C209)</f>
        <v>-2.9673612278020007E-3</v>
      </c>
      <c r="D209" s="43">
        <f>LN('2.ΤΙΜΕΣ ΚΛΕΙΣΙΜΑΤΟΣ'!D210/'2.ΤΙΜΕΣ ΚΛΕΙΣΙΜΑΤΟΣ'!D209)</f>
        <v>1.780944370994692E-3</v>
      </c>
      <c r="E209" s="43">
        <f>LN('2.ΤΙΜΕΣ ΚΛΕΙΣΙΜΑΤΟΣ'!E210/'2.ΤΙΜΕΣ ΚΛΕΙΣΙΜΑΤΟΣ'!E209)</f>
        <v>-1.3495481474884621E-2</v>
      </c>
      <c r="F209" s="43">
        <f>LN('2.ΤΙΜΕΣ ΚΛΕΙΣΙΜΑΤΟΣ'!F210/'2.ΤΙΜΕΣ ΚΛΕΙΣΙΜΑΤΟΣ'!F209)</f>
        <v>-2.0594307498743858E-2</v>
      </c>
      <c r="G209" s="43">
        <f>LN('2.ΤΙΜΕΣ ΚΛΕΙΣΙΜΑΤΟΣ'!G210/'2.ΤΙΜΕΣ ΚΛΕΙΣΙΜΑΤΟΣ'!G209)</f>
        <v>-2.3447733081572462E-2</v>
      </c>
      <c r="H209" s="43">
        <f>LN('2.ΤΙΜΕΣ ΚΛΕΙΣΙΜΑΤΟΣ'!H210/'2.ΤΙΜΕΣ ΚΛΕΙΣΙΜΑΤΟΣ'!H209)</f>
        <v>-9.9950033308349932E-4</v>
      </c>
      <c r="I209" s="43">
        <f>LN('2.ΤΙΜΕΣ ΚΛΕΙΣΙΜΑΤΟΣ'!I210/'2.ΤΙΜΕΣ ΚΛΕΙΣΙΜΑΤΟΣ'!I209)</f>
        <v>-1.4138354051210944E-2</v>
      </c>
      <c r="J209" s="43">
        <f>LN('2.ΤΙΜΕΣ ΚΛΕΙΣΙΜΑΤΟΣ'!J210/'2.ΤΙΜΕΣ ΚΛΕΙΣΙΜΑΤΟΣ'!J209)</f>
        <v>-1.9688348112008782E-2</v>
      </c>
      <c r="K209" s="43">
        <f>LN('2.ΤΙΜΕΣ ΚΛΕΙΣΙΜΑΤΟΣ'!K210/'2.ΤΙΜΕΣ ΚΛΕΙΣΙΜΑΤΟΣ'!K209)</f>
        <v>-1.9418085857101627E-2</v>
      </c>
      <c r="L209" s="43">
        <f>LN('2.ΤΙΜΕΣ ΚΛΕΙΣΙΜΑΤΟΣ'!L210/'2.ΤΙΜΕΣ ΚΛΕΙΣΙΜΑΤΟΣ'!L209)</f>
        <v>-2.5317807984290012E-2</v>
      </c>
      <c r="M209" s="43">
        <f>LN('2.ΤΙΜΕΣ ΚΛΕΙΣΙΜΑΤΟΣ'!M210/'2.ΤΙΜΕΣ ΚΛΕΙΣΙΜΑΤΟΣ'!M209)</f>
        <v>1.1621895205985527E-2</v>
      </c>
      <c r="N209" s="43">
        <f>LN('2.ΤΙΜΕΣ ΚΛΕΙΣΙΜΑΤΟΣ'!N210/'2.ΤΙΜΕΣ ΚΛΕΙΣΙΜΑΤΟΣ'!N209)</f>
        <v>-1.8308002486862353E-2</v>
      </c>
      <c r="O209" s="43">
        <f>LN('2.ΤΙΜΕΣ ΚΛΕΙΣΙΜΑΤΟΣ'!O210/'2.ΤΙΜΕΣ ΚΛΕΙΣΙΜΑΤΟΣ'!O209)</f>
        <v>-2.1164811192043158E-2</v>
      </c>
      <c r="P209" s="43">
        <f>LN('2.ΤΙΜΕΣ ΚΛΕΙΣΙΜΑΤΟΣ'!P210/'2.ΤΙΜΕΣ ΚΛΕΙΣΙΜΑΤΟΣ'!P209)</f>
        <v>-2.1302580703868264E-2</v>
      </c>
      <c r="Q209" s="43">
        <f>LN('2.ΤΙΜΕΣ ΚΛΕΙΣΙΜΑΤΟΣ'!Q210/'2.ΤΙΜΕΣ ΚΛΕΙΣΙΜΑΤΟΣ'!Q209)</f>
        <v>-3.7290285598665976E-3</v>
      </c>
      <c r="R209" s="43">
        <f>LN('2.ΤΙΜΕΣ ΚΛΕΙΣΙΜΑΤΟΣ'!R210/'2.ΤΙΜΕΣ ΚΛΕΙΣΙΜΑΤΟΣ'!R209)</f>
        <v>-2.1152375005226681E-2</v>
      </c>
      <c r="S209" s="43">
        <f>LN('2.ΤΙΜΕΣ ΚΛΕΙΣΙΜΑΤΟΣ'!S210/'2.ΤΙΜΕΣ ΚΛΕΙΣΙΜΑΤΟΣ'!S209)</f>
        <v>-1.0016778243471232E-2</v>
      </c>
      <c r="T209" s="43">
        <f>LN('2.ΤΙΜΕΣ ΚΛΕΙΣΙΜΑΤΟΣ'!T210/'2.ΤΙΜΕΣ ΚΛΕΙΣΙΜΑΤΟΣ'!T209)</f>
        <v>-2.0834086902842025E-2</v>
      </c>
      <c r="U209" s="43">
        <f>LN('2.ΤΙΜΕΣ ΚΛΕΙΣΙΜΑΤΟΣ'!U210/'2.ΤΙΜΕΣ ΚΛΕΙΣΙΜΑΤΟΣ'!U209)</f>
        <v>-2.4949319047948615E-2</v>
      </c>
      <c r="V209" s="43">
        <f>LN('2.ΤΙΜΕΣ ΚΛΕΙΣΙΜΑΤΟΣ'!V210/'2.ΤΙΜΕΣ ΚΛΕΙΣΙΜΑΤΟΣ'!V209)</f>
        <v>-3.1182927436687938E-2</v>
      </c>
      <c r="W209" s="43">
        <f>LN('2.ΤΙΜΕΣ ΚΛΕΙΣΙΜΑΤΟΣ'!W210/'2.ΤΙΜΕΣ ΚΛΕΙΣΙΜΑΤΟΣ'!W209)</f>
        <v>-2.2858138076050097E-2</v>
      </c>
      <c r="X209" s="43">
        <f>LN('2.ΤΙΜΕΣ ΚΛΕΙΣΙΜΑΤΟΣ'!X210/'2.ΤΙΜΕΣ ΚΛΕΙΣΙΜΑΤΟΣ'!X209)</f>
        <v>-1.7467693040390832E-2</v>
      </c>
      <c r="Y209" s="43">
        <f>LN('2.ΤΙΜΕΣ ΚΛΕΙΣΙΜΑΤΟΣ'!Y210/'2.ΤΙΜΕΣ ΚΛΕΙΣΙΜΑΤΟΣ'!Y209)</f>
        <v>-2.0704673361691166E-2</v>
      </c>
      <c r="Z209" s="43">
        <f>LN('2.ΤΙΜΕΣ ΚΛΕΙΣΙΜΑΤΟΣ'!Z210/'2.ΤΙΜΕΣ ΚΛΕΙΣΙΜΑΤΟΣ'!Z209)</f>
        <v>-2.5879447987820721E-2</v>
      </c>
      <c r="AA209" s="43">
        <f>LN('2.ΤΙΜΕΣ ΚΛΕΙΣΙΜΑΤΟΣ'!AA210/'2.ΤΙΜΕΣ ΚΛΕΙΣΙΜΑΤΟΣ'!AA209)</f>
        <v>-3.7179003241754133E-2</v>
      </c>
      <c r="AB209" s="43">
        <f>LN('2.ΤΙΜΕΣ ΚΛΕΙΣΙΜΑΤΟΣ'!AB210/'2.ΤΙΜΕΣ ΚΛΕΙΣΙΜΑΤΟΣ'!AB209)</f>
        <v>-1.0676257991341868E-2</v>
      </c>
      <c r="AC209" s="43">
        <f>LN('2.ΤΙΜΕΣ ΚΛΕΙΣΙΜΑΤΟΣ'!AC210/'2.ΤΙΜΕΣ ΚΛΕΙΣΙΜΑΤΟΣ'!AC209)</f>
        <v>-1.3783599701212709E-3</v>
      </c>
      <c r="AD209" s="43">
        <f>LN('2.ΤΙΜΕΣ ΚΛΕΙΣΙΜΑΤΟΣ'!AD210/'2.ΤΙΜΕΣ ΚΛΕΙΣΙΜΑΤΟΣ'!AD209)</f>
        <v>-5.3908486348764233E-3</v>
      </c>
      <c r="AE209" s="43">
        <f>LN('2.ΤΙΜΕΣ ΚΛΕΙΣΙΜΑΤΟΣ'!AE210/'2.ΤΙΜΕΣ ΚΛΕΙΣΙΜΑΤΟΣ'!AE209)</f>
        <v>-3.6429912785009805E-3</v>
      </c>
      <c r="AF209" s="43">
        <f>LN('2.ΤΙΜΕΣ ΚΛΕΙΣΙΜΑΤΟΣ'!AF210/'2.ΤΙΜΕΣ ΚΛΕΙΣΙΜΑΤΟΣ'!AF209)</f>
        <v>-3.2897703507059096E-2</v>
      </c>
      <c r="AG209" s="43">
        <f>LN('2.ΤΙΜΕΣ ΚΛΕΙΣΙΜΑΤΟΣ'!AG210/'2.ΤΙΜΕΣ ΚΛΕΙΣΙΜΑΤΟΣ'!AG209)</f>
        <v>-1.859283307661597E-2</v>
      </c>
      <c r="AH209" s="43">
        <f>LN('2.ΤΙΜΕΣ ΚΛΕΙΣΙΜΑΤΟΣ'!AH210/'2.ΤΙΜΕΣ ΚΛΕΙΣΙΜΑΤΟΣ'!AH209)</f>
        <v>-2.0906684819313712E-2</v>
      </c>
      <c r="AI209" s="43">
        <f>LN('2.ΤΙΜΕΣ ΚΛΕΙΣΙΜΑΤΟΣ'!AI210/'2.ΤΙΜΕΣ ΚΛΕΙΣΙΜΑΤΟΣ'!AI209)</f>
        <v>-3.096222560396681E-2</v>
      </c>
      <c r="AJ209" s="43">
        <f>LN('2.ΤΙΜΕΣ ΚΛΕΙΣΙΜΑΤΟΣ'!AJ210/'2.ΤΙΜΕΣ ΚΛΕΙΣΙΜΑΤΟΣ'!AJ209)</f>
        <v>4.3196611445163796E-3</v>
      </c>
      <c r="AK209" s="43">
        <f>LN('2.ΤΙΜΕΣ ΚΛΕΙΣΙΜΑΤΟΣ'!AK210/'2.ΤΙΜΕΣ ΚΛΕΙΣΙΜΑΤΟΣ'!AK209)</f>
        <v>-4.9140148024291522E-3</v>
      </c>
      <c r="AL209" s="43">
        <f>LN('2.ΤΙΜΕΣ ΚΛΕΙΣΙΜΑΤΟΣ'!AL210/'2.ΤΙΜΕΣ ΚΛΕΙΣΙΜΑΤΟΣ'!AL209)</f>
        <v>-5.4067221270275821E-2</v>
      </c>
      <c r="AM209" s="43">
        <f>LN('2.ΤΙΜΕΣ ΚΛΕΙΣΙΜΑΤΟΣ'!AM210/'2.ΤΙΜΕΣ ΚΛΕΙΣΙΜΑΤΟΣ'!AM209)</f>
        <v>-8.0754140055453068E-3</v>
      </c>
      <c r="AN209" s="43">
        <f>LN('2.ΤΙΜΕΣ ΚΛΕΙΣΙΜΑΤΟΣ'!AN210/'2.ΤΙΜΕΣ ΚΛΕΙΣΙΜΑΤΟΣ'!AN209)</f>
        <v>1.7497817237877723E-3</v>
      </c>
      <c r="AO209" s="43">
        <f>LN('2.ΤΙΜΕΣ ΚΛΕΙΣΙΜΑΤΟΣ'!AO210/'2.ΤΙΜΕΣ ΚΛΕΙΣΙΜΑΤΟΣ'!AO209)</f>
        <v>-8.2759093038598224E-3</v>
      </c>
      <c r="AP209" s="43">
        <f>LN('2.ΤΙΜΕΣ ΚΛΕΙΣΙΜΑΤΟΣ'!AP210/'2.ΤΙΜΕΣ ΚΛΕΙΣΙΜΑΤΟΣ'!AP209)</f>
        <v>-1.9418085857101627E-2</v>
      </c>
      <c r="AQ209" s="43">
        <f>LN('2.ΤΙΜΕΣ ΚΛΕΙΣΙΜΑΤΟΣ'!AQ210/'2.ΤΙΜΕΣ ΚΛΕΙΣΙΜΑΤΟΣ'!AQ209)</f>
        <v>-3.5170953496361013E-2</v>
      </c>
      <c r="AR209" s="43">
        <f>LN('2.ΤΙΜΕΣ ΚΛΕΙΣΙΜΑΤΟΣ'!AR210/'2.ΤΙΜΕΣ ΚΛΕΙΣΙΜΑΤΟΣ'!AR209)</f>
        <v>-3.3819648239786317E-2</v>
      </c>
      <c r="AS209" s="43">
        <f>LN('2.ΤΙΜΕΣ ΚΛΕΙΣΙΜΑΤΟΣ'!AS210/'2.ΤΙΜΕΣ ΚΛΕΙΣΙΜΑΤΟΣ'!AS209)</f>
        <v>-1.6997576368571136E-2</v>
      </c>
      <c r="AT209" s="43">
        <f>LN('2.ΤΙΜΕΣ ΚΛΕΙΣΙΜΑΤΟΣ'!AT210/'2.ΤΙΜΕΣ ΚΛΕΙΣΙΜΑΤΟΣ'!AT209)</f>
        <v>-2.3592182016820069E-2</v>
      </c>
      <c r="AU209" s="43">
        <f>LN('2.ΤΙΜΕΣ ΚΛΕΙΣΙΜΑΤΟΣ'!AU210/'2.ΤΙΜΕΣ ΚΛΕΙΣΙΜΑΤΟΣ'!AU209)</f>
        <v>-1.0796792457524858E-2</v>
      </c>
    </row>
    <row r="210" spans="1:47">
      <c r="A210" s="41">
        <v>43861</v>
      </c>
      <c r="B210" s="43">
        <f>LN('2.ΤΙΜΕΣ ΚΛΕΙΣΙΜΑΤΟΣ'!B211/'2.ΤΙΜΕΣ ΚΛΕΙΣΙΜΑΤΟΣ'!B210)</f>
        <v>2.1138464763809706E-3</v>
      </c>
      <c r="C210" s="43">
        <f>LN('2.ΤΙΜΕΣ ΚΛΕΙΣΙΜΑΤΟΣ'!C211/'2.ΤΙΜΕΣ ΚΛΕΙΣΙΜΑΤΟΣ'!C210)</f>
        <v>2.9673612278020081E-3</v>
      </c>
      <c r="D210" s="43">
        <f>LN('2.ΤΙΜΕΣ ΚΛΕΙΣΙΜΑΤΟΣ'!D211/'2.ΤΙΜΕΣ ΚΛΕΙΣΙΜΑΤΟΣ'!D210)</f>
        <v>0</v>
      </c>
      <c r="E210" s="43">
        <f>LN('2.ΤΙΜΕΣ ΚΛΕΙΣΙΜΑΤΟΣ'!E211/'2.ΤΙΜΕΣ ΚΛΕΙΣΙΜΑΤΟΣ'!E210)</f>
        <v>-1.6317653879055589E-3</v>
      </c>
      <c r="F210" s="43">
        <f>LN('2.ΤΙΜΕΣ ΚΛΕΙΣΙΜΑΤΟΣ'!F211/'2.ΤΙΜΕΣ ΚΛΕΙΣΙΜΑΤΟΣ'!F210)</f>
        <v>-3.2341127092349035E-2</v>
      </c>
      <c r="G210" s="43">
        <f>LN('2.ΤΙΜΕΣ ΚΛΕΙΣΙΜΑΤΟΣ'!G211/'2.ΤΙΜΕΣ ΚΛΕΙΣΙΜΑΤΟΣ'!G210)</f>
        <v>-1.0733555643108664E-2</v>
      </c>
      <c r="H210" s="43">
        <f>LN('2.ΤΙΜΕΣ ΚΛΕΙΣΙΜΑΤΟΣ'!H211/'2.ΤΙΜΕΣ ΚΛΕΙΣΙΜΑΤΟΣ'!H210)</f>
        <v>-4.0821994520255166E-2</v>
      </c>
      <c r="I210" s="43">
        <f>LN('2.ΤΙΜΕΣ ΚΛΕΙΣΙΜΑΤΟΣ'!I211/'2.ΤΙΜΕΣ ΚΛΕΙΣΙΜΑΤΟΣ'!I210)</f>
        <v>-6.5934304798318452E-3</v>
      </c>
      <c r="J210" s="43">
        <f>LN('2.ΤΙΜΕΣ ΚΛΕΙΣΙΜΑΤΟΣ'!J211/'2.ΤΙΜΕΣ ΚΛΕΙΣΙΜΑΤΟΣ'!J210)</f>
        <v>-1.1377471462881724E-2</v>
      </c>
      <c r="K210" s="43">
        <f>LN('2.ΤΙΜΕΣ ΚΛΕΙΣΙΜΑΤΟΣ'!K211/'2.ΤΙΜΕΣ ΚΛΕΙΣΙΜΑΤΟΣ'!K210)</f>
        <v>-8.6154379056154005E-3</v>
      </c>
      <c r="L210" s="43">
        <f>LN('2.ΤΙΜΕΣ ΚΛΕΙΣΙΜΑΤΟΣ'!L211/'2.ΤΙΜΕΣ ΚΛΕΙΣΙΜΑΤΟΣ'!L210)</f>
        <v>-2.9203030894127197E-2</v>
      </c>
      <c r="M210" s="43">
        <f>LN('2.ΤΙΜΕΣ ΚΛΕΙΣΙΜΑΤΟΣ'!M211/'2.ΤΙΜΕΣ ΚΛΕΙΣΙΜΑΤΟΣ'!M210)</f>
        <v>-1.694955831377332E-2</v>
      </c>
      <c r="N210" s="43">
        <f>LN('2.ΤΙΜΕΣ ΚΛΕΙΣΙΜΑΤΟΣ'!N211/'2.ΤΙΜΕΣ ΚΛΕΙΣΙΜΑΤΟΣ'!N210)</f>
        <v>2.3852876791824939E-3</v>
      </c>
      <c r="O210" s="43">
        <f>LN('2.ΤΙΜΕΣ ΚΛΕΙΣΙΜΑΤΟΣ'!O211/'2.ΤΙΜΕΣ ΚΛΕΙΣΙΜΑΤΟΣ'!O210)</f>
        <v>-5.3619431413853991E-3</v>
      </c>
      <c r="P210" s="43">
        <f>LN('2.ΤΙΜΕΣ ΚΛΕΙΣΙΜΑΤΟΣ'!P211/'2.ΤΙΜΕΣ ΚΛΕΙΣΙΜΑΤΟΣ'!P210)</f>
        <v>-1.9324272826402814E-2</v>
      </c>
      <c r="Q210" s="43">
        <f>LN('2.ΤΙΜΕΣ ΚΛΕΙΣΙΜΑΤΟΣ'!Q211/'2.ΤΙΜΕΣ ΚΛΕΙΣΙΜΑΤΟΣ'!Q210)</f>
        <v>3.1084886702674088E-3</v>
      </c>
      <c r="R210" s="43">
        <f>LN('2.ΤΙΜΕΣ ΚΛΕΙΣΙΜΑΤΟΣ'!R211/'2.ΤΙΜΕΣ ΚΛΕΙΣΙΜΑΤΟΣ'!R210)</f>
        <v>-4.7619137602435907E-3</v>
      </c>
      <c r="S210" s="43">
        <f>LN('2.ΤΙΜΕΣ ΚΛΕΙΣΙΜΑΤΟΣ'!S211/'2.ΤΙΜΕΣ ΚΛΕΙΣΙΜΑΤΟΣ'!S210)</f>
        <v>-4.4843124473285759E-3</v>
      </c>
      <c r="T210" s="43">
        <f>LN('2.ΤΙΜΕΣ ΚΛΕΙΣΙΜΑΤΟΣ'!T211/'2.ΤΙΜΕΣ ΚΛΕΙΣΙΜΑΤΟΣ'!T210)</f>
        <v>-4.8527040894660319E-2</v>
      </c>
      <c r="U210" s="43">
        <f>LN('2.ΤΙΜΕΣ ΚΛΕΙΣΙΜΑΤΟΣ'!U211/'2.ΤΙΜΕΣ ΚΛΕΙΣΙΜΑΤΟΣ'!U210)</f>
        <v>-2.5587749948407169E-2</v>
      </c>
      <c r="V210" s="43">
        <f>LN('2.ΤΙΜΕΣ ΚΛΕΙΣΙΜΑΤΟΣ'!V211/'2.ΤΙΜΕΣ ΚΛΕΙΣΙΜΑΤΟΣ'!V210)</f>
        <v>-2.0572154075208432E-2</v>
      </c>
      <c r="W210" s="43">
        <f>LN('2.ΤΙΜΕΣ ΚΛΕΙΣΙΜΑΤΟΣ'!W211/'2.ΤΙΜΕΣ ΚΛΕΙΣΙΜΑΤΟΣ'!W210)</f>
        <v>-3.1711406449796205E-2</v>
      </c>
      <c r="X210" s="43">
        <f>LN('2.ΤΙΜΕΣ ΚΛΕΙΣΙΜΑΤΟΣ'!X211/'2.ΤΙΜΕΣ ΚΛΕΙΣΙΜΑΤΟΣ'!X210)</f>
        <v>-2.6787315963649843E-2</v>
      </c>
      <c r="Y210" s="43">
        <f>LN('2.ΤΙΜΕΣ ΚΛΕΙΣΙΜΑΤΟΣ'!Y211/'2.ΤΙΜΕΣ ΚΛΕΙΣΙΜΑΤΟΣ'!Y210)</f>
        <v>-2.1142436573809351E-2</v>
      </c>
      <c r="Z210" s="43">
        <f>LN('2.ΤΙΜΕΣ ΚΛΕΙΣΙΜΑΤΟΣ'!Z211/'2.ΤΙΜΕΣ ΚΛΕΙΣΙΜΑΤΟΣ'!Z210)</f>
        <v>-7.5188324140273398E-3</v>
      </c>
      <c r="AA210" s="43">
        <f>LN('2.ΤΙΜΕΣ ΚΛΕΙΣΙΜΑΤΟΣ'!AA211/'2.ΤΙΜΕΣ ΚΛΕΙΣΙΜΑΤΟΣ'!AA210)</f>
        <v>-2.8170876966696335E-2</v>
      </c>
      <c r="AB210" s="43">
        <f>LN('2.ΤΙΜΕΣ ΚΛΕΙΣΙΜΑΤΟΣ'!AB211/'2.ΤΙΜΕΣ ΚΛΕΙΣΙΜΑΤΟΣ'!AB210)</f>
        <v>1.9486887673496694E-2</v>
      </c>
      <c r="AC210" s="43">
        <f>LN('2.ΤΙΜΕΣ ΚΛΕΙΣΙΜΑΤΟΣ'!AC211/'2.ΤΙΜΕΣ ΚΛΕΙΣΙΜΑΤΟΣ'!AC210)</f>
        <v>-6.9204428445737952E-3</v>
      </c>
      <c r="AD210" s="43">
        <f>LN('2.ΤΙΜΕΣ ΚΛΕΙΣΙΜΑΤΟΣ'!AD211/'2.ΤΙΜΕΣ ΚΛΕΙΣΙΜΑΤΟΣ'!AD210)</f>
        <v>-4.98718300401731E-2</v>
      </c>
      <c r="AE210" s="43">
        <f>LN('2.ΤΙΜΕΣ ΚΛΕΙΣΙΜΑΤΟΣ'!AE211/'2.ΤΙΜΕΣ ΚΛΕΙΣΙΜΑΤΟΣ'!AE210)</f>
        <v>-1.1009285508369368E-2</v>
      </c>
      <c r="AF210" s="43">
        <f>LN('2.ΤΙΜΕΣ ΚΛΕΙΣΙΜΑΤΟΣ'!AF211/'2.ΤΙΜΕΣ ΚΛΕΙΣΙΜΑΤΟΣ'!AF210)</f>
        <v>-4.7954393122035983E-2</v>
      </c>
      <c r="AG210" s="43">
        <f>LN('2.ΤΙΜΕΣ ΚΛΕΙΣΙΜΑΤΟΣ'!AG211/'2.ΤΙΜΕΣ ΚΛΕΙΣΙΜΑΤΟΣ'!AG210)</f>
        <v>-2.1681066061324052E-2</v>
      </c>
      <c r="AH210" s="43">
        <f>LN('2.ΤΙΜΕΣ ΚΛΕΙΣΙΜΑΤΟΣ'!AH211/'2.ΤΙΜΕΣ ΚΛΕΙΣΙΜΑΤΟΣ'!AH210)</f>
        <v>-2.3153304974716637E-2</v>
      </c>
      <c r="AI210" s="43">
        <f>LN('2.ΤΙΜΕΣ ΚΛΕΙΣΙΜΑΤΟΣ'!AI211/'2.ΤΙΜΕΣ ΚΛΕΙΣΙΜΑΤΟΣ'!AI210)</f>
        <v>-1.2658396871923577E-2</v>
      </c>
      <c r="AJ210" s="43">
        <f>LN('2.ΤΙΜΕΣ ΚΛΕΙΣΙΜΑΤΟΣ'!AJ211/'2.ΤΙΜΕΣ ΚΛΕΙΣΙΜΑΤΟΣ'!AJ210)</f>
        <v>-1.3015368112070248E-2</v>
      </c>
      <c r="AK210" s="43">
        <f>LN('2.ΤΙΜΕΣ ΚΛΕΙΣΙΜΑΤΟΣ'!AK211/'2.ΤΙΜΕΣ ΚΛΕΙΣΙΜΑΤΟΣ'!AK210)</f>
        <v>-1.7391742711868996E-2</v>
      </c>
      <c r="AL210" s="43">
        <f>LN('2.ΤΙΜΕΣ ΚΛΕΙΣΙΜΑΤΟΣ'!AL211/'2.ΤΙΜΕΣ ΚΛΕΙΣΙΜΑΤΟΣ'!AL210)</f>
        <v>-4.7402238894584024E-2</v>
      </c>
      <c r="AM210" s="43">
        <f>LN('2.ΤΙΜΕΣ ΚΛΕΙΣΙΜΑΤΟΣ'!AM211/'2.ΤΙΜΕΣ ΚΛΕΙΣΙΜΑΤΟΣ'!AM210)</f>
        <v>8.0754140055453311E-3</v>
      </c>
      <c r="AN210" s="43">
        <f>LN('2.ΤΙΜΕΣ ΚΛΕΙΣΙΜΑΤΟΣ'!AN211/'2.ΤΙΜΕΣ ΚΛΕΙΣΙΜΑΤΟΣ'!AN210)</f>
        <v>-5.2029671445862263E-2</v>
      </c>
      <c r="AO210" s="43">
        <f>LN('2.ΤΙΜΕΣ ΚΛΕΙΣΙΜΑΤΟΣ'!AO211/'2.ΤΙΜΕΣ ΚΛΕΙΣΙΜΑΤΟΣ'!AO210)</f>
        <v>-8.3449719321805338E-3</v>
      </c>
      <c r="AP210" s="43">
        <f>LN('2.ΤΙΜΕΣ ΚΛΕΙΣΙΜΑΤΟΣ'!AP211/'2.ΤΙΜΕΣ ΚΛΕΙΣΙΜΑΤΟΣ'!AP210)</f>
        <v>-3.2381409503039832E-2</v>
      </c>
      <c r="AQ210" s="43">
        <f>LN('2.ΤΙΜΕΣ ΚΛΕΙΣΙΜΑΤΟΣ'!AQ211/'2.ΤΙΜΕΣ ΚΛΕΙΣΙΜΑΤΟΣ'!AQ210)</f>
        <v>-3.5256295477733603E-2</v>
      </c>
      <c r="AR210" s="43">
        <f>LN('2.ΤΙΜΕΣ ΚΛΕΙΣΙΜΑΤΟΣ'!AR211/'2.ΤΙΜΕΣ ΚΛΕΙΣΙΜΑΤΟΣ'!AR210)</f>
        <v>-5.8170632854868218E-2</v>
      </c>
      <c r="AS210" s="43">
        <f>LN('2.ΤΙΜΕΣ ΚΛΕΙΣΙΜΑΤΟΣ'!AS211/'2.ΤΙΜΕΣ ΚΛΕΙΣΙΜΑΤΟΣ'!AS210)</f>
        <v>-7.1035773116751771E-2</v>
      </c>
      <c r="AT210" s="43">
        <f>LN('2.ΤΙΜΕΣ ΚΛΕΙΣΙΜΑΤΟΣ'!AT211/'2.ΤΙΜΕΣ ΚΛΕΙΣΙΜΑΤΟΣ'!AT210)</f>
        <v>-2.6883339393440529E-2</v>
      </c>
      <c r="AU210" s="43">
        <f>LN('2.ΤΙΜΕΣ ΚΛΕΙΣΙΜΑΤΟΣ'!AU211/'2.ΤΙΜΕΣ ΚΛΕΙΣΙΜΑΤΟΣ'!AU210)</f>
        <v>-1.1254901542838765E-2</v>
      </c>
    </row>
    <row r="211" spans="1:47">
      <c r="A211" s="41">
        <v>43864</v>
      </c>
      <c r="B211" s="43">
        <f>LN('2.ΤΙΜΕΣ ΚΛΕΙΣΙΜΑΤΟΣ'!B212/'2.ΤΙΜΕΣ ΚΛΕΙΣΙΜΑΤΟΣ'!B211)</f>
        <v>-5.7480115906005441E-3</v>
      </c>
      <c r="C211" s="43">
        <f>LN('2.ΤΙΜΕΣ ΚΛΕΙΣΙΜΑΤΟΣ'!C212/'2.ΤΙΜΕΣ ΚΛΕΙΣΙΜΑΤΟΣ'!C211)</f>
        <v>5.9084366861662683E-3</v>
      </c>
      <c r="D211" s="43">
        <f>LN('2.ΤΙΜΕΣ ΚΛΕΙΣΙΜΑΤΟΣ'!D212/'2.ΤΙΜΕΣ ΚΛΕΙΣΙΜΑΤΟΣ'!D211)</f>
        <v>8.8928418488403663E-4</v>
      </c>
      <c r="E211" s="43">
        <f>LN('2.ΤΙΜΕΣ ΚΛΕΙΣΙΜΑΤΟΣ'!E212/'2.ΤΙΜΕΣ ΚΛΕΙΣΙΜΑΤΟΣ'!E211)</f>
        <v>1.6317653879054127E-3</v>
      </c>
      <c r="F211" s="43">
        <f>LN('2.ΤΙΜΕΣ ΚΛΕΙΣΙΜΑΤΟΣ'!F212/'2.ΤΙΜΕΣ ΚΛΕΙΣΙΜΑΤΟΣ'!F211)</f>
        <v>-6.3411753384473545E-3</v>
      </c>
      <c r="G211" s="43">
        <f>LN('2.ΤΙΜΕΣ ΚΛΕΙΣΙΜΑΤΟΣ'!G212/'2.ΤΙΜΕΣ ΚΛΕΙΣΙΜΑΤΟΣ'!G211)</f>
        <v>-3.1671343837651293E-2</v>
      </c>
      <c r="H211" s="43">
        <f>LN('2.ΤΙΜΕΣ ΚΛΕΙΣΙΜΑΤΟΣ'!H212/'2.ΤΙΜΕΣ ΚΛΕΙΣΙΜΑΤΟΣ'!H211)</f>
        <v>-2.9064132943911355E-2</v>
      </c>
      <c r="I211" s="43">
        <f>LN('2.ΤΙΜΕΣ ΚΛΕΙΣΙΜΑΤΟΣ'!I212/'2.ΤΙΜΕΣ ΚΛΕΙΣΙΜΑΤΟΣ'!I211)</f>
        <v>-1.2760228614370196E-2</v>
      </c>
      <c r="J211" s="43">
        <f>LN('2.ΤΙΜΕΣ ΚΛΕΙΣΙΜΑΤΟΣ'!J212/'2.ΤΙΜΕΣ ΚΛΕΙΣΙΜΑΤΟΣ'!J211)</f>
        <v>1.1720230677891255E-2</v>
      </c>
      <c r="K211" s="43">
        <f>LN('2.ΤΙΜΕΣ ΚΛΕΙΣΙΜΑΤΟΣ'!K212/'2.ΤΙΜΕΣ ΚΛΕΙΣΙΜΑΤΟΣ'!K211)</f>
        <v>-1.9975695423643695E-2</v>
      </c>
      <c r="L211" s="43">
        <f>LN('2.ΤΙΜΕΣ ΚΛΕΙΣΙΜΑΤΟΣ'!L212/'2.ΤΙΜΕΣ ΚΛΕΙΣΙΜΑΤΟΣ'!L211)</f>
        <v>-8.1147321130679781E-3</v>
      </c>
      <c r="M211" s="43">
        <f>LN('2.ΤΙΜΕΣ ΚΛΕΙΣΙΜΑΤΟΣ'!M212/'2.ΤΙΜΕΣ ΚΛΕΙΣΙΜΑΤΟΣ'!M211)</f>
        <v>-2.7072579217633744E-2</v>
      </c>
      <c r="N211" s="43">
        <f>LN('2.ΤΙΜΕΣ ΚΛΕΙΣΙΜΑΤΟΣ'!N212/'2.ΤΙΜΕΣ ΚΛΕΙΣΙΜΑΤΟΣ'!N211)</f>
        <v>0</v>
      </c>
      <c r="O211" s="43">
        <f>LN('2.ΤΙΜΕΣ ΚΛΕΙΣΙΜΑΤΟΣ'!O212/'2.ΤΙΜΕΣ ΚΛΕΙΣΙΜΑΤΟΣ'!O211)</f>
        <v>0</v>
      </c>
      <c r="P211" s="43">
        <f>LN('2.ΤΙΜΕΣ ΚΛΕΙΣΙΜΑΤΟΣ'!P212/'2.ΤΙΜΕΣ ΚΛΕΙΣΙΜΑΤΟΣ'!P211)</f>
        <v>-2.3443393189939484E-2</v>
      </c>
      <c r="Q211" s="43">
        <f>LN('2.ΤΙΜΕΣ ΚΛΕΙΣΙΜΑΤΟΣ'!Q212/'2.ΤΙΜΕΣ ΚΛΕΙΣΙΜΑΤΟΣ'!Q211)</f>
        <v>-9.3546051672202379E-3</v>
      </c>
      <c r="R211" s="43">
        <f>LN('2.ΤΙΜΕΣ ΚΛΕΙΣΙΜΑΤΟΣ'!R212/'2.ΤΙΜΕΣ ΚΛΕΙΣΙΜΑΤΟΣ'!R211)</f>
        <v>-1.927770542590319E-2</v>
      </c>
      <c r="S211" s="43">
        <f>LN('2.ΤΙΜΕΣ ΚΛΕΙΣΙΜΑΤΟΣ'!S212/'2.ΤΙΜΕΣ ΚΛΕΙΣΙΜΑΤΟΣ'!S211)</f>
        <v>0</v>
      </c>
      <c r="T211" s="43">
        <f>LN('2.ΤΙΜΕΣ ΚΛΕΙΣΙΜΑΤΟΣ'!T212/'2.ΤΙΜΕΣ ΚΛΕΙΣΙΜΑΤΟΣ'!T211)</f>
        <v>-1.9526422350355378E-2</v>
      </c>
      <c r="U211" s="43">
        <f>LN('2.ΤΙΜΕΣ ΚΛΕΙΣΙΜΑΤΟΣ'!U212/'2.ΤΙΜΕΣ ΚΛΕΙΣΙΜΑΤΟΣ'!U211)</f>
        <v>-2.1621630044951256E-3</v>
      </c>
      <c r="V211" s="43">
        <f>LN('2.ΤΙΜΕΣ ΚΛΕΙΣΙΜΑΤΟΣ'!V212/'2.ΤΙΜΕΣ ΚΛΕΙΣΙΜΑΤΟΣ'!V211)</f>
        <v>1.376168507268153E-2</v>
      </c>
      <c r="W211" s="43">
        <f>LN('2.ΤΙΜΕΣ ΚΛΕΙΣΙΜΑΤΟΣ'!W212/'2.ΤΙΜΕΣ ΚΛΕΙΣΙΜΑΤΟΣ'!W211)</f>
        <v>-1.5634714147402102E-2</v>
      </c>
      <c r="X211" s="43">
        <f>LN('2.ΤΙΜΕΣ ΚΛΕΙΣΙΜΑΤΟΣ'!X212/'2.ΤΙΜΕΣ ΚΛΕΙΣΙΜΑΤΟΣ'!X211)</f>
        <v>-4.5351551653911512E-3</v>
      </c>
      <c r="Y211" s="43">
        <f>LN('2.ΤΙΜΕΣ ΚΛΕΙΣΙΜΑΤΟΣ'!Y212/'2.ΤΙΜΕΣ ΚΛΕΙΣΙΜΑΤΟΣ'!Y211)</f>
        <v>0</v>
      </c>
      <c r="Z211" s="43">
        <f>LN('2.ΤΙΜΕΣ ΚΛΕΙΣΙΜΑΤΟΣ'!Z212/'2.ΤΙΜΕΣ ΚΛΕΙΣΙΜΑΤΟΣ'!Z211)</f>
        <v>-7.5757938084576558E-3</v>
      </c>
      <c r="AA211" s="43">
        <f>LN('2.ΤΙΜΕΣ ΚΛΕΙΣΙΜΑΤΟΣ'!AA212/'2.ΤΙΜΕΣ ΚΛΕΙΣΙΜΑΤΟΣ'!AA211)</f>
        <v>-2.6007817000574785E-3</v>
      </c>
      <c r="AB211" s="43">
        <f>LN('2.ΤΙΜΕΣ ΚΛΕΙΣΙΜΑΤΟΣ'!AB212/'2.ΤΙΜΕΣ ΚΛΕΙΣΙΜΑΤΟΣ'!AB211)</f>
        <v>-2.3071120901311772E-2</v>
      </c>
      <c r="AC211" s="43">
        <f>LN('2.ΤΙΜΕΣ ΚΛΕΙΣΙΜΑΤΟΣ'!AC212/'2.ΤΙΜΕΣ ΚΛΕΙΣΙΜΑΤΟΣ'!AC211)</f>
        <v>0</v>
      </c>
      <c r="AD211" s="43">
        <f>LN('2.ΤΙΜΕΣ ΚΛΕΙΣΙΜΑΤΟΣ'!AD212/'2.ΤΙΜΕΣ ΚΛΕΙΣΙΜΑΤΟΣ'!AD211)</f>
        <v>-1.4306395651237858E-2</v>
      </c>
      <c r="AE211" s="43">
        <f>LN('2.ΤΙΜΕΣ ΚΛΕΙΣΙΜΑΤΟΣ'!AE212/'2.ΤΙΜΕΣ ΚΛΕΙΣΙΜΑΤΟΣ'!AE211)</f>
        <v>3.6832454162965891E-3</v>
      </c>
      <c r="AF211" s="43">
        <f>LN('2.ΤΙΜΕΣ ΚΛΕΙΣΙΜΑΤΟΣ'!AF212/'2.ΤΙΜΕΣ ΚΛΕΙΣΙΜΑΤΟΣ'!AF211)</f>
        <v>1.6241656328631799E-2</v>
      </c>
      <c r="AG211" s="43">
        <f>LN('2.ΤΙΜΕΣ ΚΛΕΙΣΙΜΑΤΟΣ'!AG212/'2.ΤΙΜΕΣ ΚΛΕΙΣΙΜΑΤΟΣ'!AG211)</f>
        <v>-2.7434859457508326E-3</v>
      </c>
      <c r="AH211" s="43">
        <f>LN('2.ΤΙΜΕΣ ΚΛΕΙΣΙΜΑΤΟΣ'!AH212/'2.ΤΙΜΕΣ ΚΛΕΙΣΙΜΑΤΟΣ'!AH211)</f>
        <v>-2.3702112306788283E-2</v>
      </c>
      <c r="AI211" s="43">
        <f>LN('2.ΤΙΜΕΣ ΚΛΕΙΣΙΜΑΤΟΣ'!AI212/'2.ΤΙΜΕΣ ΚΛΕΙΣΙΜΑΤΟΣ'!AI211)</f>
        <v>-6.38979809877101E-3</v>
      </c>
      <c r="AJ211" s="43">
        <f>LN('2.ΤΙΜΕΣ ΚΛΕΙΣΙΜΑΤΟΣ'!AJ212/'2.ΤΙΜΕΣ ΚΛΕΙΣΙΜΑΤΟΣ'!AJ211)</f>
        <v>0</v>
      </c>
      <c r="AK211" s="43">
        <f>LN('2.ΤΙΜΕΣ ΚΛΕΙΣΙΜΑΤΟΣ'!AK212/'2.ΤΙΜΕΣ ΚΛΕΙΣΙΜΑΤΟΣ'!AK211)</f>
        <v>-2.2814677766171399E-2</v>
      </c>
      <c r="AL211" s="43">
        <f>LN('2.ΤΙΜΕΣ ΚΛΕΙΣΙΜΑΤΟΣ'!AL212/'2.ΤΙΜΕΣ ΚΛΕΙΣΙΜΑΤΟΣ'!AL211)</f>
        <v>2.871010588243136E-2</v>
      </c>
      <c r="AM211" s="43">
        <f>LN('2.ΤΙΜΕΣ ΚΛΕΙΣΙΜΑΤΟΣ'!AM212/'2.ΤΙΜΕΣ ΚΛΕΙΣΙΜΑΤΟΣ'!AM211)</f>
        <v>-8.0754140055453068E-3</v>
      </c>
      <c r="AN211" s="43">
        <f>LN('2.ΤΙΜΕΣ ΚΛΕΙΣΙΜΑΤΟΣ'!AN212/'2.ΤΙΜΕΣ ΚΛΕΙΣΙΜΑΤΟΣ'!AN211)</f>
        <v>-9.2507597721509984E-3</v>
      </c>
      <c r="AO211" s="43">
        <f>LN('2.ΤΙΜΕΣ ΚΛΕΙΣΙΜΑΤΟΣ'!AO212/'2.ΤΙΜΕΣ ΚΛΕΙΣΙΜΑΤΟΣ'!AO211)</f>
        <v>-8.4151969252845849E-3</v>
      </c>
      <c r="AP211" s="43">
        <f>LN('2.ΤΙΜΕΣ ΚΛΕΙΣΙΜΑΤΟΣ'!AP212/'2.ΤΙΜΕΣ ΚΛΕΙΣΙΜΑΤΟΣ'!AP211)</f>
        <v>-3.0850775720475933E-2</v>
      </c>
      <c r="AQ211" s="43">
        <f>LN('2.ΤΙΜΕΣ ΚΛΕΙΣΙΜΑΤΟΣ'!AQ212/'2.ΤΙΜΕΣ ΚΛΕΙΣΙΜΑΤΟΣ'!AQ211)</f>
        <v>-9.6154586994419804E-3</v>
      </c>
      <c r="AR211" s="43">
        <f>LN('2.ΤΙΜΕΣ ΚΛΕΙΣΙΜΑΤΟΣ'!AR212/'2.ΤΙΜΕΣ ΚΛΕΙΣΙΜΑΤΟΣ'!AR211)</f>
        <v>3.1781249868106008E-2</v>
      </c>
      <c r="AS211" s="43">
        <f>LN('2.ΤΙΜΕΣ ΚΛΕΙΣΙΜΑΤΟΣ'!AS212/'2.ΤΙΜΕΣ ΚΛΕΙΣΙΜΑΤΟΣ'!AS211)</f>
        <v>3.0627895305457308E-3</v>
      </c>
      <c r="AT211" s="43">
        <f>LN('2.ΤΙΜΕΣ ΚΛΕΙΣΙΜΑΤΟΣ'!AT212/'2.ΤΙΜΕΣ ΚΛΕΙΣΙΜΑΤΟΣ'!AT211)</f>
        <v>5.4347959859569949E-3</v>
      </c>
      <c r="AU211" s="43">
        <f>LN('2.ΤΙΜΕΣ ΚΛΕΙΣΙΜΑΤΟΣ'!AU212/'2.ΤΙΜΕΣ ΚΛΕΙΣΙΜΑΤΟΣ'!AU211)</f>
        <v>-8.1902164756188379E-3</v>
      </c>
    </row>
    <row r="212" spans="1:47">
      <c r="A212" s="41">
        <v>43865</v>
      </c>
      <c r="B212" s="43">
        <f>LN('2.ΤΙΜΕΣ ΚΛΕΙΣΙΜΑΤΟΣ'!B213/'2.ΤΙΜΕΣ ΚΛΕΙΣΙΜΑΤΟΣ'!B212)</f>
        <v>7.2551708811720156E-3</v>
      </c>
      <c r="C212" s="43">
        <f>LN('2.ΤΙΜΕΣ ΚΛΕΙΣΙΜΑΤΟΣ'!C213/'2.ΤΙΜΕΣ ΚΛΕΙΣΙΜΑΤΟΣ'!C212)</f>
        <v>2.0408871631207033E-2</v>
      </c>
      <c r="D212" s="43">
        <f>LN('2.ΤΙΜΕΣ ΚΛΕΙΣΙΜΑΤΟΣ'!D213/'2.ΤΙΜΕΣ ΚΛΕΙΣΙΜΑΤΟΣ'!D212)</f>
        <v>7.9681696491768813E-3</v>
      </c>
      <c r="E212" s="43">
        <f>LN('2.ΤΙΜΕΣ ΚΛΕΙΣΙΜΑΤΟΣ'!E213/'2.ΤΙΜΕΣ ΚΛΕΙΣΙΜΑΤΟΣ'!E212)</f>
        <v>3.7971295962086643E-3</v>
      </c>
      <c r="F212" s="43">
        <f>LN('2.ΤΙΜΕΣ ΚΛΕΙΣΙΜΑΤΟΣ'!F213/'2.ΤΙΜΕΣ ΚΛΕΙΣΙΜΑΤΟΣ'!F212)</f>
        <v>5.0761530318605679E-3</v>
      </c>
      <c r="G212" s="43">
        <f>LN('2.ΤΙΜΕΣ ΚΛΕΙΣΙΜΑΤΟΣ'!G213/'2.ΤΙΜΕΣ ΚΛΕΙΣΙΜΑΤΟΣ'!G212)</f>
        <v>2.0821327813585516E-2</v>
      </c>
      <c r="H212" s="43">
        <f>LN('2.ΤΙΜΕΣ ΚΛΕΙΣΙΜΑΤΟΣ'!H213/'2.ΤΙΜΕΣ ΚΛΕΙΣΙΜΑΤΟΣ'!H212)</f>
        <v>2.0695883273394635E-2</v>
      </c>
      <c r="I212" s="43">
        <f>LN('2.ΤΙΜΕΣ ΚΛΕΙΣΙΜΑΤΟΣ'!I213/'2.ΤΙΜΕΣ ΚΛΕΙΣΙΜΑΤΟΣ'!I212)</f>
        <v>-5.0377940299570698E-3</v>
      </c>
      <c r="J212" s="43">
        <f>LN('2.ΤΙΜΕΣ ΚΛΕΙΣΙΜΑΤΟΣ'!J213/'2.ΤΙΜΕΣ ΚΛΕΙΣΙΜΑΤΟΣ'!J212)</f>
        <v>4.1039729283820171E-3</v>
      </c>
      <c r="K212" s="43">
        <f>LN('2.ΤΙΜΕΣ ΚΛΕΙΣΙΜΑΤΟΣ'!K213/'2.ΤΙΜΕΣ ΚΛΕΙΣΙΜΑΤΟΣ'!K212)</f>
        <v>2.3677118526829976E-2</v>
      </c>
      <c r="L212" s="43">
        <f>LN('2.ΤΙΜΕΣ ΚΛΕΙΣΙΜΑΤΟΣ'!L213/'2.ΤΙΜΕΣ ΚΛΕΙΣΙΜΑΤΟΣ'!L212)</f>
        <v>1.5629528615554351E-2</v>
      </c>
      <c r="M212" s="43">
        <f>LN('2.ΤΙΜΕΣ ΚΛΕΙΣΙΜΑΤΟΣ'!M213/'2.ΤΙΜΕΣ ΚΛΕΙΣΙΜΑΤΟΣ'!M212)</f>
        <v>1.3086337242893918E-2</v>
      </c>
      <c r="N212" s="43">
        <f>LN('2.ΤΙΜΕΣ ΚΛΕΙΣΙΜΑΤΟΣ'!N213/'2.ΤΙΜΕΣ ΚΛΕΙΣΙΜΑΤΟΣ'!N212)</f>
        <v>2.3055061816197597E-2</v>
      </c>
      <c r="O212" s="43">
        <f>LN('2.ΤΙΜΕΣ ΚΛΕΙΣΙΜΑΤΟΣ'!O213/'2.ΤΙΜΕΣ ΚΛΕΙΣΙΜΑΤΟΣ'!O212)</f>
        <v>1.2024192966801591E-2</v>
      </c>
      <c r="P212" s="43">
        <f>LN('2.ΤΙΜΕΣ ΚΛΕΙΣΙΜΑΤΟΣ'!P213/'2.ΤΙΜΕΣ ΚΛΕΙΣΙΜΑΤΟΣ'!P212)</f>
        <v>2.3443393189939415E-2</v>
      </c>
      <c r="Q212" s="43">
        <f>LN('2.ΤΙΜΕΣ ΚΛΕΙΣΙΜΑΤΟΣ'!Q213/'2.ΤΙΜΕΣ ΚΛΕΙΣΙΜΑΤΟΣ'!Q212)</f>
        <v>1.4925650216675792E-2</v>
      </c>
      <c r="R212" s="43">
        <f>LN('2.ΤΙΜΕΣ ΚΛΕΙΣΙΜΑΤΟΣ'!R213/'2.ΤΙΜΕΣ ΚΛΕΙΣΙΜΑΤΟΣ'!R212)</f>
        <v>3.5846131773135663E-2</v>
      </c>
      <c r="S212" s="43">
        <f>LN('2.ΤΙΜΕΣ ΚΛΕΙΣΙΜΑΤΟΣ'!S213/'2.ΤΙΜΕΣ ΚΛΕΙΣΙΜΑΤΟΣ'!S212)</f>
        <v>2.2446698538237278E-3</v>
      </c>
      <c r="T212" s="43">
        <f>LN('2.ΤΙΜΕΣ ΚΛΕΙΣΙΜΑΤΟΣ'!T213/'2.ΤΙΜΕΣ ΚΛΕΙΣΙΜΑΤΟΣ'!T212)</f>
        <v>3.732292215397566E-2</v>
      </c>
      <c r="U212" s="43">
        <f>LN('2.ΤΙΜΕΣ ΚΛΕΙΣΙΜΑΤΟΣ'!U213/'2.ΤΙΜΕΣ ΚΛΕΙΣΙΜΑΤΟΣ'!U212)</f>
        <v>3.4045841409717066E-2</v>
      </c>
      <c r="V212" s="43">
        <f>LN('2.ΤΙΜΕΣ ΚΛΕΙΣΙΜΑΤΟΣ'!V213/'2.ΤΙΜΕΣ ΚΛΕΙΣΙΜΑΤΟΣ'!V212)</f>
        <v>-2.2805026987252177E-3</v>
      </c>
      <c r="W212" s="43">
        <f>LN('2.ΤΙΜΕΣ ΚΛΕΙΣΙΜΑΤΟΣ'!W213/'2.ΤΙΜΕΣ ΚΛΕΙΣΙΜΑΤΟΣ'!W212)</f>
        <v>2.4213086890103454E-3</v>
      </c>
      <c r="X212" s="43">
        <f>LN('2.ΤΙΜΕΣ ΚΛΕΙΣΙΜΑΤΟΣ'!X213/'2.ΤΙΜΕΣ ΚΛΕΙΣΙΜΑΤΟΣ'!X212)</f>
        <v>3.5718082602079031E-2</v>
      </c>
      <c r="Y212" s="43">
        <f>LN('2.ΤΙΜΕΣ ΚΛΕΙΣΙΜΑΤΟΣ'!Y213/'2.ΤΙΜΕΣ ΚΛΕΙΣΙΜΑΤΟΣ'!Y212)</f>
        <v>1.9048194970694411E-2</v>
      </c>
      <c r="Z212" s="43">
        <f>LN('2.ΤΙΜΕΣ ΚΛΕΙΣΙΜΑΤΟΣ'!Z213/'2.ΤΙΜΕΣ ΚΛΕΙΣΙΜΑΤΟΣ'!Z212)</f>
        <v>3.3648034118232729E-2</v>
      </c>
      <c r="AA212" s="43">
        <f>LN('2.ΤΙΜΕΣ ΚΛΕΙΣΙΜΑΤΟΣ'!AA213/'2.ΤΙΜΕΣ ΚΛΕΙΣΙΜΑΤΟΣ'!AA212)</f>
        <v>3.5809452696710778E-2</v>
      </c>
      <c r="AB212" s="43">
        <f>LN('2.ΤΙΜΕΣ ΚΛΕΙΣΙΜΑΤΟΣ'!AB213/'2.ΤΙΜΕΣ ΚΛΕΙΣΙΜΑΤΟΣ'!AB212)</f>
        <v>3.180480087006636E-2</v>
      </c>
      <c r="AC212" s="43">
        <f>LN('2.ΤΙΜΕΣ ΚΛΕΙΣΙΜΑΤΟΣ'!AC213/'2.ΤΙΜΕΣ ΚΛΕΙΣΙΜΑΤΟΣ'!AC212)</f>
        <v>6.920442844573757E-3</v>
      </c>
      <c r="AD212" s="43">
        <f>LN('2.ΤΙΜΕΣ ΚΛΕΙΣΙΜΑΤΟΣ'!AD213/'2.ΤΙΜΕΣ ΚΛΕΙΣΙΜΑΤΟΣ'!AD212)</f>
        <v>3.6779251503296487E-2</v>
      </c>
      <c r="AE212" s="43">
        <f>LN('2.ΤΙΜΕΣ ΚΛΕΙΣΙΜΑΤΟΣ'!AE213/'2.ΤΙΜΕΣ ΚΛΕΙΣΙΜΑΤΟΣ'!AE212)</f>
        <v>-7.3801072976225337E-3</v>
      </c>
      <c r="AF212" s="43">
        <f>LN('2.ΤΙΜΕΣ ΚΛΕΙΣΙΜΑΤΟΣ'!AF213/'2.ΤΙΜΕΣ ΚΛΕΙΣΙΜΑΤΟΣ'!AF212)</f>
        <v>2.0501857044187364E-2</v>
      </c>
      <c r="AG212" s="43">
        <f>LN('2.ΤΙΜΕΣ ΚΛΕΙΣΙΜΑΤΟΣ'!AG213/'2.ΤΙΜΕΣ ΚΛΕΙΣΙΜΑΤΟΣ'!AG212)</f>
        <v>2.9772158333670265E-2</v>
      </c>
      <c r="AH212" s="43">
        <f>LN('2.ΤΙΜΕΣ ΚΛΕΙΣΙΜΑΤΟΣ'!AH213/'2.ΤΙΜΕΣ ΚΛΕΙΣΙΜΑΤΟΣ'!AH212)</f>
        <v>-3.6968618813260916E-3</v>
      </c>
      <c r="AI212" s="43">
        <f>LN('2.ΤΙΜΕΣ ΚΛΕΙΣΙΜΑΤΟΣ'!AI213/'2.ΤΙΜΕΣ ΚΛΕΙΣΙΜΑΤΟΣ'!AI212)</f>
        <v>5.0010420574661416E-2</v>
      </c>
      <c r="AJ212" s="43">
        <f>LN('2.ΤΙΜΕΣ ΚΛΕΙΣΙΜΑΤΟΣ'!AJ213/'2.ΤΙΜΕΣ ΚΛΕΙΣΙΜΑΤΟΣ'!AJ212)</f>
        <v>8.695706967553913E-3</v>
      </c>
      <c r="AK212" s="43">
        <f>LN('2.ΤΙΜΕΣ ΚΛΕΙΣΙΜΑΤΟΣ'!AK213/'2.ΤΙΜΕΣ ΚΛΕΙΣΙΜΑΤΟΣ'!AK212)</f>
        <v>1.7789541563498459E-2</v>
      </c>
      <c r="AL212" s="43">
        <f>LN('2.ΤΙΜΕΣ ΚΛΕΙΣΙΜΑΤΟΣ'!AL213/'2.ΤΙΜΕΣ ΚΛΕΙΣΙΜΑΤΟΣ'!AL212)</f>
        <v>3.7041271680349076E-2</v>
      </c>
      <c r="AM212" s="43">
        <f>LN('2.ΤΙΜΕΣ ΚΛΕΙΣΙΜΑΤΟΣ'!AM213/'2.ΤΙΜΕΣ ΚΛΕΙΣΙΜΑΤΟΣ'!AM212)</f>
        <v>5.390848634876373E-3</v>
      </c>
      <c r="AN212" s="43">
        <f>LN('2.ΤΙΜΕΣ ΚΛΕΙΣΙΜΑΤΟΣ'!AN213/'2.ΤΙΜΕΣ ΚΛΕΙΣΙΜΑΤΟΣ'!AN212)</f>
        <v>2.0239881347746336E-2</v>
      </c>
      <c r="AO212" s="43">
        <f>LN('2.ΤΙΜΕΣ ΚΛΕΙΣΙΜΑΤΟΣ'!AO213/'2.ΤΙΜΕΣ ΚΛΕΙΣΙΜΑΤΟΣ'!AO212)</f>
        <v>5.6179923042232738E-3</v>
      </c>
      <c r="AP212" s="43">
        <f>LN('2.ΤΙΜΕΣ ΚΛΕΙΣΙΜΑΤΟΣ'!AP213/'2.ΤΙΜΕΣ ΚΛΕΙΣΙΜΑΤΟΣ'!AP212)</f>
        <v>1.8111749943046103E-2</v>
      </c>
      <c r="AQ212" s="43">
        <f>LN('2.ΤΙΜΕΣ ΚΛΕΙΣΙΜΑΤΟΣ'!AQ213/'2.ΤΙΜΕΣ ΚΛΕΙΣΙΜΑΤΟΣ'!AQ212)</f>
        <v>2.0323472971914242E-2</v>
      </c>
      <c r="AR212" s="43">
        <f>LN('2.ΤΙΜΕΣ ΚΛΕΙΣΙΜΑΤΟΣ'!AR213/'2.ΤΙΜΕΣ ΚΛΕΙΣΙΜΑΤΟΣ'!AR212)</f>
        <v>9.0407446521490239E-3</v>
      </c>
      <c r="AS212" s="43">
        <f>LN('2.ΤΙΜΕΣ ΚΛΕΙΣΙΜΑΤΟΣ'!AS213/'2.ΤΙΜΕΣ ΚΛΕΙΣΙΜΑΤΟΣ'!AS212)</f>
        <v>1.5174798019235132E-2</v>
      </c>
      <c r="AT212" s="43">
        <f>LN('2.ΤΙΜΕΣ ΚΛΕΙΣΙΜΑΤΟΣ'!AT213/'2.ΤΙΜΕΣ ΚΛΕΙΣΙΜΑΤΟΣ'!AT212)</f>
        <v>1.879249934936732E-2</v>
      </c>
      <c r="AU212" s="43">
        <f>LN('2.ΤΙΜΕΣ ΚΛΕΙΣΙΜΑΤΟΣ'!AU213/'2.ΤΙΜΕΣ ΚΛΕΙΣΙΜΑΤΟΣ'!AU212)</f>
        <v>1.4591901676290124E-2</v>
      </c>
    </row>
    <row r="213" spans="1:47">
      <c r="A213" s="41">
        <v>43866</v>
      </c>
      <c r="B213" s="43">
        <f>LN('2.ΤΙΜΕΣ ΚΛΕΙΣΙΜΑΤΟΣ'!B214/'2.ΤΙΜΕΣ ΚΛΕΙΣΙΜΑΤΟΣ'!B213)</f>
        <v>2.1062141079424817E-3</v>
      </c>
      <c r="C213" s="43">
        <f>LN('2.ΤΙΜΕΣ ΚΛΕΙΣΙΜΑΤΟΣ'!C214/'2.ΤΙΜΕΣ ΚΛΕΙΣΙΜΑΤΟΣ'!C213)</f>
        <v>2.1621630044953172E-3</v>
      </c>
      <c r="D213" s="43">
        <f>LN('2.ΤΙΜΕΣ ΚΛΕΙΣΙΜΑΤΟΣ'!D214/'2.ΤΙΜΕΣ ΚΛΕΙΣΙΜΑΤΟΣ'!D213)</f>
        <v>1.5748356968139112E-2</v>
      </c>
      <c r="E213" s="43">
        <f>LN('2.ΤΙΜΕΣ ΚΛΕΙΣΙΜΑΤΟΣ'!E214/'2.ΤΙΜΕΣ ΚΛΕΙΣΙΜΑΤΟΣ'!E213)</f>
        <v>-1.6255760827007402E-3</v>
      </c>
      <c r="F213" s="43">
        <f>LN('2.ΤΙΜΕΣ ΚΛΕΙΣΙΜΑΤΟΣ'!F214/'2.ΤΙΜΕΣ ΚΛΕΙΣΙΜΑΤΟΣ'!F213)</f>
        <v>1.2578782206859965E-2</v>
      </c>
      <c r="G213" s="43">
        <f>LN('2.ΤΙΜΕΣ ΚΛΕΙΣΙΜΑΤΟΣ'!G214/'2.ΤΙΜΕΣ ΚΛΕΙΣΙΜΑΤΟΣ'!G213)</f>
        <v>4.8367688006140212E-3</v>
      </c>
      <c r="H213" s="43">
        <f>LN('2.ΤΙΜΕΣ ΚΛΕΙΣΙΜΑΤΟΣ'!H214/'2.ΤΙΜΕΣ ΚΛΕΙΣΙΜΑΤΟΣ'!H213)</f>
        <v>6.8045276943340689E-3</v>
      </c>
      <c r="I213" s="43">
        <f>LN('2.ΤΙΜΕΣ ΚΛΕΙΣΙΜΑΤΟΣ'!I214/'2.ΤΙΜΕΣ ΚΛΕΙΣΙΜΑΤΟΣ'!I213)</f>
        <v>-1.8120541113194912E-2</v>
      </c>
      <c r="J213" s="43">
        <f>LN('2.ΤΙΜΕΣ ΚΛΕΙΣΙΜΑΤΟΣ'!J214/'2.ΤΙΜΕΣ ΚΛΕΙΣΙΜΑΤΟΣ'!J213)</f>
        <v>4.0871991502698535E-3</v>
      </c>
      <c r="K213" s="43">
        <f>LN('2.ΤΙΜΕΣ ΚΛΕΙΣΙΜΑΤΟΣ'!K214/'2.ΤΙΜΕΣ ΚΛΕΙΣΙΜΑΤΟΣ'!K213)</f>
        <v>-2.4660924951934427E-3</v>
      </c>
      <c r="L213" s="43">
        <f>LN('2.ΤΙΜΕΣ ΚΛΕΙΣΙΜΑΤΟΣ'!L214/'2.ΤΙΜΕΣ ΚΛΕΙΣΙΜΑΤΟΣ'!L213)</f>
        <v>1.0638398205055797E-2</v>
      </c>
      <c r="M213" s="43">
        <f>LN('2.ΤΙΜΕΣ ΚΛΕΙΣΙΜΑΤΟΣ'!M214/'2.ΤΙΜΕΣ ΚΛΕΙΣΙΜΑΤΟΣ'!M213)</f>
        <v>-1.0840109462583367E-3</v>
      </c>
      <c r="N213" s="43">
        <f>LN('2.ΤΙΜΕΣ ΚΛΕΙΣΙΜΑΤΟΣ'!N214/'2.ΤΙΜΕΣ ΚΛΕΙΣΙΜΑΤΟΣ'!N213)</f>
        <v>1.5562624122283398E-2</v>
      </c>
      <c r="O213" s="43">
        <f>LN('2.ΤΙΜΕΣ ΚΛΕΙΣΙΜΑΤΟΣ'!O214/'2.ΤΙΜΕΣ ΚΛΕΙΣΙΜΑΤΟΣ'!O213)</f>
        <v>3.9761483796394168E-3</v>
      </c>
      <c r="P213" s="43">
        <f>LN('2.ΤΙΜΕΣ ΚΛΕΙΣΙΜΑΤΟΣ'!P214/'2.ΤΙΜΕΣ ΚΛΕΙΣΙΜΑΤΟΣ'!P213)</f>
        <v>2.1713760223784479E-2</v>
      </c>
      <c r="Q213" s="43">
        <f>LN('2.ΤΙΜΕΣ ΚΛΕΙΣΙΜΑΤΟΣ'!Q214/'2.ΤΙΜΕΣ ΚΛΕΙΣΙΜΑΤΟΣ'!Q213)</f>
        <v>6.1538655743780656E-3</v>
      </c>
      <c r="R213" s="43">
        <f>LN('2.ΤΙΜΕΣ ΚΛΕΙΣΙΜΑΤΟΣ'!R214/'2.ΤΙΜΕΣ ΚΛΕΙΣΙΜΑΤΟΣ'!R213)</f>
        <v>0</v>
      </c>
      <c r="S213" s="43">
        <f>LN('2.ΤΙΜΕΣ ΚΛΕΙΣΙΜΑΤΟΣ'!S214/'2.ΤΙΜΕΣ ΚΛΕΙΣΙΜΑΤΟΣ'!S213)</f>
        <v>1.2256420836976022E-2</v>
      </c>
      <c r="T213" s="43">
        <f>LN('2.ΤΙΜΕΣ ΚΛΕΙΣΙΜΑΤΟΣ'!T214/'2.ΤΙΜΕΣ ΚΛΕΙΣΙΜΑΤΟΣ'!T213)</f>
        <v>4.0622940088789264E-3</v>
      </c>
      <c r="U213" s="43">
        <f>LN('2.ΤΙΜΕΣ ΚΛΕΙΣΙΜΑΤΟΣ'!U214/'2.ΤΙΜΕΣ ΚΛΕΙΣΙΜΑΤΟΣ'!U213)</f>
        <v>-4.1928782600360393E-3</v>
      </c>
      <c r="V213" s="43">
        <f>LN('2.ΤΙΜΕΣ ΚΛΕΙΣΙΜΑΤΟΣ'!V214/'2.ΤΙΜΕΣ ΚΛΕΙΣΙΜΑΤΟΣ'!V213)</f>
        <v>0</v>
      </c>
      <c r="W213" s="43">
        <f>LN('2.ΤΙΜΕΣ ΚΛΕΙΣΙΜΑΤΟΣ'!W214/'2.ΤΙΜΕΣ ΚΛΕΙΣΙΜΑΤΟΣ'!W213)</f>
        <v>1.5597196813667988E-2</v>
      </c>
      <c r="X213" s="43">
        <f>LN('2.ΤΙΜΕΣ ΚΛΕΙΣΙΜΑΤΟΣ'!X214/'2.ΤΙΜΕΣ ΚΛΕΙΣΙΜΑΤΟΣ'!X213)</f>
        <v>6.5574005461590396E-3</v>
      </c>
      <c r="Y213" s="43">
        <f>LN('2.ΤΙΜΕΣ ΚΛΕΙΣΙΜΑΤΟΣ'!Y214/'2.ΤΙΜΕΣ ΚΛΕΙΣΙΜΑΤΟΣ'!Y213)</f>
        <v>6.269613013595395E-3</v>
      </c>
      <c r="Z213" s="43">
        <f>LN('2.ΤΙΜΕΣ ΚΛΕΙΣΙΜΑΤΟΣ'!Z214/'2.ΤΙΜΕΣ ΚΛΕΙΣΙΜΑΤΟΣ'!Z213)</f>
        <v>1.0969031370573937E-2</v>
      </c>
      <c r="AA213" s="43">
        <f>LN('2.ΤΙΜΕΣ ΚΛΕΙΣΙΜΑΤΟΣ'!AA214/'2.ΤΙΜΕΣ ΚΛΕΙΣΙΜΑΤΟΣ'!AA213)</f>
        <v>2.2361180158157325E-2</v>
      </c>
      <c r="AB213" s="43">
        <f>LN('2.ΤΙΜΕΣ ΚΛΕΙΣΙΜΑΤΟΣ'!AB214/'2.ΤΙΜΕΣ ΚΛΕΙΣΙΜΑΤΟΣ'!AB213)</f>
        <v>1.3817145553141903E-2</v>
      </c>
      <c r="AC213" s="43">
        <f>LN('2.ΤΙΜΕΣ ΚΛΕΙΣΙΜΑΤΟΣ'!AC214/'2.ΤΙΜΕΣ ΚΛΕΙΣΙΜΑΤΟΣ'!AC213)</f>
        <v>-6.9204428445737952E-3</v>
      </c>
      <c r="AD213" s="43">
        <f>LN('2.ΤΙΜΕΣ ΚΛΕΙΣΙΜΑΤΟΣ'!AD214/'2.ΤΙΜΕΣ ΚΛΕΙΣΙΜΑΤΟΣ'!AD213)</f>
        <v>6.920442844573757E-3</v>
      </c>
      <c r="AE213" s="43">
        <f>LN('2.ΤΙΜΕΣ ΚΛΕΙΣΙΜΑΤΟΣ'!AE214/'2.ΤΙΜΕΣ ΚΛΕΙΣΙΜΑΤΟΣ'!AE213)</f>
        <v>3.6968618813259814E-3</v>
      </c>
      <c r="AF213" s="43">
        <f>LN('2.ΤΙΜΕΣ ΚΛΕΙΣΙΜΑΤΟΣ'!AF214/'2.ΤΙΜΕΣ ΚΛΕΙΣΙΜΑΤΟΣ'!AF213)</f>
        <v>-5.652926302788212E-3</v>
      </c>
      <c r="AG213" s="43">
        <f>LN('2.ΤΙΜΕΣ ΚΛΕΙΣΙΜΑΤΟΣ'!AG214/'2.ΤΙΜΕΣ ΚΛΕΙΣΙΜΑΤΟΣ'!AG213)</f>
        <v>5.3191614776000266E-3</v>
      </c>
      <c r="AH213" s="43">
        <f>LN('2.ΤΙΜΕΣ ΚΛΕΙΣΙΜΑΤΟΣ'!AH214/'2.ΤΙΜΕΣ ΚΛΕΙΣΙΜΑΤΟΣ'!AH213)</f>
        <v>9.2166551049240476E-3</v>
      </c>
      <c r="AI213" s="43">
        <f>LN('2.ΤΙΜΕΣ ΚΛΕΙΣΙΜΑΤΟΣ'!AI214/'2.ΤΙΜΕΣ ΚΛΕΙΣΙΜΑΤΟΣ'!AI213)</f>
        <v>-2.4692612590371411E-2</v>
      </c>
      <c r="AJ213" s="43">
        <f>LN('2.ΤΙΜΕΣ ΚΛΕΙΣΙΜΑΤΟΣ'!AJ214/'2.ΤΙΜΕΣ ΚΛΕΙΣΙΜΑΤΟΣ'!AJ213)</f>
        <v>3.8221212820197671E-2</v>
      </c>
      <c r="AK213" s="43">
        <f>LN('2.ΤΙΜΕΣ ΚΛΕΙΣΙΜΑΤΟΣ'!AK214/'2.ΤΙΜΕΣ ΚΛΕΙΣΙΜΑΤΟΣ'!AK213)</f>
        <v>2.5157245972471489E-3</v>
      </c>
      <c r="AL213" s="43">
        <f>LN('2.ΤΙΜΕΣ ΚΛΕΙΣΙΜΑΤΟΣ'!AL214/'2.ΤΙΜΕΣ ΚΛΕΙΣΙΜΑΤΟΣ'!AL213)</f>
        <v>0</v>
      </c>
      <c r="AM213" s="43">
        <f>LN('2.ΤΙΜΕΣ ΚΛΕΙΣΙΜΑΤΟΣ'!AM214/'2.ΤΙΜΕΣ ΚΛΕΙΣΙΜΑΤΟΣ'!AM213)</f>
        <v>0</v>
      </c>
      <c r="AN213" s="43">
        <f>LN('2.ΤΙΜΕΣ ΚΛΕΙΣΙΜΑΤΟΣ'!AN214/'2.ΤΙΜΕΣ ΚΛΕΙΣΙΜΑΤΟΣ'!AN213)</f>
        <v>5.4929662030934169E-2</v>
      </c>
      <c r="AO213" s="43">
        <f>LN('2.ΤΙΜΕΣ ΚΛΕΙΣΙΜΑΤΟΣ'!AO214/'2.ΤΙΜΕΣ ΚΛΕΙΣΙΜΑΤΟΣ'!AO213)</f>
        <v>-1.1267724846342269E-2</v>
      </c>
      <c r="AP213" s="43">
        <f>LN('2.ΤΙΜΕΣ ΚΛΕΙΣΙΜΑΤΟΣ'!AP214/'2.ΤΙΜΕΣ ΚΛΕΙΣΙΜΑΤΟΣ'!AP213)</f>
        <v>5.1151006667704089E-3</v>
      </c>
      <c r="AQ213" s="43">
        <f>LN('2.ΤΙΜΕΣ ΚΛΕΙΣΙΜΑΤΟΣ'!AQ214/'2.ΤΙΜΕΣ ΚΛΕΙΣΙΜΑΤΟΣ'!AQ213)</f>
        <v>-5.9347355198145777E-3</v>
      </c>
      <c r="AR213" s="43">
        <f>LN('2.ΤΙΜΕΣ ΚΛΕΙΣΙΜΑΤΟΣ'!AR214/'2.ΤΙΜΕΣ ΚΛΕΙΣΙΜΑΤΟΣ'!AR213)</f>
        <v>-1.816397062767118E-2</v>
      </c>
      <c r="AS213" s="43">
        <f>LN('2.ΤΙΜΕΣ ΚΛΕΙΣΙΜΑΤΟΣ'!AS214/'2.ΤΙΜΕΣ ΚΛΕΙΣΙΜΑΤΟΣ'!AS213)</f>
        <v>2.3810648693718607E-2</v>
      </c>
      <c r="AT213" s="43">
        <f>LN('2.ΤΙΜΕΣ ΚΛΕΙΣΙΜΑΤΟΣ'!AT214/'2.ΤΙΜΕΣ ΚΛΕΙΣΙΜΑΤΟΣ'!AT213)</f>
        <v>-1.0695289116747919E-2</v>
      </c>
      <c r="AU213" s="43">
        <f>LN('2.ΤΙΜΕΣ ΚΛΕΙΣΙΜΑΤΟΣ'!AU214/'2.ΤΙΜΕΣ ΚΛΕΙΣΙΜΑΤΟΣ'!AU213)</f>
        <v>4.6143714816247851E-3</v>
      </c>
    </row>
    <row r="214" spans="1:47">
      <c r="A214" s="41">
        <v>43867</v>
      </c>
      <c r="B214" s="43">
        <f>LN('2.ΤΙΜΕΣ ΚΛΕΙΣΙΜΑΤΟΣ'!B215/'2.ΤΙΜΕΣ ΚΛΕΙΣΙΜΑΤΟΣ'!B214)</f>
        <v>2.701487460160518E-3</v>
      </c>
      <c r="C214" s="43">
        <f>LN('2.ΤΙΜΕΣ ΚΛΕΙΣΙΜΑΤΟΣ'!C215/'2.ΤΙΜΕΣ ΚΛΕΙΣΙΜΑΤΟΣ'!C214)</f>
        <v>7.8881728490060796E-3</v>
      </c>
      <c r="D214" s="43">
        <f>LN('2.ΤΙΜΕΣ ΚΛΕΙΣΙΜΑΤΟΣ'!D215/'2.ΤΙΜΕΣ ΚΛΕΙΣΙΜΑΤΟΣ'!D214)</f>
        <v>-4.349724126465759E-3</v>
      </c>
      <c r="E214" s="43">
        <f>LN('2.ΤΙΜΕΣ ΚΛΕΙΣΙΜΑΤΟΣ'!E215/'2.ΤΙΜΕΣ ΚΛΕΙΣΙΜΑΤΟΣ'!E214)</f>
        <v>3.7889084569583012E-3</v>
      </c>
      <c r="F214" s="43">
        <f>LN('2.ΤΙΜΕΣ ΚΛΕΙΣΙΜΑΤΟΣ'!F215/'2.ΤΙΜΕΣ ΚΛΕΙΣΙΜΑΤΟΣ'!F214)</f>
        <v>-8.788506033079348E-3</v>
      </c>
      <c r="G214" s="43">
        <f>LN('2.ΤΙΜΕΣ ΚΛΕΙΣΙΜΑΤΟΣ'!G215/'2.ΤΙΜΕΣ ΚΛΕΙΣΙΜΑΤΟΣ'!G214)</f>
        <v>-2.415460111603662E-3</v>
      </c>
      <c r="H214" s="43">
        <f>LN('2.ΤΙΜΕΣ ΚΛΕΙΣΙΜΑΤΟΣ'!H215/'2.ΤΙΜΕΣ ΚΛΕΙΣΙΜΑΤΟΣ'!H214)</f>
        <v>1.5637219761825373E-3</v>
      </c>
      <c r="I214" s="43">
        <f>LN('2.ΤΙΜΕΣ ΚΛΕΙΣΙΜΑΤΟΣ'!I215/'2.ΤΙΜΕΣ ΚΛΕΙΣΙΜΑΤΟΣ'!I214)</f>
        <v>1.1363758650315003E-2</v>
      </c>
      <c r="J214" s="43">
        <f>LN('2.ΤΙΜΕΣ ΚΛΕΙΣΙΜΑΤΟΣ'!J215/'2.ΤΙΜΕΣ ΚΛΕΙΣΙΜΑΤΟΣ'!J214)</f>
        <v>-1.3605444275601774E-3</v>
      </c>
      <c r="K214" s="43">
        <f>LN('2.ΤΙΜΕΣ ΚΛΕΙΣΙΜΑΤΟΣ'!K215/'2.ΤΙΜΕΣ ΚΛΕΙΣΙΜΑΤΟΣ'!K214)</f>
        <v>0</v>
      </c>
      <c r="L214" s="43">
        <f>LN('2.ΤΙΜΕΣ ΚΛΕΙΣΙΜΑΤΟΣ'!L215/'2.ΤΙΜΕΣ ΚΛΕΙΣΙΜΑΤΟΣ'!L214)</f>
        <v>5.2770571008438193E-3</v>
      </c>
      <c r="M214" s="43">
        <f>LN('2.ΤΙΜΕΣ ΚΛΕΙΣΙΜΑΤΟΣ'!M215/'2.ΤΙΜΕΣ ΚΛΕΙΣΙΜΑΤΟΣ'!M214)</f>
        <v>1.5070252920998173E-2</v>
      </c>
      <c r="N214" s="43">
        <f>LN('2.ΤΙΜΕΣ ΚΛΕΙΣΙΜΑΤΟΣ'!N215/'2.ΤΙΜΕΣ ΚΛΕΙΣΙΜΑΤΟΣ'!N214)</f>
        <v>1.4016401973535783E-2</v>
      </c>
      <c r="O214" s="43">
        <f>LN('2.ΤΙΜΕΣ ΚΛΕΙΣΙΜΑΤΟΣ'!O215/'2.ΤΙΜΕΣ ΚΛΕΙΣΙΜΑΤΟΣ'!O214)</f>
        <v>-3.9761483796392945E-3</v>
      </c>
      <c r="P214" s="43">
        <f>LN('2.ΤΙΜΕΣ ΚΛΕΙΣΙΜΑΤΟΣ'!P215/'2.ΤΙΜΕΣ ΚΛΕΙΣΙΜΑΤΟΣ'!P214)</f>
        <v>-9.5923996914394089E-3</v>
      </c>
      <c r="Q214" s="43">
        <f>LN('2.ΤΙΜΕΣ ΚΛΕΙΣΙΜΑΤΟΣ'!Q215/'2.ΤΙΜΕΣ ΚΛΕΙΣΙΜΑΤΟΣ'!Q214)</f>
        <v>-2.4217265463021123E-2</v>
      </c>
      <c r="R214" s="43">
        <f>LN('2.ΤΙΜΕΣ ΚΛΕΙΣΙΜΑΤΟΣ'!R215/'2.ΤΙΜΕΣ ΚΛΕΙΣΙΜΑΤΟΣ'!R214)</f>
        <v>2.3446669592540547E-3</v>
      </c>
      <c r="S214" s="43">
        <f>LN('2.ΤΙΜΕΣ ΚΛΕΙΣΙΜΑΤΟΣ'!S215/'2.ΤΙΜΕΣ ΚΛΕΙΣΙΜΑΤΟΣ'!S214)</f>
        <v>-1.4501090690799844E-2</v>
      </c>
      <c r="T214" s="43">
        <f>LN('2.ΤΙΜΕΣ ΚΛΕΙΣΙΜΑΤΟΣ'!T215/'2.ΤΙΜΕΣ ΚΛΕΙΣΙΜΑΤΟΣ'!T214)</f>
        <v>9.4149989346018828E-3</v>
      </c>
      <c r="U214" s="43">
        <f>LN('2.ΤΙΜΕΣ ΚΛΕΙΣΙΜΑΤΟΣ'!U215/'2.ΤΙΜΕΣ ΚΛΕΙΣΙΜΑΤΟΣ'!U214)</f>
        <v>6.282743179495209E-3</v>
      </c>
      <c r="V214" s="43">
        <f>LN('2.ΤΙΜΕΣ ΚΛΕΙΣΙΜΑΤΟΣ'!V215/'2.ΤΙΜΕΣ ΚΛΕΙΣΙΜΑΤΟΣ'!V214)</f>
        <v>-6.8728792877619524E-3</v>
      </c>
      <c r="W214" s="43">
        <f>LN('2.ΤΙΜΕΣ ΚΛΕΙΣΙΜΑΤΟΣ'!W215/'2.ΤΙΜΕΣ ΚΛΕΙΣΙΜΑΤΟΣ'!W214)</f>
        <v>-1.191185370153118E-3</v>
      </c>
      <c r="X214" s="43">
        <f>LN('2.ΤΙΜΕΣ ΚΛΕΙΣΙΜΑΤΟΣ'!X215/'2.ΤΙΜΕΣ ΚΛΕΙΣΙΜΑΤΟΣ'!X214)</f>
        <v>-6.5574005461591636E-3</v>
      </c>
      <c r="Y214" s="43">
        <f>LN('2.ΤΙΜΕΣ ΚΛΕΙΣΙΜΑΤΟΣ'!Y215/'2.ΤΙΜΕΣ ΚΛΕΙΣΙΜΑΤΟΣ'!Y214)</f>
        <v>-1.4690715410003481E-2</v>
      </c>
      <c r="Z214" s="43">
        <f>LN('2.ΤΙΜΕΣ ΚΛΕΙΣΙΜΑΤΟΣ'!Z215/'2.ΤΙΜΕΣ ΚΛΕΙΣΙΜΑΤΟΣ'!Z214)</f>
        <v>7.2464085207672533E-3</v>
      </c>
      <c r="AA214" s="43">
        <f>LN('2.ΤΙΜΕΣ ΚΛΕΙΣΙΜΑΤΟΣ'!AA215/'2.ΤΙΜΕΣ ΚΛΕΙΣΙΜΑΤΟΣ'!AA214)</f>
        <v>-4.9261183360560009E-3</v>
      </c>
      <c r="AB214" s="43">
        <f>LN('2.ΤΙΜΕΣ ΚΛΕΙΣΙΜΑΤΟΣ'!AB215/'2.ΤΙΜΕΣ ΚΛΕΙΣΙΜΑΤΟΣ'!AB214)</f>
        <v>-3.4364294985812097E-3</v>
      </c>
      <c r="AC214" s="43">
        <f>LN('2.ΤΙΜΕΣ ΚΛΕΙΣΙΜΑΤΟΣ'!AC215/'2.ΤΙΜΕΣ ΚΛΕΙΣΙΜΑΤΟΣ'!AC214)</f>
        <v>1.5162247739677455E-2</v>
      </c>
      <c r="AD214" s="43">
        <f>LN('2.ΤΙΜΕΣ ΚΛΕΙΣΙΜΑΤΟΣ'!AD215/'2.ΤΙΜΕΣ ΚΛΕΙΣΙΜΑΤΟΣ'!AD214)</f>
        <v>0</v>
      </c>
      <c r="AE214" s="43">
        <f>LN('2.ΤΙΜΕΣ ΚΛΕΙΣΙΜΑΤΟΣ'!AE215/'2.ΤΙΜΕΣ ΚΛΕΙΣΙΜΑΤΟΣ'!AE214)</f>
        <v>7.3529743052587332E-3</v>
      </c>
      <c r="AF214" s="43">
        <f>LN('2.ΤΙΜΕΣ ΚΛΕΙΣΙΜΑΤΟΣ'!AF215/'2.ΤΙΜΕΣ ΚΛΕΙΣΙΜΑΤΟΣ'!AF214)</f>
        <v>3.3955890011381075E-3</v>
      </c>
      <c r="AG214" s="43">
        <f>LN('2.ΤΙΜΕΣ ΚΛΕΙΣΙΜΑΤΟΣ'!AG215/'2.ΤΙΜΕΣ ΚΛΕΙΣΙΜΑΤΟΣ'!AG214)</f>
        <v>-5.3191614775999329E-3</v>
      </c>
      <c r="AH214" s="43">
        <f>LN('2.ΤΙΜΕΣ ΚΛΕΙΣΙΜΑΤΟΣ'!AH215/'2.ΤΙΜΕΣ ΚΛΕΙΣΙΜΑΤΟΣ'!AH214)</f>
        <v>-3.6764747293086368E-3</v>
      </c>
      <c r="AI214" s="43">
        <f>LN('2.ΤΙΜΕΣ ΚΛΕΙΣΙΜΑΤΟΣ'!AI215/'2.ΤΙΜΕΣ ΚΛΕΙΣΙΜΑΤΟΣ'!AI214)</f>
        <v>0</v>
      </c>
      <c r="AJ214" s="43">
        <f>LN('2.ΤΙΜΕΣ ΚΛΕΙΣΙΜΑΤΟΣ'!AJ215/'2.ΤΙΜΕΣ ΚΛΕΙΣΙΜΑΤΟΣ'!AJ214)</f>
        <v>0</v>
      </c>
      <c r="AK214" s="43">
        <f>LN('2.ΤΙΜΕΣ ΚΛΕΙΣΙΜΑΤΟΣ'!AK215/'2.ΤΙΜΕΣ ΚΛΕΙΣΙΜΑΤΟΣ'!AK214)</f>
        <v>-7.5662403833158132E-3</v>
      </c>
      <c r="AL214" s="43">
        <f>LN('2.ΤΙΜΕΣ ΚΛΕΙΣΙΜΑΤΟΣ'!AL215/'2.ΤΙΜΕΣ ΚΛΕΙΣΙΜΑΤΟΣ'!AL214)</f>
        <v>0</v>
      </c>
      <c r="AM214" s="43">
        <f>LN('2.ΤΙΜΕΣ ΚΛΕΙΣΙΜΑΤΟΣ'!AM215/'2.ΤΙΜΕΣ ΚΛΕΙΣΙΜΑΤΟΣ'!AM214)</f>
        <v>0</v>
      </c>
      <c r="AN214" s="43">
        <f>LN('2.ΤΙΜΕΣ ΚΛΕΙΣΙΜΑΤΟΣ'!AN215/'2.ΤΙΜΕΣ ΚΛΕΙΣΙΜΑΤΟΣ'!AN214)</f>
        <v>4.0546094394350009E-2</v>
      </c>
      <c r="AO214" s="43">
        <f>LN('2.ΤΙΜΕΣ ΚΛΕΙΣΙΜΑΤΟΣ'!AO215/'2.ΤΙΜΕΣ ΚΛΕΙΣΙΜΑΤΟΣ'!AO214)</f>
        <v>1.4064929467403675E-2</v>
      </c>
      <c r="AP214" s="43">
        <f>LN('2.ΤΙΜΕΣ ΚΛΕΙΣΙΜΑΤΟΣ'!AP215/'2.ΤΙΜΕΣ ΚΛΕΙΣΙΜΑΤΟΣ'!AP214)</f>
        <v>-1.801850550267825E-2</v>
      </c>
      <c r="AQ214" s="43">
        <f>LN('2.ΤΙΜΕΣ ΚΛΕΙΣΙΜΑΤΟΣ'!AQ215/'2.ΤΙΜΕΣ ΚΛΕΙΣΙΜΑΤΟΣ'!AQ214)</f>
        <v>1.0657294473987979E-2</v>
      </c>
      <c r="AR214" s="43">
        <f>LN('2.ΤΙΜΕΣ ΚΛΕΙΣΙΜΑΤΟΣ'!AR215/'2.ΤΙΜΕΣ ΚΛΕΙΣΙΜΑΤΟΣ'!AR214)</f>
        <v>1.214589830210812E-2</v>
      </c>
      <c r="AS214" s="43">
        <f>LN('2.ΤΙΜΕΣ ΚΛΕΙΣΙΜΑΤΟΣ'!AS215/'2.ΤΙΜΕΣ ΚΛΕΙΣΙΜΑΤΟΣ'!AS214)</f>
        <v>-2.9455102297568031E-3</v>
      </c>
      <c r="AT214" s="43">
        <f>LN('2.ΤΙΜΕΣ ΚΛΕΙΣΙΜΑΤΟΣ'!AT215/'2.ΤΙΜΕΣ ΚΛΕΙΣΙΜΑΤΟΣ'!AT214)</f>
        <v>-2.6917916657114146E-3</v>
      </c>
      <c r="AU214" s="43">
        <f>LN('2.ΤΙΜΕΣ ΚΛΕΙΣΙΜΑΤΟΣ'!AU215/'2.ΤΙΜΕΣ ΚΛΕΙΣΙΜΑΤΟΣ'!AU214)</f>
        <v>4.9933784498610808E-4</v>
      </c>
    </row>
    <row r="215" spans="1:47">
      <c r="A215" s="41">
        <v>43868</v>
      </c>
      <c r="B215" s="43">
        <f>LN('2.ΤΙΜΕΣ ΚΛΕΙΣΙΜΑΤΟΣ'!B216/'2.ΤΙΜΕΣ ΚΛΕΙΣΙΜΑΤΟΣ'!B215)</f>
        <v>-1.3581014535297579E-2</v>
      </c>
      <c r="C215" s="43">
        <f>LN('2.ΤΙΜΕΣ ΚΛΕΙΣΙΜΑΤΟΣ'!C216/'2.ΤΙΜΕΣ ΚΛΕΙΣΙΜΑΤΟΣ'!C215)</f>
        <v>1.980262729617973E-2</v>
      </c>
      <c r="D215" s="43">
        <f>LN('2.ΤΙΜΕΣ ΚΛΕΙΣΙΜΑΤΟΣ'!D216/'2.ΤΙΜΕΣ ΚΛΕΙΣΙΜΑΤΟΣ'!D215)</f>
        <v>5.2174031396881402E-3</v>
      </c>
      <c r="E215" s="43">
        <f>LN('2.ΤΙΜΕΣ ΚΛΕΙΣΙΜΑΤΟΣ'!E216/'2.ΤΙΜΕΣ ΚΛΕΙΣΙΜΑΤΟΣ'!E215)</f>
        <v>6.9986826720389202E-3</v>
      </c>
      <c r="F215" s="43">
        <f>LN('2.ΤΙΜΕΣ ΚΛΕΙΣΙΜΑΤΟΣ'!F216/'2.ΤΙΜΕΣ ΚΛΕΙΣΙΜΑΤΟΣ'!F215)</f>
        <v>-3.7902761737806908E-3</v>
      </c>
      <c r="G215" s="43">
        <f>LN('2.ΤΙΜΕΣ ΚΛΕΙΣΙΜΑΤΟΣ'!G216/'2.ΤΙΜΕΣ ΚΛΕΙΣΙΜΑΤΟΣ'!G215)</f>
        <v>-3.5696097573882396E-2</v>
      </c>
      <c r="H215" s="43">
        <f>LN('2.ΤΙΜΕΣ ΚΛΕΙΣΙΜΑΤΟΣ'!H216/'2.ΤΙΜΕΣ ΚΛΕΙΣΙΜΑΤΟΣ'!H215)</f>
        <v>-5.2219439811516007E-3</v>
      </c>
      <c r="I215" s="43">
        <f>LN('2.ΤΙΜΕΣ ΚΛΕΙΣΙΜΑΤΟΣ'!I216/'2.ΤΙΜΕΣ ΚΛΕΙΣΙΜΑΤΟΣ'!I215)</f>
        <v>-3.4486176071169321E-2</v>
      </c>
      <c r="J215" s="43">
        <f>LN('2.ΤΙΜΕΣ ΚΛΕΙΣΙΜΑΤΟΣ'!J216/'2.ΤΙΜΕΣ ΚΛΕΙΣΙΜΑΤΟΣ'!J215)</f>
        <v>-3.1112084201956314E-2</v>
      </c>
      <c r="K215" s="43">
        <f>LN('2.ΤΙΜΕΣ ΚΛΕΙΣΙΜΑΤΟΣ'!K216/'2.ΤΙΜΕΣ ΚΛΕΙΣΙΜΑΤΟΣ'!K215)</f>
        <v>-1.2422519998557096E-2</v>
      </c>
      <c r="L215" s="43">
        <f>LN('2.ΤΙΜΕΣ ΚΛΕΙΣΙΜΑΤΟΣ'!L216/'2.ΤΙΜΕΣ ΚΛΕΙΣΙΜΑΤΟΣ'!L215)</f>
        <v>-2.1277398447284851E-2</v>
      </c>
      <c r="M215" s="43">
        <f>LN('2.ΤΙΜΕΣ ΚΛΕΙΣΙΜΑΤΟΣ'!M216/'2.ΤΙΜΕΣ ΚΛΕΙΣΙΜΑΤΟΣ'!M215)</f>
        <v>-2.1390382487494184E-3</v>
      </c>
      <c r="N215" s="43">
        <f>LN('2.ΤΙΜΕΣ ΚΛΕΙΣΙΜΑΤΟΣ'!N216/'2.ΤΙΜΕΣ ΚΛΕΙΣΙΜΑΤΟΣ'!N215)</f>
        <v>-2.1159721893946531E-2</v>
      </c>
      <c r="O215" s="43">
        <f>LN('2.ΤΙΜΕΣ ΚΛΕΙΣΙΜΑΤΟΣ'!O216/'2.ΤΙΜΕΣ ΚΛΕΙΣΙΜΑΤΟΣ'!O215)</f>
        <v>-1.7415041601678123E-2</v>
      </c>
      <c r="P215" s="43">
        <f>LN('2.ΤΙΜΕΣ ΚΛΕΙΣΙΜΑΤΟΣ'!P216/'2.ΤΙΜΕΣ ΚΛΕΙΣΙΜΑΤΟΣ'!P215)</f>
        <v>0</v>
      </c>
      <c r="Q215" s="43">
        <f>LN('2.ΤΙΜΕΣ ΚΛΕΙΣΙΜΑΤΟΣ'!Q216/'2.ΤΙΜΕΣ ΚΛΕΙΣΙΜΑΤΟΣ'!Q215)</f>
        <v>-5.8897641247485394E-2</v>
      </c>
      <c r="R215" s="43">
        <f>LN('2.ΤΙΜΕΣ ΚΛΕΙΣΙΜΑΤΟΣ'!R216/'2.ΤΙΜΕΣ ΚΛΕΙΣΙΜΑΤΟΣ'!R215)</f>
        <v>-1.6529301951210471E-2</v>
      </c>
      <c r="S215" s="43">
        <f>LN('2.ΤΙΜΕΣ ΚΛΕΙΣΙΜΑΤΟΣ'!S216/'2.ΤΙΜΕΣ ΚΛΕΙΣΙΜΑΤΟΣ'!S215)</f>
        <v>-6.7644000885421487E-3</v>
      </c>
      <c r="T215" s="43">
        <f>LN('2.ΤΙΜΕΣ ΚΛΕΙΣΙΜΑΤΟΣ'!T216/'2.ΤΙΜΕΣ ΚΛΕΙΣΙΜΑΤΟΣ'!T215)</f>
        <v>-2.8515170308021233E-2</v>
      </c>
      <c r="U215" s="43">
        <f>LN('2.ΤΙΜΕΣ ΚΛΕΙΣΙΜΑΤΟΣ'!U216/'2.ΤΙΜΕΣ ΚΛΕΙΣΙΜΑΤΟΣ'!U215)</f>
        <v>-8.38579337627407E-3</v>
      </c>
      <c r="V215" s="43">
        <f>LN('2.ΤΙΜΕΣ ΚΛΕΙΣΙΜΑΤΟΣ'!V216/'2.ΤΙΜΕΣ ΚΛΕΙΣΙΜΑΤΟΣ'!V215)</f>
        <v>-1.1560822401075971E-2</v>
      </c>
      <c r="W215" s="43">
        <f>LN('2.ΤΙΜΕΣ ΚΛΕΙΣΙΜΑΤΟΣ'!W216/'2.ΤΙΜΕΣ ΚΛΕΙΣΙΜΑΤΟΣ'!W215)</f>
        <v>1.8890762469554026E-2</v>
      </c>
      <c r="X215" s="43">
        <f>LN('2.ΤΙΜΕΣ ΚΛΕΙΣΙΜΑΤΟΣ'!X216/'2.ΤΙΜΕΣ ΚΛΕΙΣΙΜΑΤΟΣ'!X215)</f>
        <v>-1.3245226750020567E-2</v>
      </c>
      <c r="Y215" s="43">
        <f>LN('2.ΤΙΜΕΣ ΚΛΕΙΣΙΜΑΤΟΣ'!Y216/'2.ΤΙΜΕΣ ΚΛΕΙΣΙΜΑΤΟΣ'!Y215)</f>
        <v>-1.9210836265677808E-2</v>
      </c>
      <c r="Z215" s="43">
        <f>LN('2.ΤΙΜΕΣ ΚΛΕΙΣΙΜΑΤΟΣ'!Z216/'2.ΤΙΜΕΣ ΚΛΕΙΣΙΜΑΤΟΣ'!Z215)</f>
        <v>0</v>
      </c>
      <c r="AA215" s="43">
        <f>LN('2.ΤΙΜΕΣ ΚΛΕΙΣΙΜΑΤΟΣ'!AA216/'2.ΤΙΜΕΣ ΚΛΕΙΣΙΜΑΤΟΣ'!AA215)</f>
        <v>-2.4721891453890368E-3</v>
      </c>
      <c r="AB215" s="43">
        <f>LN('2.ΤΙΜΕΣ ΚΛΕΙΣΙΜΑΤΟΣ'!AB216/'2.ΤΙΜΕΣ ΚΛΕΙΣΙΜΑΤΟΣ'!AB215)</f>
        <v>-1.9114396023315328E-2</v>
      </c>
      <c r="AC215" s="43">
        <f>LN('2.ΤΙΜΕΣ ΚΛΕΙΣΙΜΑΤΟΣ'!AC216/'2.ΤΙΜΕΣ ΚΛΕΙΣΙΜΑΤΟΣ'!AC215)</f>
        <v>0</v>
      </c>
      <c r="AD215" s="43">
        <f>LN('2.ΤΙΜΕΣ ΚΛΕΙΣΙΜΑΤΟΣ'!AD216/'2.ΤΙΜΕΣ ΚΛΕΙΣΙΜΑΤΟΣ'!AD215)</f>
        <v>-1.388911216066715E-2</v>
      </c>
      <c r="AE215" s="43">
        <f>LN('2.ΤΙΜΕΣ ΚΛΕΙΣΙΜΑΤΟΣ'!AE216/'2.ΤΙΜΕΣ ΚΛΕΙΣΙΜΑΤΟΣ'!AE215)</f>
        <v>0</v>
      </c>
      <c r="AF215" s="43">
        <f>LN('2.ΤΙΜΕΣ ΚΛΕΙΣΙΜΑΤΟΣ'!AF216/'2.ΤΙΜΕΣ ΚΛΕΙΣΙΜΑΤΟΣ'!AF215)</f>
        <v>-2.7493140580198732E-2</v>
      </c>
      <c r="AG215" s="43">
        <f>LN('2.ΤΙΜΕΣ ΚΛΕΙΣΙΜΑΤΟΣ'!AG216/'2.ΤΙΜΕΣ ΚΛΕΙΣΙΜΑΤΟΣ'!AG215)</f>
        <v>-2.1564177915840525E-2</v>
      </c>
      <c r="AH215" s="43">
        <f>LN('2.ΤΙΜΕΣ ΚΛΕΙΣΙΜΑΤΟΣ'!AH216/'2.ΤΙΜΕΣ ΚΛΕΙΣΙΜΑΤΟΣ'!AH215)</f>
        <v>-2.2347298691996659E-2</v>
      </c>
      <c r="AI215" s="43">
        <f>LN('2.ΤΙΜΕΣ ΚΛΕΙΣΙΜΑΤΟΣ'!AI216/'2.ΤΙΜΕΣ ΚΛΕΙΣΙΜΑΤΟΣ'!AI215)</f>
        <v>-1.2578782206860073E-2</v>
      </c>
      <c r="AJ215" s="43">
        <f>LN('2.ΤΙΜΕΣ ΚΛΕΙΣΙΜΑΤΟΣ'!AJ216/'2.ΤΙΜΕΣ ΚΛΕΙΣΙΜΑΤΟΣ'!AJ215)</f>
        <v>-4.1753714104805105E-3</v>
      </c>
      <c r="AK215" s="43">
        <f>LN('2.ΤΙΜΕΣ ΚΛΕΙΣΙΜΑΤΟΣ'!AK216/'2.ΤΙΜΕΣ ΚΛΕΙΣΙΜΑΤΟΣ'!AK215)</f>
        <v>2.5284463533586906E-3</v>
      </c>
      <c r="AL215" s="43">
        <f>LN('2.ΤΙΜΕΣ ΚΛΕΙΣΙΜΑΤΟΣ'!AL216/'2.ΤΙΜΕΣ ΚΛΕΙΣΙΜΑΤΟΣ'!AL215)</f>
        <v>-1.8349138668196541E-2</v>
      </c>
      <c r="AM215" s="43">
        <f>LN('2.ΤΙΜΕΣ ΚΛΕΙΣΙΜΑΤΟΣ'!AM216/'2.ΤΙΜΕΣ ΚΛΕΙΣΙΜΑΤΟΣ'!AM215)</f>
        <v>5.3619431413853731E-3</v>
      </c>
      <c r="AN215" s="43">
        <f>LN('2.ΤΙΜΕΣ ΚΛΕΙΣΙΜΑΤΟΣ'!AN216/'2.ΤΙΜΕΣ ΚΛΕΙΣΙΜΑΤΟΣ'!AN215)</f>
        <v>-3.3673215106587953E-2</v>
      </c>
      <c r="AO215" s="43">
        <f>LN('2.ΤΙΜΕΣ ΚΛΕΙΣΙΜΑΤΟΣ'!AO216/'2.ΤΙΜΕΣ ΚΛΕΙΣΙΜΑΤΟΣ'!AO215)</f>
        <v>-8.4151969252845849E-3</v>
      </c>
      <c r="AP215" s="43">
        <f>LN('2.ΤΙΜΕΣ ΚΛΕΙΣΙΜΑΤΟΣ'!AP216/'2.ΤΙΜΕΣ ΚΛΕΙΣΙΜΑΤΟΣ'!AP215)</f>
        <v>0</v>
      </c>
      <c r="AQ215" s="43">
        <f>LN('2.ΤΙΜΕΣ ΚΛΕΙΣΙΜΑΤΟΣ'!AQ216/'2.ΤΙΜΕΣ ΚΛΕΙΣΙΜΑΤΟΣ'!AQ215)</f>
        <v>-3.3536076858919107E-2</v>
      </c>
      <c r="AR215" s="43">
        <f>LN('2.ΤΙΜΕΣ ΚΛΕΙΣΙΜΑΤΟΣ'!AR216/'2.ΤΙΜΕΣ ΚΛΕΙΣΙΜΑΤΟΣ'!AR215)</f>
        <v>-2.4441135159145578E-2</v>
      </c>
      <c r="AS215" s="43">
        <f>LN('2.ΤΙΜΕΣ ΚΛΕΙΣΙΜΑΤΟΣ'!AS216/'2.ΤΙΜΕΣ ΚΛΕΙΣΙΜΑΤΟΣ'!AS215)</f>
        <v>-5.9171770280885072E-3</v>
      </c>
      <c r="AT215" s="43">
        <f>LN('2.ΤΙΜΕΣ ΚΛΕΙΣΙΜΑΤΟΣ'!AT216/'2.ΤΙΜΕΣ ΚΛΕΙΣΙΜΑΤΟΣ'!AT215)</f>
        <v>-3.0098031157279527E-2</v>
      </c>
      <c r="AU215" s="43">
        <f>LN('2.ΤΙΜΕΣ ΚΛΕΙΣΙΜΑΤΟΣ'!AU216/'2.ΤΙΜΕΣ ΚΛΕΙΣΙΜΑΤΟΣ'!AU215)</f>
        <v>-1.1504416434066893E-2</v>
      </c>
    </row>
    <row r="216" spans="1:47">
      <c r="A216" s="41">
        <v>43871</v>
      </c>
      <c r="B216" s="43">
        <f>LN('2.ΤΙΜΕΣ ΚΛΕΙΣΙΜΑΤΟΣ'!B217/'2.ΤΙΜΕΣ ΚΛΕΙΣΙΜΑΤΟΣ'!B216)</f>
        <v>3.0339829098530524E-3</v>
      </c>
      <c r="C216" s="43">
        <f>LN('2.ΤΙΜΕΣ ΚΛΕΙΣΙΜΑΤΟΣ'!C217/'2.ΤΙΜΕΣ ΚΛΕΙΣΙΜΑΤΟΣ'!C216)</f>
        <v>-3.3466989490237457E-2</v>
      </c>
      <c r="D216" s="43">
        <f>LN('2.ΤΙΜΕΣ ΚΛΕΙΣΙΜΑΤΟΣ'!D217/'2.ΤΙΜΕΣ ΚΛΕΙΣΙΜΑΤΟΣ'!D216)</f>
        <v>-1.0462170406983296E-2</v>
      </c>
      <c r="E216" s="43">
        <f>LN('2.ΤΙΜΕΣ ΚΛΕΙΣΙΜΑΤΟΣ'!E217/'2.ΤΙΜΕΣ ΚΛΕΙΣΙΜΑΤΟΣ'!E216)</f>
        <v>6.9500413409722727E-3</v>
      </c>
      <c r="F216" s="43">
        <f>LN('2.ΤΙΜΕΣ ΚΛΕΙΣΙΜΑΤΟΣ'!F217/'2.ΤΙΜΕΣ ΚΛΕΙΣΙΜΑΤΟΣ'!F216)</f>
        <v>-1.5306421282675545E-2</v>
      </c>
      <c r="G216" s="43">
        <f>LN('2.ΤΙΜΕΣ ΚΛΕΙΣΙΜΑΤΟΣ'!G217/'2.ΤΙΜΕΣ ΚΛΕΙΣΙΜΑΤΟΣ'!G216)</f>
        <v>-1.6424879667400305E-2</v>
      </c>
      <c r="H216" s="43">
        <f>LN('2.ΤΙΜΕΣ ΚΛΕΙΣΙΜΑΤΟΣ'!H217/'2.ΤΙΜΕΣ ΚΛΕΙΣΙΜΑΤΟΣ'!H216)</f>
        <v>-2.1164811192043383E-2</v>
      </c>
      <c r="I216" s="43">
        <f>LN('2.ΤΙΜΕΣ ΚΛΕΙΣΙΜΑΤΟΣ'!I217/'2.ΤΙΜΕΣ ΚΛΕΙΣΙΜΑΤΟΣ'!I216)</f>
        <v>5.8462439548810077E-4</v>
      </c>
      <c r="J216" s="43">
        <f>LN('2.ΤΙΜΕΣ ΚΛΕΙΣΙΜΑΤΟΣ'!J217/'2.ΤΙΜΕΣ ΚΛΕΙΣΙΜΑΤΟΣ'!J216)</f>
        <v>-2.8129413766146126E-3</v>
      </c>
      <c r="K216" s="43">
        <f>LN('2.ΤΙΜΕΣ ΚΛΕΙΣΙΜΑΤΟΣ'!K217/'2.ΤΙΜΕΣ ΚΛΕΙΣΙΜΑΤΟΣ'!K216)</f>
        <v>0</v>
      </c>
      <c r="L216" s="43">
        <f>LN('2.ΤΙΜΕΣ ΚΛΕΙΣΙΜΑΤΟΣ'!L217/'2.ΤΙΜΕΣ ΚΛΕΙΣΙΜΑΤΟΣ'!L216)</f>
        <v>-1.081091610421573E-2</v>
      </c>
      <c r="M216" s="43">
        <f>LN('2.ΤΙΜΕΣ ΚΛΕΙΣΙΜΑΤΟΣ'!M217/'2.ΤΙΜΕΣ ΚΛΕΙΣΙΜΑΤΟΣ'!M216)</f>
        <v>-2.3836448154511299E-2</v>
      </c>
      <c r="N216" s="43">
        <f>LN('2.ΤΙΜΕΣ ΚΛΕΙΣΙΜΑΤΟΣ'!N217/'2.ΤΙΜΕΣ ΚΛΕΙΣΙΜΑΤΟΣ'!N216)</f>
        <v>9.4328913248874456E-3</v>
      </c>
      <c r="O216" s="43">
        <f>LN('2.ΤΙΜΕΣ ΚΛΕΙΣΙΜΑΤΟΣ'!O217/'2.ΤΙΜΕΣ ΚΛΕΙΣΙΜΑΤΟΣ'!O216)</f>
        <v>-1.0869672236903879E-2</v>
      </c>
      <c r="P216" s="43">
        <f>LN('2.ΤΙΜΕΣ ΚΛΕΙΣΙΜΑΤΟΣ'!P217/'2.ΤΙΜΕΣ ΚΛΕΙΣΙΜΑΤΟΣ'!P216)</f>
        <v>-9.6853057344636548E-3</v>
      </c>
      <c r="Q216" s="43">
        <f>LN('2.ΤΙΜΕΣ ΚΛΕΙΣΙΜΑΤΟΣ'!Q217/'2.ΤΙΜΕΣ ΚΛΕΙΣΙΜΑΤΟΣ'!Q216)</f>
        <v>-6.688988150796652E-3</v>
      </c>
      <c r="R216" s="43">
        <f>LN('2.ΤΙΜΕΣ ΚΛΕΙΣΙΜΑΤΟΣ'!R217/'2.ΤΙΜΕΣ ΚΛΕΙΣΙΜΑΤΟΣ'!R216)</f>
        <v>-2.4097551579060641E-2</v>
      </c>
      <c r="S216" s="43">
        <f>LN('2.ΤΙΜΕΣ ΚΛΕΙΣΙΜΑΤΟΣ'!S217/'2.ΤΙΜΕΣ ΚΛΕΙΣΙΜΑΤΟΣ'!S216)</f>
        <v>1.7937700686667252E-2</v>
      </c>
      <c r="T216" s="43">
        <f>LN('2.ΤΙΜΕΣ ΚΛΕΙΣΙΜΑΤΟΣ'!T217/'2.ΤΙΜΕΣ ΚΛΕΙΣΙΜΑΤΟΣ'!T216)</f>
        <v>4.1237171838621562E-3</v>
      </c>
      <c r="U216" s="43">
        <f>LN('2.ΤΙΜΕΣ ΚΛΕΙΣΙΜΑΤΟΣ'!U217/'2.ΤΙΜΕΣ ΚΛΕΙΣΙΜΑΤΟΣ'!U216)</f>
        <v>1.8770102681990468E-2</v>
      </c>
      <c r="V216" s="43">
        <f>LN('2.ΤΙΜΕΣ ΚΛΕΙΣΙΜΑΤΟΣ'!V217/'2.ΤΙΜΕΣ ΚΛΕΙΣΙΜΑΤΟΣ'!V216)</f>
        <v>-9.345862418237658E-3</v>
      </c>
      <c r="W216" s="43">
        <f>LN('2.ΤΙΜΕΣ ΚΛΕΙΣΙΜΑΤΟΣ'!W217/'2.ΤΙΜΕΣ ΚΛΕΙΣΙΜΑΤΟΣ'!W216)</f>
        <v>-1.6509808963812253E-2</v>
      </c>
      <c r="X216" s="43">
        <f>LN('2.ΤΙΜΕΣ ΚΛΕΙΣΙΜΑΤΟΣ'!X217/'2.ΤΙΜΕΣ ΚΛΕΙΣΙΜΑΤΟΣ'!X216)</f>
        <v>1.1049836186584935E-2</v>
      </c>
      <c r="Y216" s="43">
        <f>LN('2.ΤΙΜΕΣ ΚΛΕΙΣΙΜΑΤΟΣ'!Y217/'2.ΤΙΜΕΣ ΚΛΕΙΣΙΜΑΤΟΣ'!Y216)</f>
        <v>-1.7391742711869222E-2</v>
      </c>
      <c r="Z216" s="43">
        <f>LN('2.ΤΙΜΕΣ ΚΛΕΙΣΙΜΑΤΟΣ'!Z217/'2.ΤΙΜΕΣ ΚΛΕΙΣΙΜΑΤΟΣ'!Z216)</f>
        <v>0</v>
      </c>
      <c r="AA216" s="43">
        <f>LN('2.ΤΙΜΕΣ ΚΛΕΙΣΙΜΑΤΟΣ'!AA217/'2.ΤΙΜΕΣ ΚΛΕΙΣΙΜΑΤΟΣ'!AA216)</f>
        <v>4.9382816405825767E-3</v>
      </c>
      <c r="AB216" s="43">
        <f>LN('2.ΤΙΜΕΣ ΚΛΕΙΣΙΜΑΤΟΣ'!AB217/'2.ΤΙΜΕΣ ΚΛΕΙΣΙΜΑΤΟΣ'!AB216)</f>
        <v>-1.7559267022649199E-3</v>
      </c>
      <c r="AC216" s="43">
        <f>LN('2.ΤΙΜΕΣ ΚΛΕΙΣΙΜΑΤΟΣ'!AC217/'2.ΤΙΜΕΣ ΚΛΕΙΣΙΜΑΤΟΣ'!AC216)</f>
        <v>0</v>
      </c>
      <c r="AD216" s="43">
        <f>LN('2.ΤΙΜΕΣ ΚΛΕΙΣΙΜΑΤΟΣ'!AD217/'2.ΤΙΜΕΣ ΚΛΕΙΣΙΜΑΤΟΣ'!AD216)</f>
        <v>-1.9774655659417543E-2</v>
      </c>
      <c r="AE216" s="43">
        <f>LN('2.ΤΙΜΕΣ ΚΛΕΙΣΙΜΑΤΟΣ'!AE217/'2.ΤΙΜΕΣ ΚΛΕΙΣΙΜΑΤΟΣ'!AE216)</f>
        <v>2.5317807984289786E-2</v>
      </c>
      <c r="AF216" s="43">
        <f>LN('2.ΤΙΜΕΣ ΚΛΕΙΣΙΜΑΤΟΣ'!AF217/'2.ΤΙΜΕΣ ΚΛΕΙΣΙΜΑΤΟΣ'!AF216)</f>
        <v>0</v>
      </c>
      <c r="AG216" s="43">
        <f>LN('2.ΤΙΜΕΣ ΚΛΕΙΣΙΜΑΤΟΣ'!AG217/'2.ΤΙΜΕΣ ΚΛΕΙΣΙΜΑΤΟΣ'!AG216)</f>
        <v>-1.9257816604414647E-2</v>
      </c>
      <c r="AH216" s="43">
        <f>LN('2.ΤΙΜΕΣ ΚΛΕΙΣΙΜΑΤΟΣ'!AH217/'2.ΤΙΜΕΣ ΚΛΕΙΣΙΜΑΤΟΣ'!AH216)</f>
        <v>-1.5180557177015979E-2</v>
      </c>
      <c r="AI216" s="43">
        <f>LN('2.ΤΙΜΕΣ ΚΛΕΙΣΙΜΑΤΟΣ'!AI217/'2.ΤΙΜΕΣ ΚΛΕΙΣΙΜΑΤΟΣ'!AI216)</f>
        <v>-2.564243061333767E-2</v>
      </c>
      <c r="AJ216" s="43">
        <f>LN('2.ΤΙΜΕΣ ΚΛΕΙΣΙΜΑΤΟΣ'!AJ217/'2.ΤΙΜΕΣ ΚΛΕΙΣΙΜΑΤΟΣ'!AJ216)</f>
        <v>0</v>
      </c>
      <c r="AK216" s="43">
        <f>LN('2.ΤΙΜΕΣ ΚΛΕΙΣΙΜΑΤΟΣ'!AK217/'2.ΤΙΜΕΣ ΚΛΕΙΣΙΜΑΤΟΣ'!AK216)</f>
        <v>0</v>
      </c>
      <c r="AL216" s="43">
        <f>LN('2.ΤΙΜΕΣ ΚΛΕΙΣΙΜΑΤΟΣ'!AL217/'2.ΤΙΜΕΣ ΚΛΕΙΣΙΜΑΤΟΣ'!AL216)</f>
        <v>1.8349138668196617E-2</v>
      </c>
      <c r="AM216" s="43">
        <f>LN('2.ΤΙΜΕΣ ΚΛΕΙΣΙΜΑΤΟΣ'!AM217/'2.ΤΙΜΕΣ ΚΛΕΙΣΙΜΑΤΟΣ'!AM216)</f>
        <v>-5.3619431413853991E-3</v>
      </c>
      <c r="AN216" s="43">
        <f>LN('2.ΤΙΜΕΣ ΚΛΕΙΣΙΜΑΤΟΣ'!AN217/'2.ΤΙΜΕΣ ΚΛΕΙΣΙΜΑΤΟΣ'!AN216)</f>
        <v>0</v>
      </c>
      <c r="AO216" s="43">
        <f>LN('2.ΤΙΜΕΣ ΚΛΕΙΣΙΜΑΤΟΣ'!AO217/'2.ΤΙΜΕΣ ΚΛΕΙΣΙΜΑΤΟΣ'!AO216)</f>
        <v>1.398624197473987E-2</v>
      </c>
      <c r="AP216" s="43">
        <f>LN('2.ΤΙΜΕΣ ΚΛΕΙΣΙΜΑΤΟΣ'!AP217/'2.ΤΙΜΕΣ ΚΛΕΙΣΙΜΑΤΟΣ'!AP216)</f>
        <v>1.8018505502678212E-2</v>
      </c>
      <c r="AQ216" s="43">
        <f>LN('2.ΤΙΜΕΣ ΚΛΕΙΣΙΜΑΤΟΣ'!AQ217/'2.ΤΙΜΕΣ ΚΛΕΙΣΙΜΑΤΟΣ'!AQ216)</f>
        <v>-1.2255055337015158E-2</v>
      </c>
      <c r="AR216" s="43">
        <f>LN('2.ΤΙΜΕΣ ΚΛΕΙΣΙΜΑΤΟΣ'!AR217/'2.ΤΙΜΕΣ ΚΛΕΙΣΙΜΑΤΟΣ'!AR216)</f>
        <v>1.8386626250439245E-2</v>
      </c>
      <c r="AS216" s="43">
        <f>LN('2.ΤΙΜΕΣ ΚΛΕΙΣΙΜΑΤΟΣ'!AS217/'2.ΤΙΜΕΣ ΚΛΕΙΣΙΜΑΤΟΣ'!AS216)</f>
        <v>-1.4947961435873252E-2</v>
      </c>
      <c r="AT216" s="43">
        <f>LN('2.ΤΙΜΕΣ ΚΛΕΙΣΙΜΑΤΟΣ'!AT217/'2.ΤΙΜΕΣ ΚΛΕΙΣΙΜΑΤΟΣ'!AT216)</f>
        <v>3.278982282299097E-2</v>
      </c>
      <c r="AU216" s="43">
        <f>LN('2.ΤΙΜΕΣ ΚΛΕΙΣΙΜΑΤΟΣ'!AU217/'2.ΤΙΜΕΣ ΚΛΕΙΣΙΜΑΤΟΣ'!AU216)</f>
        <v>-8.7436950665144564E-3</v>
      </c>
    </row>
    <row r="217" spans="1:47">
      <c r="A217" s="41">
        <v>43872</v>
      </c>
      <c r="B217" s="43">
        <f>LN('2.ΤΙΜΕΣ ΚΛΕΙΣΙΜΑΤΟΣ'!B218/'2.ΤΙΜΕΣ ΚΛΕΙΣΙΜΑΤΟΣ'!B217)</f>
        <v>6.9434241221460061E-3</v>
      </c>
      <c r="C217" s="43">
        <f>LN('2.ΤΙΜΕΣ ΚΛΕΙΣΙΜΑΤΟΣ'!C218/'2.ΤΙΜΕΣ ΚΛΕΙΣΙΜΑΤΟΣ'!C217)</f>
        <v>4.3352669055394125E-3</v>
      </c>
      <c r="D217" s="43">
        <f>LN('2.ΤΙΜΕΣ ΚΛΕΙΣΙΜΑΤΟΣ'!D218/'2.ΤΙΜΕΣ ΚΛΕΙΣΙΜΑΤΟΣ'!D217)</f>
        <v>4.3725474126093357E-3</v>
      </c>
      <c r="E217" s="43">
        <f>LN('2.ΤΙΜΕΣ ΚΛΕΙΣΙΜΑΤΟΣ'!E218/'2.ΤΙΜΕΣ ΚΛΕΙΣΙΜΑΤΟΣ'!E217)</f>
        <v>1.3756830709640783E-2</v>
      </c>
      <c r="F217" s="43">
        <f>LN('2.ΤΙΜΕΣ ΚΛΕΙΣΙΜΑΤΟΣ'!F218/'2.ΤΙΜΕΣ ΚΛΕΙΣΙΜΑΤΟΣ'!F217)</f>
        <v>6.4061718124115074E-3</v>
      </c>
      <c r="G217" s="43">
        <f>LN('2.ΤΙΜΕΣ ΚΛΕΙΣΙΜΑΤΟΣ'!G218/'2.ΤΙΜΕΣ ΚΛΕΙΣΙΜΑΤΟΣ'!G217)</f>
        <v>1.2658396871923465E-2</v>
      </c>
      <c r="H217" s="43">
        <f>LN('2.ΤΙΜΕΣ ΚΛΕΙΣΙΜΑΤΟΣ'!H218/'2.ΤΙΜΕΣ ΚΛΕΙΣΙΜΑΤΟΣ'!H217)</f>
        <v>1.7493157447517338E-2</v>
      </c>
      <c r="I217" s="43">
        <f>LN('2.ΤΙΜΕΣ ΚΛΕΙΣΙΜΑΤΟΣ'!I218/'2.ΤΙΜΕΣ ΚΛΕΙΣΙΜΑΤΟΣ'!I217)</f>
        <v>5.459001670003498E-2</v>
      </c>
      <c r="J217" s="43">
        <f>LN('2.ΤΙΜΕΣ ΚΛΕΙΣΙΜΑΤΟΣ'!J218/'2.ΤΙΜΕΣ ΚΛΕΙΣΙΜΑΤΟΣ'!J217)</f>
        <v>2.7779564107075671E-2</v>
      </c>
      <c r="K217" s="43">
        <f>LN('2.ΤΙΜΕΣ ΚΛΕΙΣΙΜΑΤΟΣ'!K218/'2.ΤΙΜΕΣ ΚΛΕΙΣΙΜΑΤΟΣ'!K217)</f>
        <v>-3.7570488777122881E-3</v>
      </c>
      <c r="L217" s="43">
        <f>LN('2.ΤΙΜΕΣ ΚΛΕΙΣΙΜΑΤΟΣ'!L218/'2.ΤΙΜΕΣ ΚΛΕΙΣΙΜΑΤΟΣ'!L217)</f>
        <v>3.2088314551500664E-2</v>
      </c>
      <c r="M217" s="43">
        <f>LN('2.ΤΙΜΕΣ ΚΛΕΙΣΙΜΑΤΟΣ'!M218/'2.ΤΙΜΕΣ ΚΛΕΙΣΙΜΑΤΟΣ'!M217)</f>
        <v>-3.2948958968525379E-3</v>
      </c>
      <c r="N217" s="43">
        <f>LN('2.ΤΙΜΕΣ ΚΛΕΙΣΙΜΑΤΟΣ'!N218/'2.ΤΙΜΕΣ ΚΛΕΙΣΙΜΑΤΟΣ'!N217)</f>
        <v>1.1726830569059137E-2</v>
      </c>
      <c r="O217" s="43">
        <f>LN('2.ΤΙΜΕΣ ΚΛΕΙΣΙΜΑΤΟΣ'!O218/'2.ΤΙΜΕΣ ΚΛΕΙΣΙΜΑΤΟΣ'!O217)</f>
        <v>1.2220111334775397E-2</v>
      </c>
      <c r="P217" s="43">
        <f>LN('2.ΤΙΜΕΣ ΚΛΕΙΣΙΜΑΤΟΣ'!P218/'2.ΤΙΜΕΣ ΚΛΕΙΣΙΜΑΤΟΣ'!P217)</f>
        <v>9.6853057344636791E-3</v>
      </c>
      <c r="Q217" s="43">
        <f>LN('2.ΤΙΜΕΣ ΚΛΕΙΣΙΜΑΤΟΣ'!Q218/'2.ΤΙΜΕΣ ΚΛΕΙΣΙΜΑΤΟΣ'!Q217)</f>
        <v>5.2299499402849052E-2</v>
      </c>
      <c r="R217" s="43">
        <f>LN('2.ΤΙΜΕΣ ΚΛΕΙΣΙΜΑΤΟΣ'!R218/'2.ΤΙΜΕΣ ΚΛΕΙΣΙΜΑΤΟΣ'!R217)</f>
        <v>9.7088141269609032E-3</v>
      </c>
      <c r="S217" s="43">
        <f>LN('2.ΤΙΜΕΣ ΚΛΕΙΣΙΜΑΤΟΣ'!S218/'2.ΤΙΜΕΣ ΚΛΕΙΣΙΜΑΤΟΣ'!S217)</f>
        <v>4.4345970678655536E-3</v>
      </c>
      <c r="T217" s="43">
        <f>LN('2.ΤΙΜΕΣ ΚΛΕΙΣΙΜΑΤΟΣ'!T218/'2.ΤΙΜΕΣ ΚΛΕΙΣΙΜΑΤΟΣ'!T217)</f>
        <v>1.0914160180678553E-2</v>
      </c>
      <c r="U217" s="43">
        <f>LN('2.ΤΙΜΕΣ ΚΛΕΙΣΙΜΑΤΟΣ'!U218/'2.ΤΙΜΕΣ ΚΛΕΙΣΙΜΑΤΟΣ'!U217)</f>
        <v>1.2320484388040657E-2</v>
      </c>
      <c r="V217" s="43">
        <f>LN('2.ΤΙΜΕΣ ΚΛΕΙΣΙΜΑΤΟΣ'!V218/'2.ΤΙΜΕΣ ΚΛΕΙΣΙΜΑΤΟΣ'!V217)</f>
        <v>9.345862418237599E-3</v>
      </c>
      <c r="W217" s="43">
        <f>LN('2.ΤΙΜΕΣ ΚΛΕΙΣΙΜΑΤΟΣ'!W218/'2.ΤΙΜΕΣ ΚΛΕΙΣΙΜΑΤΟΣ'!W217)</f>
        <v>1.0644689511414007E-2</v>
      </c>
      <c r="X217" s="43">
        <f>LN('2.ΤΙΜΕΣ ΚΛΕΙΣΙΜΑΤΟΣ'!X218/'2.ΤΙΜΕΣ ΚΛΕΙΣΙΜΑΤΟΣ'!X217)</f>
        <v>3.0305349495329058E-2</v>
      </c>
      <c r="Y217" s="43">
        <f>LN('2.ΤΙΜΕΣ ΚΛΕΙΣΙΜΑΤΟΣ'!Y218/'2.ΤΙΜΕΣ ΚΛΕΙΣΙΜΑΤΟΣ'!Y217)</f>
        <v>2.0619287202735825E-2</v>
      </c>
      <c r="Z217" s="43">
        <f>LN('2.ΤΙΜΕΣ ΚΛΕΙΣΙΜΑΤΟΣ'!Z218/'2.ΤΙΜΕΣ ΚΛΕΙΣΙΜΑΤΟΣ'!Z217)</f>
        <v>1.077209698191104E-2</v>
      </c>
      <c r="AA217" s="43">
        <f>LN('2.ΤΙΜΕΣ ΚΛΕΙΣΙΜΑΤΟΣ'!AA218/'2.ΤΙΜΕΣ ΚΛΕΙΣΙΜΑΤΟΣ'!AA217)</f>
        <v>-2.4660924951934427E-3</v>
      </c>
      <c r="AB217" s="43">
        <f>LN('2.ΤΙΜΕΣ ΚΛΕΙΣΙΜΑΤΟΣ'!AB218/'2.ΤΙΜΕΣ ΚΛΕΙΣΙΜΑΤΟΣ'!AB217)</f>
        <v>1.3961832381768541E-2</v>
      </c>
      <c r="AC217" s="43">
        <f>LN('2.ΤΙΜΕΣ ΚΛΕΙΣΙΜΑΤΟΣ'!AC218/'2.ΤΙΜΕΣ ΚΛΕΙΣΙΜΑΤΟΣ'!AC217)</f>
        <v>-2.7397277411203274E-3</v>
      </c>
      <c r="AD217" s="43">
        <f>LN('2.ΤΙΜΕΣ ΚΛΕΙΣΙΜΑΤΟΣ'!AD218/'2.ΤΙΜΕΣ ΚΛΕΙΣΙΜΑΤΟΣ'!AD217)</f>
        <v>2.2567953565030281E-2</v>
      </c>
      <c r="AE217" s="43">
        <f>LN('2.ΤΙΜΕΣ ΚΛΕΙΣΙΜΑΤΟΣ'!AE218/'2.ΤΙΜΕΣ ΚΛΕΙΣΙΜΑΤΟΣ'!AE217)</f>
        <v>1.4184634991956381E-2</v>
      </c>
      <c r="AF217" s="43">
        <f>LN('2.ΤΙΜΕΣ ΚΛΕΙΣΙΜΑΤΟΣ'!AF218/'2.ΤΙΜΕΣ ΚΛΕΙΣΙΜΑΤΟΣ'!AF217)</f>
        <v>1.8412487944452306E-2</v>
      </c>
      <c r="AG217" s="43">
        <f>LN('2.ΤΙΜΕΣ ΚΛΕΙΣΙΜΑΤΟΣ'!AG218/'2.ΤΙΜΕΣ ΚΛΕΙΣΙΜΑΤΟΣ'!AG217)</f>
        <v>2.4692612590371633E-2</v>
      </c>
      <c r="AH217" s="43">
        <f>LN('2.ΤΙΜΕΣ ΚΛΕΙΣΙΜΑΤΟΣ'!AH218/'2.ΤΙΜΕΣ ΚΛΕΙΣΙΜΑΤΟΣ'!AH217)</f>
        <v>1.329554248124472E-2</v>
      </c>
      <c r="AI217" s="43">
        <f>LN('2.ΤΙΜΕΣ ΚΛΕΙΣΙΜΑΤΟΣ'!AI218/'2.ΤΙΜΕΣ ΚΛΕΙΣΙΜΑΤΟΣ'!AI217)</f>
        <v>4.4451762570833796E-2</v>
      </c>
      <c r="AJ217" s="43">
        <f>LN('2.ΤΙΜΕΣ ΚΛΕΙΣΙΜΑΤΟΣ'!AJ218/'2.ΤΙΜΕΣ ΚΛΕΙΣΙΜΑΤΟΣ'!AJ217)</f>
        <v>-4.1928782600360393E-3</v>
      </c>
      <c r="AK217" s="43">
        <f>LN('2.ΤΙΜΕΣ ΚΛΕΙΣΙΜΑΤΟΣ'!AK218/'2.ΤΙΜΕΣ ΚΛΕΙΣΙΜΑΤΟΣ'!AK217)</f>
        <v>1.0050335853501506E-2</v>
      </c>
      <c r="AL217" s="43">
        <f>LN('2.ΤΙΜΕΣ ΚΛΕΙΣΙΜΑΤΟΣ'!AL218/'2.ΤΙΜΕΣ ΚΛΕΙΣΙΜΑΤΟΣ'!AL217)</f>
        <v>0.13580154115906182</v>
      </c>
      <c r="AM217" s="43">
        <f>LN('2.ΤΙΜΕΣ ΚΛΕΙΣΙΜΑΤΟΣ'!AM218/'2.ΤΙΜΕΣ ΚΛΕΙΣΙΜΑΤΟΣ'!AM217)</f>
        <v>0</v>
      </c>
      <c r="AN217" s="43">
        <f>LN('2.ΤΙΜΕΣ ΚΛΕΙΣΙΜΑΤΟΣ'!AN218/'2.ΤΙΜΕΣ ΚΛΕΙΣΙΜΑΤΟΣ'!AN217)</f>
        <v>-6.8728792877620643E-3</v>
      </c>
      <c r="AO217" s="43">
        <f>LN('2.ΤΙΜΕΣ ΚΛΕΙΣΙΜΑΤΟΣ'!AO218/'2.ΤΙΜΕΣ ΚΛΕΙΣΙΜΑΤΟΣ'!AO217)</f>
        <v>-2.5317807984290012E-2</v>
      </c>
      <c r="AP217" s="43">
        <f>LN('2.ΤΙΜΕΣ ΚΛΕΙΣΙΜΑΤΟΣ'!AP218/'2.ΤΙΜΕΣ ΚΛΕΙΣΙΜΑΤΟΣ'!AP217)</f>
        <v>1.5190165493975238E-2</v>
      </c>
      <c r="AQ217" s="43">
        <f>LN('2.ΤΙΜΕΣ ΚΛΕΙΣΙΜΑΤΟΣ'!AQ218/'2.ΤΙΜΕΣ ΚΛΕΙΣΙΜΑΤΟΣ'!AQ217)</f>
        <v>2.6765588051429583E-2</v>
      </c>
      <c r="AR217" s="43">
        <f>LN('2.ΤΙΜΕΣ ΚΛΕΙΣΙΜΑΤΟΣ'!AR218/'2.ΤΙΜΕΣ ΚΛΕΙΣΙΜΑΤΟΣ'!AR217)</f>
        <v>1.4569461432856477E-2</v>
      </c>
      <c r="AS217" s="43">
        <f>LN('2.ΤΙΜΕΣ ΚΛΕΙΣΙΜΑΤΟΣ'!AS218/'2.ΤΙΜΕΣ ΚΛΕΙΣΙΜΑΤΟΣ'!AS217)</f>
        <v>0</v>
      </c>
      <c r="AT217" s="43">
        <f>LN('2.ΤΙΜΕΣ ΚΛΕΙΣΙΜΑΤΟΣ'!AT218/'2.ΤΙΜΕΣ ΚΛΕΙΣΙΜΑΤΟΣ'!AT217)</f>
        <v>-5.3908486348764233E-3</v>
      </c>
      <c r="AU217" s="43">
        <f>LN('2.ΤΙΜΕΣ ΚΛΕΙΣΙΜΑΤΟΣ'!AU218/'2.ΤΙΜΕΣ ΚΛΕΙΣΙΜΑΤΟΣ'!AU217)</f>
        <v>1.5407067479000164E-2</v>
      </c>
    </row>
    <row r="218" spans="1:47">
      <c r="A218" s="41">
        <v>43873</v>
      </c>
      <c r="B218" s="43">
        <f>LN('2.ΤΙΜΕΣ ΚΛΕΙΣΙΜΑΤΟΣ'!B219/'2.ΤΙΜΕΣ ΚΛΕΙΣΙΜΑΤΟΣ'!B218)</f>
        <v>-9.0293459859225344E-4</v>
      </c>
      <c r="C218" s="43">
        <f>LN('2.ΤΙΜΕΣ ΚΛΕΙΣΙΜΑΤΟΣ'!C219/'2.ΤΙΜΕΣ ΚΛΕΙΣΙΜΑΤΟΣ'!C218)</f>
        <v>-1.1602740752517085E-2</v>
      </c>
      <c r="D218" s="43">
        <f>LN('2.ΤΙΜΕΣ ΚΛΕΙΣΙΜΑΤΟΣ'!D219/'2.ΤΙΜΕΣ ΚΛΕΙΣΙΜΑΤΟΣ'!D218)</f>
        <v>3.7675688830890057E-2</v>
      </c>
      <c r="E218" s="43">
        <f>LN('2.ΤΙΜΕΣ ΚΛΕΙΣΙΜΑΤΟΣ'!E219/'2.ΤΙΜΕΣ ΚΛΕΙΣΙΜΑΤΟΣ'!E218)</f>
        <v>-2.8245949223779081E-2</v>
      </c>
      <c r="F218" s="43">
        <f>LN('2.ΤΙΜΕΣ ΚΛΕΙΣΙΜΑΤΟΣ'!F219/'2.ΤΙΜΕΣ ΚΛΕΙΣΙΜΑΤΟΣ'!F218)</f>
        <v>6.3653938670759306E-3</v>
      </c>
      <c r="G218" s="43">
        <f>LN('2.ΤΙΜΕΣ ΚΛΕΙΣΙΜΑΤΟΣ'!G219/'2.ΤΙΜΕΣ ΚΛΕΙΣΙΜΑΤΟΣ'!G218)</f>
        <v>6.269613013595395E-3</v>
      </c>
      <c r="H218" s="43">
        <f>LN('2.ΤΙΜΕΣ ΚΛΕΙΣΙΜΑΤΟΣ'!H219/'2.ΤΙΜΕΣ ΚΛΕΙΣΙΜΑΤΟΣ'!H218)</f>
        <v>-1.749315744751723E-2</v>
      </c>
      <c r="I218" s="43">
        <f>LN('2.ΤΙΜΕΣ ΚΛΕΙΣΙΜΑΤΟΣ'!I219/'2.ΤΙΜΕΣ ΚΛΕΙΣΙΜΑΤΟΣ'!I218)</f>
        <v>2.5677455533572063E-2</v>
      </c>
      <c r="J218" s="43">
        <f>LN('2.ΤΙΜΕΣ ΚΛΕΙΣΙΜΑΤΟΣ'!J219/'2.ΤΙΜΕΣ ΚΛΕΙΣΙΜΑΤΟΣ'!J218)</f>
        <v>9.2040874753672938E-3</v>
      </c>
      <c r="K218" s="43">
        <f>LN('2.ΤΙΜΕΣ ΚΛΕΙΣΙΜΑΤΟΣ'!K219/'2.ΤΙΜΕΣ ΚΛΕΙΣΙΜΑΤΟΣ'!K218)</f>
        <v>0</v>
      </c>
      <c r="L218" s="43">
        <f>LN('2.ΤΙΜΕΣ ΚΛΕΙΣΙΜΑΤΟΣ'!L219/'2.ΤΙΜΕΣ ΚΛΕΙΣΙΜΑΤΟΣ'!L218)</f>
        <v>-1.0582109330536859E-2</v>
      </c>
      <c r="M218" s="43">
        <f>LN('2.ΤΙΜΕΣ ΚΛΕΙΣΙΜΑΤΟΣ'!M219/'2.ΤΙΜΕΣ ΚΛΕΙΣΙΜΑΤΟΣ'!M218)</f>
        <v>-6.6225407604934942E-3</v>
      </c>
      <c r="N218" s="43">
        <f>LN('2.ΤΙΜΕΣ ΚΛΕΙΣΙΜΑΤΟΣ'!N219/'2.ΤΙΜΕΣ ΚΛΕΙΣΙΜΑΤΟΣ'!N218)</f>
        <v>-6.923747367970602E-3</v>
      </c>
      <c r="O218" s="43">
        <f>LN('2.ΤΙΜΕΣ ΚΛΕΙΣΙΜΑΤΟΣ'!O219/'2.ΤΙΜΕΣ ΚΛΕΙΣΙΜΑΤΟΣ'!O218)</f>
        <v>1.4735698653752965E-2</v>
      </c>
      <c r="P218" s="43">
        <f>LN('2.ΤΙΜΕΣ ΚΛΕΙΣΙΜΑΤΟΣ'!P219/'2.ΤΙΜΕΣ ΚΛΕΙΣΙΜΑΤΟΣ'!P218)</f>
        <v>-1.9465334788103351E-2</v>
      </c>
      <c r="Q218" s="43">
        <f>LN('2.ΤΙΜΕΣ ΚΛΕΙΣΙΜΑΤΟΣ'!Q219/'2.ΤΙΜΕΣ ΚΛΕΙΣΙΜΑΤΟΣ'!Q218)</f>
        <v>1.2658396871923465E-2</v>
      </c>
      <c r="R218" s="43">
        <f>LN('2.ΤΙΜΕΣ ΚΛΕΙΣΙΜΑΤΟΣ'!R219/'2.ΤΙΜΕΣ ΚΛΕΙΣΙΜΑΤΟΣ'!R218)</f>
        <v>1.2482159181518123E-2</v>
      </c>
      <c r="S218" s="43">
        <f>LN('2.ΤΙΜΕΣ ΚΛΕΙΣΙΜΑΤΟΣ'!S219/'2.ΤΙΜΕΣ ΚΛΕΙΣΙΜΑΤΟΣ'!S218)</f>
        <v>-1.1068069751911064E-3</v>
      </c>
      <c r="T218" s="43">
        <f>LN('2.ΤΙΜΕΣ ΚΛΕΙΣΙΜΑΤΟΣ'!T219/'2.ΤΙΜΕΣ ΚΛΕΙΣΙΜΑΤΟΣ'!T218)</f>
        <v>-1.3577734604603596E-3</v>
      </c>
      <c r="U218" s="43">
        <f>LN('2.ΤΙΜΕΣ ΚΛΕΙΣΙΜΑΤΟΣ'!U219/'2.ΤΙΜΕΣ ΚΛΕΙΣΙΜΑΤΟΣ'!U218)</f>
        <v>3.6076056473809591E-2</v>
      </c>
      <c r="V218" s="43">
        <f>LN('2.ΤΙΜΕΣ ΚΛΕΙΣΙΜΑΤΟΣ'!V219/'2.ΤΙΜΕΣ ΚΛΕΙΣΙΜΑΤΟΣ'!V218)</f>
        <v>-4.662013105811413E-3</v>
      </c>
      <c r="W218" s="43">
        <f>LN('2.ΤΙΜΕΣ ΚΛΕΙΣΙΜΑΤΟΣ'!W219/'2.ΤΙΜΕΣ ΚΛΕΙΣΙΜΑΤΟΣ'!W218)</f>
        <v>0</v>
      </c>
      <c r="X218" s="43">
        <f>LN('2.ΤΙΜΕΣ ΚΛΕΙΣΙΜΑΤΟΣ'!X219/'2.ΤΙΜΕΣ ΚΛΕΙΣΙΜΑΤΟΣ'!X218)</f>
        <v>3.3546122491203589E-2</v>
      </c>
      <c r="Y218" s="43">
        <f>LN('2.ΤΙΜΕΣ ΚΛΕΙΣΙΜΑΤΟΣ'!Y219/'2.ΤΙΜΕΣ ΚΛΕΙΣΙΜΑΤΟΣ'!Y218)</f>
        <v>-5.3850426308877106E-3</v>
      </c>
      <c r="Z218" s="43">
        <f>LN('2.ΤΙΜΕΣ ΚΛΕΙΣΙΜΑΤΟΣ'!Z219/'2.ΤΙΜΕΣ ΚΛΕΙΣΙΜΑΤΟΣ'!Z218)</f>
        <v>-7.168489478612516E-3</v>
      </c>
      <c r="AA218" s="43">
        <f>LN('2.ΤΙΜΕΣ ΚΛΕΙΣΙΜΑΤΟΣ'!AA219/'2.ΤΙΜΕΣ ΚΛΕΙΣΙΜΑΤΟΣ'!AA218)</f>
        <v>2.4660924951934683E-3</v>
      </c>
      <c r="AB218" s="43">
        <f>LN('2.ΤΙΜΕΣ ΚΛΕΙΣΙΜΑΤΟΣ'!AB219/'2.ΤΙΜΕΣ ΚΛΕΙΣΙΜΑΤΟΣ'!AB218)</f>
        <v>1.2058716320127614E-2</v>
      </c>
      <c r="AC218" s="43">
        <f>LN('2.ΤΙΜΕΣ ΚΛΕΙΣΙΜΑΤΟΣ'!AC219/'2.ΤΙΜΕΣ ΚΛΕΙΣΙΜΑΤΟΣ'!AC218)</f>
        <v>-4.1237171838620409E-3</v>
      </c>
      <c r="AD218" s="43">
        <f>LN('2.ΤΙΜΕΣ ΚΛΕΙΣΙΜΑΤΟΣ'!AD219/'2.ΤΙΜΕΣ ΚΛΕΙΣΙΜΑΤΟΣ'!AD218)</f>
        <v>-1.404517470304764E-2</v>
      </c>
      <c r="AE218" s="43">
        <f>LN('2.ΤΙΜΕΣ ΚΛΕΙΣΙΜΑΤΟΣ'!AE219/'2.ΤΙΜΕΣ ΚΛΕΙΣΙΜΑΤΟΣ'!AE218)</f>
        <v>-2.1353124470568946E-2</v>
      </c>
      <c r="AF218" s="43">
        <f>LN('2.ΤΙΜΕΣ ΚΛΕΙΣΙΜΑΤΟΣ'!AF219/'2.ΤΙΜΕΣ ΚΛΕΙΣΙΜΑΤΟΣ'!AF218)</f>
        <v>3.4149151000692026E-3</v>
      </c>
      <c r="AG218" s="43">
        <f>LN('2.ΤΙΜΕΣ ΚΛΕΙΣΙΜΑΤΟΣ'!AG219/'2.ΤΙΜΕΣ ΚΛΕΙΣΙΜΑΤΟΣ'!AG218)</f>
        <v>2.7063615977428457E-3</v>
      </c>
      <c r="AH218" s="43">
        <f>LN('2.ΤΙΜΕΣ ΚΛΕΙΣΙΜΑΤΟΣ'!AH219/'2.ΤΙΜΕΣ ΚΛΕΙΣΙΜΑΤΟΣ'!AH218)</f>
        <v>-1.1385322225125352E-2</v>
      </c>
      <c r="AI218" s="43">
        <f>LN('2.ΤΙΜΕΣ ΚΛΕΙΣΙΜΑΤΟΣ'!AI219/'2.ΤΙΜΕΣ ΚΛΕΙΣΙΜΑΤΟΣ'!AI218)</f>
        <v>0</v>
      </c>
      <c r="AJ218" s="43">
        <f>LN('2.ΤΙΜΕΣ ΚΛΕΙΣΙΜΑΤΟΣ'!AJ219/'2.ΤΙΜΕΣ ΚΛΕΙΣΙΜΑΤΟΣ'!AJ218)</f>
        <v>4.1928782600361781E-3</v>
      </c>
      <c r="AK218" s="43">
        <f>LN('2.ΤΙΜΕΣ ΚΛΕΙΣΙΜΑΤΟΣ'!AK219/'2.ΤΙΜΕΣ ΚΛΕΙΣΙΜΑΤΟΣ'!AK218)</f>
        <v>-7.5282664207915245E-3</v>
      </c>
      <c r="AL218" s="43">
        <f>LN('2.ΤΙΜΕΣ ΚΛΕΙΣΙΜΑΤΟΣ'!AL219/'2.ΤΙΜΕΣ ΚΛΕΙΣΙΜΑΤΟΣ'!AL218)</f>
        <v>-1.6000341346441189E-2</v>
      </c>
      <c r="AM218" s="43">
        <f>LN('2.ΤΙΜΕΣ ΚΛΕΙΣΙΜΑΤΟΣ'!AM219/'2.ΤΙΜΕΣ ΚΛΕΙΣΙΜΑΤΟΣ'!AM218)</f>
        <v>1.600034134644112E-2</v>
      </c>
      <c r="AN218" s="43">
        <f>LN('2.ΤΙΜΕΣ ΚΛΕΙΣΙΜΑΤΟΣ'!AN219/'2.ΤΙΜΕΣ ΚΛΕΙΣΙΜΑΤΟΣ'!AN218)</f>
        <v>1.3698844358161927E-2</v>
      </c>
      <c r="AO218" s="43">
        <f>LN('2.ΤΙΜΕΣ ΚΛΕΙΣΙΜΑΤΟΣ'!AO219/'2.ΤΙΜΕΣ ΚΛΕΙΣΙΜΑΤΟΣ'!AO218)</f>
        <v>1.1331566009550018E-2</v>
      </c>
      <c r="AP218" s="43">
        <f>LN('2.ΤΙΜΕΣ ΚΛΕΙΣΙΜΑΤΟΣ'!AP219/'2.ΤΙΜΕΣ ΚΛΕΙΣΙΜΑΤΟΣ'!AP218)</f>
        <v>2.9705154413915694E-2</v>
      </c>
      <c r="AQ218" s="43">
        <f>LN('2.ΤΙΜΕΣ ΚΛΕΙΣΙΜΑΤΟΣ'!AQ219/'2.ΤΙΜΕΣ ΚΛΕΙΣΙΜΑΤΟΣ'!AQ218)</f>
        <v>1.3118852429114503E-2</v>
      </c>
      <c r="AR218" s="43">
        <f>LN('2.ΤΙΜΕΣ ΚΛΕΙΣΙΜΑΤΟΣ'!AR219/'2.ΤΙΜΕΣ ΚΛΕΙΣΙΜΑΤΟΣ'!AR218)</f>
        <v>-2.4968801985871545E-3</v>
      </c>
      <c r="AS218" s="43">
        <f>LN('2.ΤΙΜΕΣ ΚΛΕΙΣΙΜΑΤΟΣ'!AS219/'2.ΤΙΜΕΣ ΚΛΕΙΣΙΜΑΤΟΣ'!AS218)</f>
        <v>-6.0423144559625863E-3</v>
      </c>
      <c r="AT218" s="43">
        <f>LN('2.ΤΙΜΕΣ ΚΛΕΙΣΙΜΑΤΟΣ'!AT219/'2.ΤΙΜΕΣ ΚΛΕΙΣΙΜΑΤΟΣ'!AT218)</f>
        <v>2.6990569691649835E-3</v>
      </c>
      <c r="AU218" s="43">
        <f>LN('2.ΤΙΜΕΣ ΚΛΕΙΣΙΜΑΤΟΣ'!AU219/'2.ΤΙΜΕΣ ΚΛΕΙΣΙΜΑΤΟΣ'!AU218)</f>
        <v>6.1050062946233006E-4</v>
      </c>
    </row>
    <row r="219" spans="1:47">
      <c r="A219" s="41">
        <v>43874</v>
      </c>
      <c r="B219" s="43">
        <f>LN('2.ΤΙΜΕΣ ΚΛΕΙΣΙΜΑΤΟΣ'!B220/'2.ΤΙΜΕΣ ΚΛΕΙΣΙΜΑΤΟΣ'!B219)</f>
        <v>2.6446348900815961E-2</v>
      </c>
      <c r="C219" s="43">
        <f>LN('2.ΤΙΜΕΣ ΚΛΕΙΣΙΜΑΤΟΣ'!C220/'2.ΤΙΜΕΣ ΚΛΕΙΣΙΜΑΤΟΣ'!C219)</f>
        <v>1.0881500187533987E-2</v>
      </c>
      <c r="D219" s="43">
        <f>LN('2.ΤΙΜΕΣ ΚΛΕΙΣΙΜΑΤΟΣ'!D220/'2.ΤΙΜΕΣ ΚΛΕΙΣΙΜΑΤΟΣ'!D219)</f>
        <v>0</v>
      </c>
      <c r="E219" s="43">
        <f>LN('2.ΤΙΜΕΣ ΚΛΕΙΣΙΜΑΤΟΣ'!E220/'2.ΤΙΜΕΣ ΚΛΕΙΣΙΜΑΤΟΣ'!E219)</f>
        <v>3.1917602968305162E-2</v>
      </c>
      <c r="F219" s="43">
        <f>LN('2.ΤΙΜΕΣ ΚΛΕΙΣΙΜΑΤΟΣ'!F220/'2.ΤΙΜΕΣ ΚΛΕΙΣΙΜΑΤΟΣ'!F219)</f>
        <v>-7.6433493125680121E-3</v>
      </c>
      <c r="G219" s="43">
        <f>LN('2.ΤΙΜΕΣ ΚΛΕΙΣΙΜΑΤΟΣ'!G220/'2.ΤΙΜΕΣ ΚΛΕΙΣΙΜΑΤΟΣ'!G219)</f>
        <v>-7.5282664207915245E-3</v>
      </c>
      <c r="H219" s="43">
        <f>LN('2.ΤΙΜΕΣ ΚΛΕΙΣΙΜΑΤΟΣ'!H220/'2.ΤΙΜΕΣ ΚΛΕΙΣΙΜΑΤΟΣ'!H219)</f>
        <v>1.4862269321241012E-2</v>
      </c>
      <c r="I219" s="43">
        <f>LN('2.ΤΙΜΕΣ ΚΛΕΙΣΙΜΑΤΟΣ'!I220/'2.ΤΙΜΕΣ ΚΛΕΙΣΙΜΑΤΟΣ'!I219)</f>
        <v>-1.5765480109208602E-2</v>
      </c>
      <c r="J219" s="43">
        <f>LN('2.ΤΙΜΕΣ ΚΛΕΙΣΙΜΑΤΟΣ'!J220/'2.ΤΙΜΕΣ ΚΛΕΙΣΙΜΑΤΟΣ'!J219)</f>
        <v>-1.9531201631216848E-2</v>
      </c>
      <c r="K219" s="43">
        <f>LN('2.ΤΙΜΕΣ ΚΛΕΙΣΙΜΑΤΟΣ'!K220/'2.ΤΙΜΕΣ ΚΛΕΙΣΙΜΑΤΟΣ'!K219)</f>
        <v>2.8449661468083608E-2</v>
      </c>
      <c r="L219" s="43">
        <f>LN('2.ΤΙΜΕΣ ΚΛΕΙΣΙΜΑΤΟΣ'!L220/'2.ΤΙΜΕΣ ΚΛΕΙΣΙΜΑΤΟΣ'!L219)</f>
        <v>-2.150620522096373E-2</v>
      </c>
      <c r="M219" s="43">
        <f>LN('2.ΤΙΜΕΣ ΚΛΕΙΣΙΜΑΤΟΣ'!M220/'2.ΤΙΜΕΣ ΚΛΕΙΣΙΜΑΤΟΣ'!M219)</f>
        <v>6.6225407604934569E-3</v>
      </c>
      <c r="N219" s="43">
        <f>LN('2.ΤΙΜΕΣ ΚΛΕΙΣΙΜΑΤΟΣ'!N220/'2.ΤΙΜΕΣ ΚΛΕΙΣΙΜΑΤΟΣ'!N219)</f>
        <v>9.3001743418703459E-3</v>
      </c>
      <c r="O219" s="43">
        <f>LN('2.ΤΙΜΕΣ ΚΛΕΙΣΙΜΑΤΟΣ'!O220/'2.ΤΙΜΕΣ ΚΛΕΙΣΙΜΑΤΟΣ'!O219)</f>
        <v>-1.3387080782459296E-2</v>
      </c>
      <c r="P219" s="43">
        <f>LN('2.ΤΙΜΕΣ ΚΛΕΙΣΙΜΑΤΟΣ'!P220/'2.ΤΙΜΕΣ ΚΛΕΙΣΙΜΑΤΟΣ'!P219)</f>
        <v>7.3439742557582849E-3</v>
      </c>
      <c r="Q219" s="43">
        <f>LN('2.ΤΙΜΕΣ ΚΛΕΙΣΙΜΑΤΟΣ'!Q220/'2.ΤΙΜΕΣ ΚΛΕΙΣΙΜΑΤΟΣ'!Q219)</f>
        <v>-2.2258470600942808E-2</v>
      </c>
      <c r="R219" s="43">
        <f>LN('2.ΤΙΜΕΣ ΚΛΕΙΣΙΜΑΤΟΣ'!R220/'2.ΤΙΜΕΣ ΚΛΕΙΣΙΜΑΤΟΣ'!R219)</f>
        <v>0</v>
      </c>
      <c r="S219" s="43">
        <f>LN('2.ΤΙΜΕΣ ΚΛΕΙΣΙΜΑΤΟΣ'!S220/'2.ΤΙΜΕΣ ΚΛΕΙΣΙΜΑΤΟΣ'!S219)</f>
        <v>-5.5524851147856673E-3</v>
      </c>
      <c r="T219" s="43">
        <f>LN('2.ΤΙΜΕΣ ΚΛΕΙΣΙΜΑΤΟΣ'!T220/'2.ΤΙΜΕΣ ΚΛΕΙΣΙΜΑΤΟΣ'!T219)</f>
        <v>-1.2303641195356955E-2</v>
      </c>
      <c r="U219" s="43">
        <f>LN('2.ΤΙΜΕΣ ΚΛΕΙΣΙΜΑΤΟΣ'!U220/'2.ΤΙΜΕΣ ΚΛΕΙΣΙΜΑΤΟΣ'!U219)</f>
        <v>2.5268594174884983E-2</v>
      </c>
      <c r="V219" s="43">
        <f>LN('2.ΤΙΜΕΣ ΚΛΕΙΣΙΜΑΤΟΣ'!V220/'2.ΤΙΜΕΣ ΚΛΕΙΣΙΜΑΤΟΣ'!V219)</f>
        <v>1.3921338518608014E-2</v>
      </c>
      <c r="W219" s="43">
        <f>LN('2.ΤΙΜΕΣ ΚΛΕΙΣΙΜΑΤΟΣ'!W220/'2.ΤΙΜΕΣ ΚΛΕΙΣΙΜΑΤΟΣ'!W219)</f>
        <v>1.4018921179330778E-2</v>
      </c>
      <c r="X219" s="43">
        <f>LN('2.ΤΙΜΕΣ ΚΛΕΙΣΙΜΑΤΟΣ'!X220/'2.ΤΙΜΕΣ ΚΛΕΙΣΙΜΑΤΟΣ'!X219)</f>
        <v>-2.5053502445550026E-2</v>
      </c>
      <c r="Y219" s="43">
        <f>LN('2.ΤΙΜΕΣ ΚΛΕΙΣΙΜΑΤΟΣ'!Y220/'2.ΤΙΜΕΣ ΚΛΕΙΣΙΜΑΤΟΣ'!Y219)</f>
        <v>-6.500564603093428E-3</v>
      </c>
      <c r="Z219" s="43">
        <f>LN('2.ΤΙΜΕΣ ΚΛΕΙΣΙΜΑΤΟΣ'!Z220/'2.ΤΙΜΕΣ ΚΛΕΙΣΙΜΑΤΟΣ'!Z219)</f>
        <v>7.168489478612497E-3</v>
      </c>
      <c r="AA219" s="43">
        <f>LN('2.ΤΙΜΕΣ ΚΛΕΙΣΙΜΑΤΟΣ'!AA220/'2.ΤΙΜΕΣ ΚΛΕΙΣΙΜΑΤΟΣ'!AA219)</f>
        <v>-4.9382816405824544E-3</v>
      </c>
      <c r="AB219" s="43">
        <f>LN('2.ΤΙΜΕΣ ΚΛΕΙΣΙΜΑΤΟΣ'!AB220/'2.ΤΙΜΕΣ ΚΛΕΙΣΙΜΑΤΟΣ'!AB219)</f>
        <v>-6.8728792877620643E-3</v>
      </c>
      <c r="AC219" s="43">
        <f>LN('2.ΤΙΜΕΣ ΚΛΕΙΣΙΜΑΤΟΣ'!AC220/'2.ΤΙΜΕΣ ΚΛΕΙΣΙΜΑΤΟΣ'!AC219)</f>
        <v>5.4945193176407798E-3</v>
      </c>
      <c r="AD219" s="43">
        <f>LN('2.ΤΙΜΕΣ ΚΛΕΙΣΙΜΑΤΟΣ'!AD220/'2.ΤΙΜΕΣ ΚΛΕΙΣΙΜΑΤΟΣ'!AD219)</f>
        <v>4.2343041387883848E-3</v>
      </c>
      <c r="AE219" s="43">
        <f>LN('2.ΤΙΜΕΣ ΚΛΕΙΣΙΜΑΤΟΣ'!AE220/'2.ΤΙΜΕΣ ΚΛΕΙΣΙΜΑΤΟΣ'!AE219)</f>
        <v>0</v>
      </c>
      <c r="AF219" s="43">
        <f>LN('2.ΤΙΜΕΣ ΚΛΕΙΣΙΜΑΤΟΣ'!AF220/'2.ΤΙΜΕΣ ΚΛΕΙΣΙΜΑΤΟΣ'!AF219)</f>
        <v>-2.8820438535491971E-2</v>
      </c>
      <c r="AG219" s="43">
        <f>LN('2.ΤΙΜΕΣ ΚΛΕΙΣΙΜΑΤΟΣ'!AG220/'2.ΤΙΜΕΣ ΚΛΕΙΣΙΜΑΤΟΣ'!AG219)</f>
        <v>-1.9100171373419378E-2</v>
      </c>
      <c r="AH219" s="43">
        <f>LN('2.ΤΙΜΕΣ ΚΛΕΙΣΙΜΑΤΟΣ'!AH220/'2.ΤΙΜΕΣ ΚΛΕΙΣΙΜΑΤΟΣ'!AH219)</f>
        <v>1.906578270581669E-3</v>
      </c>
      <c r="AI219" s="43">
        <f>LN('2.ΤΙΜΕΣ ΚΛΕΙΣΙΜΑΤΟΣ'!AI220/'2.ΤΙΜΕΣ ΚΛΕΙΣΙΜΑΤΟΣ'!AI219)</f>
        <v>-6.2305497506361975E-3</v>
      </c>
      <c r="AJ219" s="43">
        <f>LN('2.ΤΙΜΕΣ ΚΛΕΙΣΙΜΑΤΟΣ'!AJ220/'2.ΤΙΜΕΣ ΚΛΕΙΣΙΜΑΤΟΣ'!AJ219)</f>
        <v>4.4997365930735722E-2</v>
      </c>
      <c r="AK219" s="43">
        <f>LN('2.ΤΙΜΕΣ ΚΛΕΙΣΙΜΑΤΟΣ'!AK220/'2.ΤΙΜΕΣ ΚΛΕΙΣΙΜΑΤΟΣ'!AK219)</f>
        <v>-5.0505157860685915E-3</v>
      </c>
      <c r="AL219" s="43">
        <f>LN('2.ΤΙΜΕΣ ΚΛΕΙΣΙΜΑΤΟΣ'!AL220/'2.ΤΙΜΕΣ ΚΛΕΙΣΙΜΑΤΟΣ'!AL219)</f>
        <v>-4.1158072493507558E-2</v>
      </c>
      <c r="AM219" s="43">
        <f>LN('2.ΤΙΜΕΣ ΚΛΕΙΣΙΜΑΤΟΣ'!AM220/'2.ΤΙΜΕΣ ΚΛΕΙΣΙΜΑΤΟΣ'!AM219)</f>
        <v>5.2770571008438193E-3</v>
      </c>
      <c r="AN219" s="43">
        <f>LN('2.ΤΙΜΕΣ ΚΛΕΙΣΙΜΑΤΟΣ'!AN220/'2.ΤΙΜΕΣ ΚΛΕΙΣΙΜΑΤΟΣ'!AN219)</f>
        <v>-2.7587956518829053E-2</v>
      </c>
      <c r="AO219" s="43">
        <f>LN('2.ΤΙΜΕΣ ΚΛΕΙΣΙΜΑΤΟΣ'!AO220/'2.ΤΙΜΕΣ ΚΛΕΙΣΙΜΑΤΟΣ'!AO219)</f>
        <v>-1.4184634991956413E-2</v>
      </c>
      <c r="AP219" s="43">
        <f>LN('2.ΤΙΜΕΣ ΚΛΕΙΣΙΜΑΤΟΣ'!AP220/'2.ΤΙΜΕΣ ΚΛΕΙΣΙΜΑΤΟΣ'!AP219)</f>
        <v>1.4528100562909808E-2</v>
      </c>
      <c r="AQ219" s="43">
        <f>LN('2.ΤΙΜΕΣ ΚΛΕΙΣΙΜΑΤΟΣ'!AQ220/'2.ΤΙΜΕΣ ΚΛΕΙΣΙΜΑΤΟΣ'!AQ219)</f>
        <v>-1.6726793805313511E-2</v>
      </c>
      <c r="AR219" s="43">
        <f>LN('2.ΤΙΜΕΣ ΚΛΕΙΣΙΜΑΤΟΣ'!AR220/'2.ΤΙΜΕΣ ΚΛΕΙΣΙΜΑΤΟΣ'!AR219)</f>
        <v>4.401688541677426E-2</v>
      </c>
      <c r="AS219" s="43">
        <f>LN('2.ΤΙΜΕΣ ΚΛΕΙΣΙΜΑΤΟΣ'!AS220/'2.ΤΙΜΕΣ ΚΛΕΙΣΙΜΑΤΟΣ'!AS219)</f>
        <v>2.9852963149681128E-2</v>
      </c>
      <c r="AT219" s="43">
        <f>LN('2.ΤΙΜΕΣ ΚΛΕΙΣΙΜΑΤΟΣ'!AT220/'2.ΤΙΜΕΣ ΚΛΕΙΣΙΜΑΤΟΣ'!AT219)</f>
        <v>-8.1191244385042417E-3</v>
      </c>
      <c r="AU219" s="43">
        <f>LN('2.ΤΙΜΕΣ ΚΛΕΙΣΙΜΑΤΟΣ'!AU220/'2.ΤΙΜΕΣ ΚΛΕΙΣΙΜΑΤΟΣ'!AU219)</f>
        <v>2.9165327018278496E-3</v>
      </c>
    </row>
    <row r="220" spans="1:47">
      <c r="A220" s="41">
        <v>43875</v>
      </c>
      <c r="B220" s="43">
        <f>LN('2.ΤΙΜΕΣ ΚΛΕΙΣΙΜΑΤΟΣ'!B221/'2.ΤΙΜΕΣ ΚΛΕΙΣΙΜΑΤΟΣ'!B220)</f>
        <v>4.0971669840702872E-3</v>
      </c>
      <c r="C220" s="43">
        <f>LN('2.ΤΙΜΕΣ ΚΛΕΙΣΙΜΑΤΟΣ'!C221/'2.ΤΙΜΕΣ ΚΛΕΙΣΙΜΑΤΟΣ'!C220)</f>
        <v>-4.3384015985980188E-3</v>
      </c>
      <c r="D220" s="43">
        <f>LN('2.ΤΙΜΕΣ ΚΛΕΙΣΙΜΑΤΟΣ'!D221/'2.ΤΙΜΕΣ ΚΛΕΙΣΙΜΑΤΟΣ'!D220)</f>
        <v>6.7001925698195654E-3</v>
      </c>
      <c r="E220" s="43">
        <f>LN('2.ΤΙΜΕΣ ΚΛΕΙΣΙΜΑΤΟΣ'!E221/'2.ΤΙΜΕΣ ΚΛΕΙΣΙΜΑΤΟΣ'!E220)</f>
        <v>-2.1164811192043383E-2</v>
      </c>
      <c r="F220" s="43">
        <f>LN('2.ΤΙΜΕΣ ΚΛΕΙΣΙΜΑΤΟΣ'!F221/'2.ΤΙΜΕΣ ΚΛΕΙΣΙΜΑΤΟΣ'!F220)</f>
        <v>-2.5608208616737039E-3</v>
      </c>
      <c r="G220" s="43">
        <f>LN('2.ΤΙΜΕΣ ΚΛΕΙΣΙΜΑΤΟΣ'!G221/'2.ΤΙΜΕΣ ΚΛΕΙΣΙΜΑΤΟΣ'!G220)</f>
        <v>1.8715455811356002E-2</v>
      </c>
      <c r="H220" s="43">
        <f>LN('2.ΤΙΜΕΣ ΚΛΕΙΣΙΜΑΤΟΣ'!H221/'2.ΤΙΜΕΣ ΚΛΕΙΣΙΜΑΤΟΣ'!H220)</f>
        <v>-4.2238711161851714E-3</v>
      </c>
      <c r="I220" s="43">
        <f>LN('2.ΤΙΜΕΣ ΚΛΕΙΣΙΜΑΤΟΣ'!I221/'2.ΤΙΜΕΣ ΚΛΕΙΣΙΜΑΤΟΣ'!I220)</f>
        <v>-5.4945193176407017E-3</v>
      </c>
      <c r="J220" s="43">
        <f>LN('2.ΤΙΜΕΣ ΚΛΕΙΣΙΜΑΤΟΣ'!J221/'2.ΤΙΜΕΣ ΚΛΕΙΣΙΜΑΤΟΣ'!J220)</f>
        <v>1.0327114155849524E-2</v>
      </c>
      <c r="K220" s="43">
        <f>LN('2.ΤΙΜΕΣ ΚΛΕΙΣΙΜΑΤΟΣ'!K221/'2.ΤΙΜΕΣ ΚΛΕΙΣΙΜΑΤΟΣ'!K220)</f>
        <v>1.0915814876996187E-2</v>
      </c>
      <c r="L220" s="43">
        <f>LN('2.ΤΙΜΕΣ ΚΛΕΙΣΙΜΑΤΟΣ'!L221/'2.ΤΙΜΕΣ ΚΛΕΙΣΙΜΑΤΟΣ'!L220)</f>
        <v>4.3384015985983623E-3</v>
      </c>
      <c r="M220" s="43">
        <f>LN('2.ΤΙΜΕΣ ΚΛΕΙΣΙΜΑΤΟΣ'!M221/'2.ΤΙΜΕΣ ΚΛΕΙΣΙΜΑΤΟΣ'!M220)</f>
        <v>-8.8398365691409516E-3</v>
      </c>
      <c r="N220" s="43">
        <f>LN('2.ΤΙΜΕΣ ΚΛΕΙΣΙΜΑΤΟΣ'!N221/'2.ΤΙΜΕΣ ΚΛΕΙΣΙΜΑΤΟΣ'!N220)</f>
        <v>8.1555915670703596E-3</v>
      </c>
      <c r="O220" s="43">
        <f>LN('2.ΤΙΜΕΣ ΚΛΕΙΣΙΜΑΤΟΣ'!O221/'2.ΤΙΜΕΣ ΚΛΕΙΣΙΜΑΤΟΣ'!O220)</f>
        <v>1.4715984632513109E-2</v>
      </c>
      <c r="P220" s="43">
        <f>LN('2.ΤΙΜΕΣ ΚΛΕΙΣΙΜΑΤΟΣ'!P221/'2.ΤΙΜΕΣ ΚΛΕΙΣΙΜΑΤΟΣ'!P220)</f>
        <v>6.0790460763821925E-3</v>
      </c>
      <c r="Q220" s="43">
        <f>LN('2.ΤΙΜΕΣ ΚΛΕΙΣΙΜΑΤΟΣ'!Q221/'2.ΤΙΜΕΣ ΚΛΕΙΣΙΜΑΤΟΣ'!Q220)</f>
        <v>-1.2870014646474486E-3</v>
      </c>
      <c r="R220" s="43">
        <f>LN('2.ΤΙΜΕΣ ΚΛΕΙΣΙΜΑΤΟΣ'!R221/'2.ΤΙΜΕΣ ΚΛΕΙΣΙΜΑΤΟΣ'!R220)</f>
        <v>3.3341302617669851E-3</v>
      </c>
      <c r="S220" s="43">
        <f>LN('2.ΤΙΜΕΣ ΚΛΕΙΣΙΜΑΤΟΣ'!S221/'2.ΤΙΜΕΣ ΚΛΕΙΣΙΜΑΤΟΣ'!S220)</f>
        <v>2.2246950221111086E-3</v>
      </c>
      <c r="T220" s="43">
        <f>LN('2.ΤΙΜΕΣ ΚΛΕΙΣΙΜΑΤΟΣ'!T221/'2.ΤΙΜΕΣ ΚΛΕΙΣΙΜΑΤΟΣ'!T220)</f>
        <v>1.2303641195356952E-2</v>
      </c>
      <c r="U220" s="43">
        <f>LN('2.ΤΙΜΕΣ ΚΛΕΙΣΙΜΑΤΟΣ'!U221/'2.ΤΙΜΕΣ ΚΛΕΙΣΙΜΑΤΟΣ'!U220)</f>
        <v>3.2108518408417518E-2</v>
      </c>
      <c r="V220" s="43">
        <f>LN('2.ΤΙΜΕΣ ΚΛΕΙΣΙΜΑΤΟΣ'!V221/'2.ΤΙΜΕΣ ΚΛΕΙΣΙΜΑΤΟΣ'!V220)</f>
        <v>9.1743762760412295E-3</v>
      </c>
      <c r="W220" s="43">
        <f>LN('2.ΤΙΜΕΣ ΚΛΕΙΣΙΜΑΤΟΣ'!W221/'2.ΤΙΜΕΣ ΚΛΕΙΣΙΜΑΤΟΣ'!W220)</f>
        <v>-9.3240768751232904E-3</v>
      </c>
      <c r="X220" s="43">
        <f>LN('2.ΤΙΜΕΣ ΚΛΕΙΣΙΜΑΤΟΣ'!X221/'2.ΤΙΜΕΣ ΚΛΕΙΣΙΜΑΤΟΣ'!X220)</f>
        <v>-1.4909754366287151E-2</v>
      </c>
      <c r="Y220" s="43">
        <f>LN('2.ΤΙΜΕΣ ΚΛΕΙΣΙΜΑΤΟΣ'!Y221/'2.ΤΙΜΕΣ ΚΛΕΙΣΙΜΑΤΟΣ'!Y220)</f>
        <v>7.5798955227691714E-3</v>
      </c>
      <c r="Z220" s="43">
        <f>LN('2.ΤΙΜΕΣ ΚΛΕΙΣΙΜΑΤΟΣ'!Z221/'2.ΤΙΜΕΣ ΚΛΕΙΣΙΜΑΤΟΣ'!Z220)</f>
        <v>0</v>
      </c>
      <c r="AA220" s="43">
        <f>LN('2.ΤΙΜΕΣ ΚΛΕΙΣΙΜΑΤΟΣ'!AA221/'2.ΤΙΜΕΣ ΚΛΕΙΣΙΜΑΤΟΣ'!AA220)</f>
        <v>1.2300278081651687E-2</v>
      </c>
      <c r="AB220" s="43">
        <f>LN('2.ΤΙΜΕΣ ΚΛΕΙΣΙΜΑΤΟΣ'!AB221/'2.ΤΙΜΕΣ ΚΛΕΙΣΙΜΑΤΟΣ'!AB220)</f>
        <v>1.0291686036547724E-2</v>
      </c>
      <c r="AC220" s="43">
        <f>LN('2.ΤΙΜΕΣ ΚΛΕΙΣΙΜΑΤΟΣ'!AC221/'2.ΤΙΜΕΣ ΚΛΕΙΣΙΜΑΤΟΣ'!AC220)</f>
        <v>-1.6574965094212676E-2</v>
      </c>
      <c r="AD220" s="43">
        <f>LN('2.ΤΙΜΕΣ ΚΛΕΙΣΙΜΑΤΟΣ'!AD221/'2.ΤΙΜΕΣ ΚΛΕΙΣΙΜΑΤΟΣ'!AD220)</f>
        <v>-7.067167223092443E-3</v>
      </c>
      <c r="AE220" s="43">
        <f>LN('2.ΤΙΜΕΣ ΚΛΕΙΣΙΜΑΤΟΣ'!AE221/'2.ΤΙΜΕΣ ΚΛΕΙΣΙΜΑΤΟΣ'!AE220)</f>
        <v>3.59066813072854E-3</v>
      </c>
      <c r="AF220" s="43">
        <f>LN('2.ΤΙΜΕΣ ΚΛΕΙΣΙΜΑΤΟΣ'!AF221/'2.ΤΙΜΕΣ ΚΛΕΙΣΙΜΑΤΟΣ'!AF220)</f>
        <v>9.3132221466676827E-3</v>
      </c>
      <c r="AG220" s="43">
        <f>LN('2.ΤΙΜΕΣ ΚΛΕΙΣΙΜΑΤΟΣ'!AG221/'2.ΤΙΜΕΣ ΚΛΕΙΣΙΜΑΤΟΣ'!AG220)</f>
        <v>2.7510333718897976E-3</v>
      </c>
      <c r="AH220" s="43">
        <f>LN('2.ΤΙΜΕΣ ΚΛΕΙΣΙΜΑΤΟΣ'!AH221/'2.ΤΙΜΕΣ ΚΛΕΙΣΙΜΑΤΟΣ'!AH220)</f>
        <v>-1.9231361927887644E-2</v>
      </c>
      <c r="AI220" s="43">
        <f>LN('2.ΤΙΜΕΣ ΚΛΕΙΣΙΜΑΤΟΣ'!AI221/'2.ΤΙΜΕΣ ΚΛΕΙΣΙΜΑΤΟΣ'!AI220)</f>
        <v>6.2305497506361628E-3</v>
      </c>
      <c r="AJ220" s="43">
        <f>LN('2.ΤΙΜΕΣ ΚΛΕΙΣΙΜΑΤΟΣ'!AJ221/'2.ΤΙΜΕΣ ΚΛΕΙΣΙΜΑΤΟΣ'!AJ220)</f>
        <v>-8.0321716972642666E-3</v>
      </c>
      <c r="AK220" s="43">
        <f>LN('2.ΤΙΜΕΣ ΚΛΕΙΣΙΜΑΤΟΣ'!AK221/'2.ΤΙΜΕΣ ΚΛΕΙΣΙΜΑΤΟΣ'!AK220)</f>
        <v>-2.5348556031880663E-3</v>
      </c>
      <c r="AL220" s="43">
        <f>LN('2.ΤΙΜΕΣ ΚΛΕΙΣΙΜΑΤΟΣ'!AL221/'2.ΤΙΜΕΣ ΚΛΕΙΣΙΜΑΤΟΣ'!AL220)</f>
        <v>0</v>
      </c>
      <c r="AM220" s="43">
        <f>LN('2.ΤΙΜΕΣ ΚΛΕΙΣΙΜΑΤΟΣ'!AM221/'2.ΤΙΜΕΣ ΚΛΕΙΣΙΜΑΤΟΣ'!AM220)</f>
        <v>-7.9260652724206029E-3</v>
      </c>
      <c r="AN220" s="43">
        <f>LN('2.ΤΙΜΕΣ ΚΛΕΙΣΙΜΑΤΟΣ'!AN221/'2.ΤΙΜΕΣ ΚΛΕΙΣΙΜΑΤΟΣ'!AN220)</f>
        <v>-5.2585572534669389E-3</v>
      </c>
      <c r="AO220" s="43">
        <f>LN('2.ΤΙΜΕΣ ΚΛΕΙΣΙΜΑΤΟΣ'!AO221/'2.ΤΙΜΕΣ ΚΛΕΙΣΙΜΑΤΟΣ'!AO220)</f>
        <v>1.6997576368571077E-2</v>
      </c>
      <c r="AP220" s="43">
        <f>LN('2.ΤΙΜΕΣ ΚΛΕΙΣΙΜΑΤΟΣ'!AP221/'2.ΤΙΜΕΣ ΚΛΕΙΣΙΜΑΤΟΣ'!AP220)</f>
        <v>-4.8192864359489947E-3</v>
      </c>
      <c r="AQ220" s="43">
        <f>LN('2.ΤΙΜΕΣ ΚΛΕΙΣΙΜΑΤΟΣ'!AQ221/'2.ΤΙΜΕΣ ΚΛΕΙΣΙΜΑΤΟΣ'!AQ220)</f>
        <v>-1.2055456553486702E-3</v>
      </c>
      <c r="AR220" s="43">
        <f>LN('2.ΤΙΜΕΣ ΚΛΕΙΣΙΜΑΤΟΣ'!AR221/'2.ΤΙΜΕΣ ΚΛΕΙΣΙΜΑΤΟΣ'!AR220)</f>
        <v>1.6607736399660546E-2</v>
      </c>
      <c r="AS220" s="43">
        <f>LN('2.ΤΙΜΕΣ ΚΛΕΙΣΙΜΑΤΟΣ'!AS221/'2.ΤΙΜΕΣ ΚΛΕΙΣΙΜΑΤΟΣ'!AS220)</f>
        <v>5.8651194523980576E-3</v>
      </c>
      <c r="AT220" s="43">
        <f>LN('2.ΤΙΜΕΣ ΚΛΕΙΣΙΜΑΤΟΣ'!AT221/'2.ΤΙΜΕΣ ΚΛΕΙΣΙΜΑΤΟΣ'!AT220)</f>
        <v>-5.449604767564703E-3</v>
      </c>
      <c r="AU220" s="43">
        <f>LN('2.ΤΙΜΕΣ ΚΛΕΙΣΙΜΑΤΟΣ'!AU221/'2.ΤΙΜΕΣ ΚΛΕΙΣΙΜΑΤΟΣ'!AU220)</f>
        <v>2.2360446539182702E-3</v>
      </c>
    </row>
    <row r="221" spans="1:47">
      <c r="A221" s="41">
        <v>43878</v>
      </c>
      <c r="B221" s="43">
        <f>LN('2.ΤΙΜΕΣ ΚΛΕΙΣΙΜΑΤΟΣ'!B222/'2.ΤΙΜΕΣ ΚΛΕΙΣΙΜΑΤΟΣ'!B221)</f>
        <v>-1.1689072049818425E-3</v>
      </c>
      <c r="C221" s="43">
        <f>LN('2.ΤΙΜΕΣ ΚΛΕΙΣΙΜΑΤΟΣ'!C222/'2.ΤΙΜΕΣ ΚΛΕΙΣΙΜΑΤΟΣ'!C221)</f>
        <v>0</v>
      </c>
      <c r="D221" s="43">
        <f>LN('2.ΤΙΜΕΣ ΚΛΕΙΣΙΜΑΤΟΣ'!D222/'2.ΤΙΜΕΣ ΚΛΕΙΣΙΜΑΤΟΣ'!D221)</f>
        <v>1.6680571006970134E-3</v>
      </c>
      <c r="E221" s="43">
        <f>LN('2.ΤΙΜΕΣ ΚΛΕΙΣΙΜΑΤΟΣ'!E222/'2.ΤΙΜΕΣ ΚΛΕΙΣΙΜΑΤΟΣ'!E221)</f>
        <v>-2.6773777707164029E-3</v>
      </c>
      <c r="F221" s="43">
        <f>LN('2.ΤΙΜΕΣ ΚΛΕΙΣΙΜΑΤΟΣ'!F222/'2.ΤΙΜΕΣ ΚΛΕΙΣΙΜΑΤΟΣ'!F221)</f>
        <v>1.6529301951210506E-2</v>
      </c>
      <c r="G221" s="43">
        <f>LN('2.ΤΙΜΕΣ ΚΛΕΙΣΙΜΑΤΟΣ'!G222/'2.ΤΙΜΕΣ ΚΛΕΙΣΙΜΑΤΟΣ'!G221)</f>
        <v>-1.2368585373963583E-3</v>
      </c>
      <c r="H221" s="43">
        <f>LN('2.ΤΙΜΕΣ ΚΛΕΙΣΙΜΑΤΟΣ'!H222/'2.ΤΙΜΕΣ ΚΛΕΙΣΙΜΑΤΟΣ'!H221)</f>
        <v>-3.710579396535713E-3</v>
      </c>
      <c r="I221" s="43">
        <f>LN('2.ΤΙΜΕΣ ΚΛΕΙΣΙΜΑΤΟΣ'!I222/'2.ΤΙΜΕΣ ΚΛΕΙΣΙΜΑΤΟΣ'!I221)</f>
        <v>-1.5547231539523091E-2</v>
      </c>
      <c r="J221" s="43">
        <f>LN('2.ΤΙΜΕΣ ΚΛΕΙΣΙΜΑΤΟΣ'!J222/'2.ΤΙΜΕΣ ΚΛΕΙΣΙΜΑΤΟΣ'!J221)</f>
        <v>-1.5183176421390119E-2</v>
      </c>
      <c r="K221" s="43">
        <f>LN('2.ΤΙΜΕΣ ΚΛΕΙΣΙΜΑΤΟΣ'!K222/'2.ΤΙΜΕΣ ΚΛΕΙΣΙΜΑΤΟΣ'!K221)</f>
        <v>2.4096397201533296E-3</v>
      </c>
      <c r="L221" s="43">
        <f>LN('2.ΤΙΜΕΣ ΚΛΕΙΣΙΜΑΤΟΣ'!L222/'2.ΤΙΜΕΣ ΚΛΕΙΣΙΜΑΤΟΣ'!L221)</f>
        <v>-8.695706967553932E-3</v>
      </c>
      <c r="M221" s="43">
        <f>LN('2.ΤΙΜΕΣ ΚΛΕΙΣΙΜΑΤΟΣ'!M222/'2.ΤΙΜΕΣ ΚΛΕΙΣΙΜΑΤΟΣ'!M221)</f>
        <v>1.1092624542857557E-3</v>
      </c>
      <c r="N221" s="43">
        <f>LN('2.ΤΙΜΕΣ ΚΛΕΙΣΙΜΑΤΟΣ'!N222/'2.ΤΙΜΕΣ ΚΛΕΙΣΙΜΑΤΟΣ'!N221)</f>
        <v>9.1399745727237074E-3</v>
      </c>
      <c r="O221" s="43">
        <f>LN('2.ΤΙΜΕΣ ΚΛΕΙΣΙΜΑΤΟΣ'!O222/'2.ΤΙΜΕΣ ΚΛΕΙΣΙΜΑΤΟΣ'!O221)</f>
        <v>-5.3262442826740941E-3</v>
      </c>
      <c r="P221" s="43">
        <f>LN('2.ΤΙΜΕΣ ΚΛΕΙΣΙΜΑΤΟΣ'!P222/'2.ΤΙΜΕΣ ΚΛΕΙΣΙΜΑΤΟΣ'!P221)</f>
        <v>0</v>
      </c>
      <c r="Q221" s="43">
        <f>LN('2.ΤΙΜΕΣ ΚΛΕΙΣΙΜΑΤΟΣ'!Q222/'2.ΤΙΜΕΣ ΚΛΕΙΣΙΜΑΤΟΣ'!Q221)</f>
        <v>-5.1646338168412111E-3</v>
      </c>
      <c r="R221" s="43">
        <f>LN('2.ΤΙΜΕΣ ΚΛΕΙΣΙΜΑΤΟΣ'!R222/'2.ΤΙΜΕΣ ΚΛΕΙΣΙΜΑΤΟΣ'!R221)</f>
        <v>-1.427551991185446E-3</v>
      </c>
      <c r="S221" s="43">
        <f>LN('2.ΤΙΜΕΣ ΚΛΕΙΣΙΜΑΤΟΣ'!S222/'2.ΤΙΜΕΣ ΚΛΕΙΣΙΜΑΤΟΣ'!S221)</f>
        <v>-1.1173300598125189E-2</v>
      </c>
      <c r="T221" s="43">
        <f>LN('2.ΤΙΜΕΣ ΚΛΕΙΣΙΜΑΤΟΣ'!T222/'2.ΤΙΜΕΣ ΚΛΕΙΣΙΜΑΤΟΣ'!T221)</f>
        <v>5.4200674693391133E-3</v>
      </c>
      <c r="U221" s="43">
        <f>LN('2.ΤΙΜΕΣ ΚΛΕΙΣΙΜΑΤΟΣ'!U222/'2.ΤΙΜΕΣ ΚΛΕΙΣΙΜΑΤΟΣ'!U221)</f>
        <v>3.7105793965357746E-3</v>
      </c>
      <c r="V221" s="43">
        <f>LN('2.ΤΙΜΕΣ ΚΛΕΙΣΙΜΑΤΟΣ'!V222/'2.ΤΙΜΕΣ ΚΛΕΙΣΙΜΑΤΟΣ'!V221)</f>
        <v>-9.1743762760412694E-3</v>
      </c>
      <c r="W221" s="43">
        <f>LN('2.ΤΙΜΕΣ ΚΛΕΙΣΙΜΑΤΟΣ'!W222/'2.ΤΙΜΕΣ ΚΛΕΙΣΙΜΑΤΟΣ'!W221)</f>
        <v>-3.5190652151956205E-3</v>
      </c>
      <c r="X221" s="43">
        <f>LN('2.ΤΙΜΕΣ ΚΛΕΙΣΙΜΑΤΟΣ'!X222/'2.ΤΙΜΕΣ ΚΛΕΙΣΙΜΑΤΟΣ'!X221)</f>
        <v>-2.6088436084297967E-2</v>
      </c>
      <c r="Y221" s="43">
        <f>LN('2.ΤΙΜΕΣ ΚΛΕΙΣΙΜΑΤΟΣ'!Y222/'2.ΤΙΜΕΣ ΚΛΕΙΣΙΜΑΤΟΣ'!Y221)</f>
        <v>0</v>
      </c>
      <c r="Z221" s="43">
        <f>LN('2.ΤΙΜΕΣ ΚΛΕΙΣΙΜΑΤΟΣ'!Z222/'2.ΤΙΜΕΣ ΚΛΕΙΣΙΜΑΤΟΣ'!Z221)</f>
        <v>-1.8018505502678365E-2</v>
      </c>
      <c r="AA221" s="43">
        <f>LN('2.ΤΙΜΕΣ ΚΛΕΙΣΙΜΑΤΟΣ'!AA222/'2.ΤΙΜΕΣ ΚΛΕΙΣΙΜΑΤΟΣ'!AA221)</f>
        <v>-2.2250608934819692E-2</v>
      </c>
      <c r="AB221" s="43">
        <f>LN('2.ΤΙΜΕΣ ΚΛΕΙΣΙΜΑΤΟΣ'!AB222/'2.ΤΙΜΕΣ ΚΛΕΙΣΙΜΑΤΟΣ'!AB221)</f>
        <v>-2.2434072862273047E-2</v>
      </c>
      <c r="AC221" s="43">
        <f>LN('2.ΤΙΜΕΣ ΚΛΕΙΣΙΜΑΤΟΣ'!AC222/'2.ΤΙΜΕΣ ΚΛΕΙΣΙΜΑΤΟΣ'!AC221)</f>
        <v>2.7816429618767705E-3</v>
      </c>
      <c r="AD221" s="43">
        <f>LN('2.ΤΙΜΕΣ ΚΛΕΙΣΙΜΑΤΟΣ'!AD222/'2.ΤΙΜΕΣ ΚΛΕΙΣΙΜΑΤΟΣ'!AD221)</f>
        <v>4.246290881451004E-3</v>
      </c>
      <c r="AE221" s="43">
        <f>LN('2.ΤΙΜΕΣ ΚΛΕΙΣΙΜΑΤΟΣ'!AE222/'2.ΤΙΜΕΣ ΚΛΕΙΣΙΜΑΤΟΣ'!AE221)</f>
        <v>3.5778213478839024E-3</v>
      </c>
      <c r="AF221" s="43">
        <f>LN('2.ΤΙΜΕΣ ΚΛΕΙΣΙΜΑΤΟΣ'!AF222/'2.ΤΙΜΕΣ ΚΛΕΙΣΙΜΑΤΟΣ'!AF221)</f>
        <v>-2.320186655697198E-3</v>
      </c>
      <c r="AG221" s="43">
        <f>LN('2.ΤΙΜΕΣ ΚΛΕΙΣΙΜΑΤΟΣ'!AG222/'2.ΤΙΜΕΣ ΚΛΕΙΣΙΜΑΤΟΣ'!AG221)</f>
        <v>-1.9418085857101627E-2</v>
      </c>
      <c r="AH221" s="43">
        <f>LN('2.ΤΙΜΕΣ ΚΛΕΙΣΙΜΑΤΟΣ'!AH222/'2.ΤΙΜΕΣ ΚΛΕΙΣΙΜΑΤΟΣ'!AH221)</f>
        <v>9.6619109117368901E-3</v>
      </c>
      <c r="AI221" s="43">
        <f>LN('2.ΤΙΜΕΣ ΚΛΕΙΣΙΜΑΤΟΣ'!AI222/'2.ΤΙΜΕΣ ΚΛΕΙΣΙΜΑΤΟΣ'!AI221)</f>
        <v>-6.2305497506361975E-3</v>
      </c>
      <c r="AJ221" s="43">
        <f>LN('2.ΤΙΜΕΣ ΚΛΕΙΣΙΜΑΤΟΣ'!AJ222/'2.ΤΙΜΕΣ ΚΛΕΙΣΙΜΑΤΟΣ'!AJ221)</f>
        <v>-4.1158072493507558E-2</v>
      </c>
      <c r="AK221" s="43">
        <f>LN('2.ΤΙΜΕΣ ΚΛΕΙΣΙΜΑΤΟΣ'!AK222/'2.ΤΙΜΕΣ ΚΛΕΙΣΙΜΑΤΟΣ'!AK221)</f>
        <v>5.0633019565466345E-3</v>
      </c>
      <c r="AL221" s="43">
        <f>LN('2.ΤΙΜΕΣ ΚΛΕΙΣΙΜΑΤΟΣ'!AL222/'2.ΤΙΜΕΣ ΚΛΕΙΣΙΜΑΤΟΣ'!AL221)</f>
        <v>1.6667052485211643E-2</v>
      </c>
      <c r="AM221" s="43">
        <f>LN('2.ΤΙΜΕΣ ΚΛΕΙΣΙΜΑΤΟΣ'!AM222/'2.ΤΙΜΕΣ ΚΛΕΙΣΙΜΑΤΟΣ'!AM221)</f>
        <v>-1.0666767804195192E-2</v>
      </c>
      <c r="AN221" s="43">
        <f>LN('2.ΤΙΜΕΣ ΚΛΕΙΣΙΜΑΤΟΣ'!AN222/'2.ΤΙΜΕΣ ΚΛΕΙΣΙΜΑΤΟΣ'!AN221)</f>
        <v>2.2590013605106849E-2</v>
      </c>
      <c r="AO221" s="43">
        <f>LN('2.ΤΙΜΕΣ ΚΛΕΙΣΙΜΑΤΟΣ'!AO222/'2.ΤΙΜΕΣ ΚΛΕΙΣΙΜΑΤΟΣ'!AO221)</f>
        <v>-1.6997576368571136E-2</v>
      </c>
      <c r="AP221" s="43">
        <f>LN('2.ΤΙΜΕΣ ΚΛΕΙΣΙΜΑΤΟΣ'!AP222/'2.ΤΙΜΕΣ ΚΛΕΙΣΙΜΑΤΟΣ'!AP221)</f>
        <v>1.9139340210697506E-2</v>
      </c>
      <c r="AQ221" s="43">
        <f>LN('2.ΤΙΜΕΣ ΚΛΕΙΣΙΜΑΤΟΣ'!AQ222/'2.ΤΙΜΕΣ ΚΛΕΙΣΙΜΑΤΟΣ'!AQ221)</f>
        <v>-6.049625225823336E-3</v>
      </c>
      <c r="AR221" s="43">
        <f>LN('2.ΤΙΜΕΣ ΚΛΕΙΣΙΜΑΤΟΣ'!AR222/'2.ΤΙΜΕΣ ΚΛΕΙΣΙΜΑΤΟΣ'!AR221)</f>
        <v>1.1696039763191236E-2</v>
      </c>
      <c r="AS221" s="43">
        <f>LN('2.ΤΙΜΕΣ ΚΛΕΙΣΙΜΑΤΟΣ'!AS222/'2.ΤΙΜΕΣ ΚΛΕΙΣΙΜΑΤΟΣ'!AS221)</f>
        <v>2.3122417420854212E-2</v>
      </c>
      <c r="AT221" s="43">
        <f>LN('2.ΤΙΜΕΣ ΚΛΕΙΣΙΜΑΤΟΣ'!AT222/'2.ΤΙΜΕΣ ΚΛΕΙΣΙΜΑΤΟΣ'!AT221)</f>
        <v>-1.3755375068485344E-2</v>
      </c>
      <c r="AU221" s="43">
        <f>LN('2.ΤΙΜΕΣ ΚΛΕΙΣΙΜΑΤΟΣ'!AU222/'2.ΤΙΜΕΣ ΚΛΕΙΣΙΜΑΤΟΣ'!AU221)</f>
        <v>-2.7469114537964378E-3</v>
      </c>
    </row>
    <row r="222" spans="1:47">
      <c r="A222" s="41">
        <v>43879</v>
      </c>
      <c r="B222" s="43">
        <f>LN('2.ΤΙΜΕΣ ΚΛΕΙΣΙΜΑΤΟΣ'!B223/'2.ΤΙΜΕΣ ΚΛΕΙΣΙΜΑΤΟΣ'!B222)</f>
        <v>-1.4630580517605511E-3</v>
      </c>
      <c r="C222" s="43">
        <f>LN('2.ΤΙΜΕΣ ΚΛΕΙΣΙΜΑΤΟΣ'!C223/'2.ΤΙΜΕΣ ΚΛΕΙΣΙΜΑΤΟΣ'!C222)</f>
        <v>0</v>
      </c>
      <c r="D222" s="43">
        <f>LN('2.ΤΙΜΕΣ ΚΛΕΙΣΙΜΑΤΟΣ'!D223/'2.ΤΙΜΕΣ ΚΛΕΙΣΙΜΑΤΟΣ'!D222)</f>
        <v>-7.5282664207915245E-3</v>
      </c>
      <c r="E222" s="43">
        <f>LN('2.ΤΙΜΕΣ ΚΛΕΙΣΙΜΑΤΟΣ'!E223/'2.ΤΙΜΕΣ ΚΛΕΙΣΙΜΑΤΟΣ'!E222)</f>
        <v>-3.7604127041321587E-3</v>
      </c>
      <c r="F222" s="43">
        <f>LN('2.ΤΙΜΕΣ ΚΛΕΙΣΙΜΑΤΟΣ'!F223/'2.ΤΙΜΕΣ ΚΛΕΙΣΙΜΑΤΟΣ'!F222)</f>
        <v>-1.6529301951210582E-2</v>
      </c>
      <c r="G222" s="43">
        <f>LN('2.ΤΙΜΕΣ ΚΛΕΙΣΙΜΑΤΟΣ'!G223/'2.ΤΙΜΕΣ ΚΛΕΙΣΙΜΑΤΟΣ'!G222)</f>
        <v>-2.8878340738686972E-2</v>
      </c>
      <c r="H222" s="43">
        <f>LN('2.ΤΙΜΕΣ ΚΛΕΙΣΙΜΑΤΟΣ'!H223/'2.ΤΙΜΕΣ ΚΛΕΙΣΙΜΑΤΟΣ'!H222)</f>
        <v>-4.7910658587849136E-3</v>
      </c>
      <c r="I222" s="43">
        <f>LN('2.ΤΙΜΕΣ ΚΛΕΙΣΙΜΑΤΟΣ'!I223/'2.ΤΙΜΕΣ ΚΛΕΙΣΙΜΑΤΟΣ'!I222)</f>
        <v>-2.3783680522900384E-2</v>
      </c>
      <c r="J222" s="43">
        <f>LN('2.ΤΙΜΕΣ ΚΛΕΙΣΙΜΑΤΟΣ'!J223/'2.ΤΙΜΕΣ ΚΛΕΙΣΙΜΑΤΟΣ'!J222)</f>
        <v>-3.5749692660402357E-2</v>
      </c>
      <c r="K222" s="43">
        <f>LN('2.ΤΙΜΕΣ ΚΛΕΙΣΙΜΑΤΟΣ'!K223/'2.ΤΙΜΕΣ ΚΛΕΙΣΙΜΑΤΟΣ'!K222)</f>
        <v>-7.2464085207673097E-3</v>
      </c>
      <c r="L222" s="43">
        <f>LN('2.ΤΙΜΕΣ ΚΛΕΙΣΙΜΑΤΟΣ'!L223/'2.ΤΙΜΕΣ ΚΛΕΙΣΙΜΑΤΟΣ'!L222)</f>
        <v>-1.7621601349819559E-2</v>
      </c>
      <c r="M222" s="43">
        <f>LN('2.ΤΙΜΕΣ ΚΛΕΙΣΙΜΑΤΟΣ'!M223/'2.ΤΙΜΕΣ ΚΛΕΙΣΙΜΑΤΟΣ'!M222)</f>
        <v>-8.9087448891095548E-3</v>
      </c>
      <c r="N222" s="43">
        <f>LN('2.ΤΙΜΕΣ ΚΛΕΙΣΙΜΑΤΟΣ'!N223/'2.ΤΙΜΕΣ ΚΛΕΙΣΙΜΑΤΟΣ'!N222)</f>
        <v>-3.3884474787798748E-3</v>
      </c>
      <c r="O222" s="43">
        <f>LN('2.ΤΙΜΕΣ ΚΛΕΙΣΙΜΑΤΟΣ'!O223/'2.ΤΙΜΕΣ ΚΛΕΙΣΙΜΑΤΟΣ'!O222)</f>
        <v>1.0624269920229204E-2</v>
      </c>
      <c r="P222" s="43">
        <f>LN('2.ΤΙΜΕΣ ΚΛΕΙΣΙΜΑΤΟΣ'!P223/'2.ΤΙΜΕΣ ΚΛΕΙΣΙΜΑΤΟΣ'!P222)</f>
        <v>-9.7442914746781635E-3</v>
      </c>
      <c r="Q222" s="43">
        <f>LN('2.ΤΙΜΕΣ ΚΛΕΙΣΙΜΑΤΟΣ'!Q223/'2.ΤΙΜΕΣ ΚΛΕΙΣΙΜΑΤΟΣ'!Q222)</f>
        <v>-7.7973104600317297E-3</v>
      </c>
      <c r="R222" s="43">
        <f>LN('2.ΤΙΜΕΣ ΚΛΕΙΣΙΜΑΤΟΣ'!R223/'2.ΤΙΜΕΣ ΚΛΕΙΣΙΜΑΤΟΣ'!R222)</f>
        <v>-5.2518621549486038E-3</v>
      </c>
      <c r="S222" s="43">
        <f>LN('2.ΤΙΜΕΣ ΚΛΕΙΣΙΜΑΤΟΣ'!S223/'2.ΤΙΜΕΣ ΚΛΕΙΣΙΜΑΤΟΣ'!S222)</f>
        <v>-1.4714470354002541E-2</v>
      </c>
      <c r="T222" s="43">
        <f>LN('2.ΤΙΜΕΣ ΚΛΕΙΣΙΜΑΤΟΣ'!T223/'2.ΤΙΜΕΣ ΚΛΕΙΣΙΜΑΤΟΣ'!T222)</f>
        <v>-1.9100171373419378E-2</v>
      </c>
      <c r="U222" s="43">
        <f>LN('2.ΤΙΜΕΣ ΚΛΕΙΣΙΜΑΤΟΣ'!U223/'2.ΤΙΜΕΣ ΚΛΕΙΣΙΜΑΤΟΣ'!U222)</f>
        <v>7.38010729762246E-3</v>
      </c>
      <c r="V222" s="43">
        <f>LN('2.ΤΙΜΕΣ ΚΛΕΙΣΙΜΑΤΟΣ'!V223/'2.ΤΙΜΕΣ ΚΛΕΙΣΙΜΑΤΟΣ'!V222)</f>
        <v>-4.6189458562944166E-3</v>
      </c>
      <c r="W222" s="43">
        <f>LN('2.ΤΙΜΕΣ ΚΛΕΙΣΙΜΑΤΟΣ'!W223/'2.ΤΙΜΕΣ ΚΛΕΙΣΙΜΑΤΟΣ'!W222)</f>
        <v>-8.2596339774170333E-3</v>
      </c>
      <c r="X222" s="43">
        <f>LN('2.ΤΙΜΕΣ ΚΛΕΙΣΙΜΑΤΟΣ'!X223/'2.ΤΙΜΕΣ ΚΛΕΙΣΙΜΑΤΟΣ'!X222)</f>
        <v>2.2002209096023376E-3</v>
      </c>
      <c r="Y222" s="43">
        <f>LN('2.ΤΙΜΕΣ ΚΛΕΙΣΙΜΑΤΟΣ'!Y223/'2.ΤΙΜΕΣ ΚΛΕΙΣΙΜΑΤΟΣ'!Y222)</f>
        <v>-1.0793309196757944E-3</v>
      </c>
      <c r="Z222" s="43">
        <f>LN('2.ΤΙΜΕΣ ΚΛΕΙΣΙΜΑΤΟΣ'!Z223/'2.ΤΙΜΕΣ ΚΛΕΙΣΙΜΑΤΟΣ'!Z222)</f>
        <v>7.2464085207672533E-3</v>
      </c>
      <c r="AA222" s="43">
        <f>LN('2.ΤΙΜΕΣ ΚΛΕΙΣΙΜΑΤΟΣ'!AA223/'2.ΤΙΜΕΣ ΚΛΕΙΣΙΜΑΤΟΣ'!AA222)</f>
        <v>0</v>
      </c>
      <c r="AB222" s="43">
        <f>LN('2.ΤΙΜΕΣ ΚΛΕΙΣΙΜΑΤΟΣ'!AB223/'2.ΤΙΜΕΣ ΚΛΕΙΣΙΜΑΤΟΣ'!AB222)</f>
        <v>1.7436796048268374E-3</v>
      </c>
      <c r="AC222" s="43">
        <f>LN('2.ΤΙΜΕΣ ΚΛΕΙΣΙΜΑΤΟΣ'!AC223/'2.ΤΙΜΕΣ ΚΛΕΙΣΙΜΑΤΟΣ'!AC222)</f>
        <v>0</v>
      </c>
      <c r="AD222" s="43">
        <f>LN('2.ΤΙΜΕΣ ΚΛΕΙΣΙΜΑΤΟΣ'!AD223/'2.ΤΙΜΕΣ ΚΛΕΙΣΙΜΑΤΟΣ'!AD222)</f>
        <v>-2.2858138076050208E-2</v>
      </c>
      <c r="AE222" s="43">
        <f>LN('2.ΤΙΜΕΣ ΚΛΕΙΣΙΜΑΤΟΣ'!AE223/'2.ΤΙΜΕΣ ΚΛΕΙΣΙΜΑΤΟΣ'!AE222)</f>
        <v>-3.5778213478838551E-3</v>
      </c>
      <c r="AF222" s="43">
        <f>LN('2.ΤΙΜΕΣ ΚΛΕΙΣΙΜΑΤΟΣ'!AF223/'2.ΤΙΜΕΣ ΚΛΕΙΣΙΜΑΤΟΣ'!AF222)</f>
        <v>-2.4692612590371522E-2</v>
      </c>
      <c r="AG222" s="43">
        <f>LN('2.ΤΙΜΕΣ ΚΛΕΙΣΙΜΑΤΟΣ'!AG223/'2.ΤΙΜΕΣ ΚΛΕΙΣΙΜΑΤΟΣ'!AG222)</f>
        <v>-5.6179923042232608E-3</v>
      </c>
      <c r="AH222" s="43">
        <f>LN('2.ΤΙΜΕΣ ΚΛΕΙΣΙΜΑΤΟΣ'!AH223/'2.ΤΙΜΕΣ ΚΛΕΙΣΙΜΑΤΟΣ'!AH222)</f>
        <v>-3.5228691883743828E-2</v>
      </c>
      <c r="AI222" s="43">
        <f>LN('2.ΤΙΜΕΣ ΚΛΕΙΣΙΜΑΤΟΣ'!AI223/'2.ΤΙΜΕΣ ΚΛΕΙΣΙΜΑΤΟΣ'!AI222)</f>
        <v>0</v>
      </c>
      <c r="AJ222" s="43">
        <f>LN('2.ΤΙΜΕΣ ΚΛΕΙΣΙΜΑΤΟΣ'!AJ223/'2.ΤΙΜΕΣ ΚΛΕΙΣΙΜΑΤΟΣ'!AJ222)</f>
        <v>0</v>
      </c>
      <c r="AK222" s="43">
        <f>LN('2.ΤΙΜΕΣ ΚΛΕΙΣΙΜΑΤΟΣ'!AK223/'2.ΤΙΜΕΣ ΚΛΕΙΣΙΜΑΤΟΣ'!AK222)</f>
        <v>-2.0408871631207123E-2</v>
      </c>
      <c r="AL222" s="43">
        <f>LN('2.ΤΙΜΕΣ ΚΛΕΙΣΙΜΑΤΟΣ'!AL223/'2.ΤΙΜΕΣ ΚΛΕΙΣΙΜΑΤΟΣ'!AL222)</f>
        <v>3.2523191705560145E-2</v>
      </c>
      <c r="AM222" s="43">
        <f>LN('2.ΤΙΜΕΣ ΚΛΕΙΣΙΜΑΤΟΣ'!AM223/'2.ΤΙΜΕΣ ΚΛΕΙΣΙΜΑΤΟΣ'!AM222)</f>
        <v>-1.621657158924528E-2</v>
      </c>
      <c r="AN222" s="43">
        <f>LN('2.ΤΙΜΕΣ ΚΛΕΙΣΙΜΑΤΟΣ'!AN223/'2.ΤΙΜΕΣ ΚΛΕΙΣΙΜΑΤΟΣ'!AN222)</f>
        <v>-2.7876369528254903E-2</v>
      </c>
      <c r="AO222" s="43">
        <f>LN('2.ΤΙΜΕΣ ΚΛΕΙΣΙΜΑΤΟΣ'!AO223/'2.ΤΙΜΕΣ ΚΛΕΙΣΙΜΑΤΟΣ'!AO222)</f>
        <v>1.6997576368571077E-2</v>
      </c>
      <c r="AP222" s="43">
        <f>LN('2.ΤΙΜΕΣ ΚΛΕΙΣΙΜΑΤΟΣ'!AP223/'2.ΤΙΜΕΣ ΚΛΕΙΣΙΜΑΤΟΣ'!AP222)</f>
        <v>-7.1343941138738683E-3</v>
      </c>
      <c r="AQ222" s="43">
        <f>LN('2.ΤΙΜΕΣ ΚΛΕΙΣΙΜΑΤΟΣ'!AQ223/'2.ΤΙΜΕΣ ΚΛΕΙΣΙΜΑΤΟΣ'!AQ222)</f>
        <v>-4.8661896511728994E-3</v>
      </c>
      <c r="AR222" s="43">
        <f>LN('2.ΤΙΜΕΣ ΚΛΕΙΣΙΜΑΤΟΣ'!AR223/'2.ΤΙΜΕΣ ΚΛΕΙΣΙΜΑΤΟΣ'!AR222)</f>
        <v>-3.5506688456909644E-2</v>
      </c>
      <c r="AS222" s="43">
        <f>LN('2.ΤΙΜΕΣ ΚΛΕΙΣΙΜΑΤΟΣ'!AS223/'2.ΤΙΜΕΣ ΚΛΕΙΣΙΜΑΤΟΣ'!AS222)</f>
        <v>-4.0821994520255166E-2</v>
      </c>
      <c r="AT222" s="43">
        <f>LN('2.ΤΙΜΕΣ ΚΛΕΙΣΙΜΑΤΟΣ'!AT223/'2.ΤΙΜΕΣ ΚΛΕΙΣΙΜΑΤΟΣ'!AT222)</f>
        <v>-2.7739268827252079E-3</v>
      </c>
      <c r="AU222" s="43">
        <f>LN('2.ΤΙΜΕΣ ΚΛΕΙΣΙΜΑΤΟΣ'!AU223/'2.ΤΙΜΕΣ ΚΛΕΙΣΙΜΑΤΟΣ'!AU222)</f>
        <v>-8.68103661430779E-3</v>
      </c>
    </row>
    <row r="223" spans="1:47">
      <c r="A223" s="41">
        <v>43880</v>
      </c>
      <c r="B223" s="43">
        <f>LN('2.ΤΙΜΕΣ ΚΛΕΙΣΙΜΑΤΟΣ'!B224/'2.ΤΙΜΕΣ ΚΛΕΙΣΙΜΑΤΟΣ'!B223)</f>
        <v>1.4630580517605368E-3</v>
      </c>
      <c r="C223" s="43">
        <f>LN('2.ΤΙΜΕΣ ΚΛΕΙΣΙΜΑΤΟΣ'!C224/'2.ΤΙΜΕΣ ΚΛΕΙΣΙΜΑΤΟΣ'!C223)</f>
        <v>2.2923639901936809E-2</v>
      </c>
      <c r="D223" s="43">
        <f>LN('2.ΤΙΜΕΣ ΚΛΕΙΣΙΜΑΤΟΣ'!D224/'2.ΤΙΜΕΣ ΚΛΕΙΣΙΜΑΤΟΣ'!D223)</f>
        <v>1.5000281259492598E-2</v>
      </c>
      <c r="E223" s="43">
        <f>LN('2.ΤΙΜΕΣ ΚΛΕΙΣΙΜΑΤΟΣ'!E224/'2.ΤΙΜΕΣ ΚΛΕΙΣΙΜΑΤΟΣ'!E223)</f>
        <v>-4.3150013014132361E-3</v>
      </c>
      <c r="F223" s="43">
        <f>LN('2.ΤΙΜΕΣ ΚΛΕΙΣΙΜΑΤΟΣ'!F224/'2.ΤΙΜΕΣ ΚΛΕΙΣΙΜΑΤΟΣ'!F223)</f>
        <v>-6.4308903302904025E-3</v>
      </c>
      <c r="G223" s="43">
        <f>LN('2.ΤΙΜΕΣ ΚΛΕΙΣΙΜΑΤΟΣ'!G224/'2.ΤΙΜΕΣ ΚΛΕΙΣΙΜΑΤΟΣ'!G223)</f>
        <v>3.8143720754706925E-3</v>
      </c>
      <c r="H223" s="43">
        <f>LN('2.ΤΙΜΕΣ ΚΛΕΙΣΙΜΑΤΟΣ'!H224/'2.ΤΙΜΕΣ ΚΛΕΙΣΙΜΑΤΟΣ'!H223)</f>
        <v>8.5016452553204683E-3</v>
      </c>
      <c r="I223" s="43">
        <f>LN('2.ΤΙΜΕΣ ΚΛΕΙΣΙΜΑΤΟΣ'!I224/'2.ΤΙΜΕΣ ΚΛΕΙΣΙΜΑΤΟΣ'!I223)</f>
        <v>1.8171993518123715E-2</v>
      </c>
      <c r="J223" s="43">
        <f>LN('2.ΤΙΜΕΣ ΚΛΕΙΣΙΜΑΤΟΣ'!J224/'2.ΤΙΜΕΣ ΚΛΕΙΣΙΜΑΤΟΣ'!J223)</f>
        <v>1.8001805041478473E-3</v>
      </c>
      <c r="K223" s="43">
        <f>LN('2.ΤΙΜΕΣ ΚΛΕΙΣΙΜΑΤΟΣ'!K224/'2.ΤΙΜΕΣ ΚΛΕΙΣΙΜΑΤΟΣ'!K223)</f>
        <v>2.0396627907645654E-2</v>
      </c>
      <c r="L223" s="43">
        <f>LN('2.ΤΙΜΕΣ ΚΛΕΙΣΙΜΑΤΟΣ'!L224/'2.ΤΙΜΕΣ ΚΛΕΙΣΙΜΑΤΟΣ'!L223)</f>
        <v>2.7739268827252244E-3</v>
      </c>
      <c r="M223" s="43">
        <f>LN('2.ΤΙΜΕΣ ΚΛΕΙΣΙΜΑΤΟΣ'!M224/'2.ΤΙΜΕΣ ΚΛΕΙΣΙΜΑΤΟΣ'!M223)</f>
        <v>-4.4843124473285759E-3</v>
      </c>
      <c r="N223" s="43">
        <f>LN('2.ΤΙΜΕΣ ΚΛΕΙΣΙΜΑΤΟΣ'!N224/'2.ΤΙΜΕΣ ΚΛΕΙΣΙΜΑΤΟΣ'!N223)</f>
        <v>1.0246945737994371E-2</v>
      </c>
      <c r="O223" s="43">
        <f>LN('2.ΤΙΜΕΣ ΚΛΕΙΣΙΜΑΤΟΣ'!O224/'2.ΤΙΜΕΣ ΚΛΕΙΣΙΜΑΤΟΣ'!O223)</f>
        <v>-3.9708854294927317E-3</v>
      </c>
      <c r="P223" s="43">
        <f>LN('2.ΤΙΜΕΣ ΚΛΕΙΣΙΜΑΤΟΣ'!P224/'2.ΤΙΜΕΣ ΚΛΕΙΣΙΜΑΤΟΣ'!P223)</f>
        <v>2.4449889930664398E-3</v>
      </c>
      <c r="Q223" s="43">
        <f>LN('2.ΤΙΜΕΣ ΚΛΕΙΣΙΜΑΤΟΣ'!Q224/'2.ΤΙΜΕΣ ΚΛΕΙΣΙΜΑΤΟΣ'!Q223)</f>
        <v>-1.958864485332923E-3</v>
      </c>
      <c r="R223" s="43">
        <f>LN('2.ΤΙΜΕΣ ΚΛΕΙΣΙΜΑΤΟΣ'!R224/'2.ΤΙΜΕΣ ΚΛΕΙΣΙΜΑΤΟΣ'!R223)</f>
        <v>5.2518621549486437E-3</v>
      </c>
      <c r="S223" s="43">
        <f>LN('2.ΤΙΜΕΣ ΚΛΕΙΣΙΜΑΤΟΣ'!S224/'2.ΤΙΜΕΣ ΚΛΕΙΣΙΜΑΤΟΣ'!S223)</f>
        <v>-2.2831060145685209E-3</v>
      </c>
      <c r="T223" s="43">
        <f>LN('2.ΤΙΜΕΣ ΚΛΕΙΣΙΜΑΤΟΣ'!T224/'2.ΤΙΜΕΣ ΚΛΕΙΣΙΜΑΤΟΣ'!T223)</f>
        <v>-5.5248759319699156E-3</v>
      </c>
      <c r="U223" s="43">
        <f>LN('2.ΤΙΜΕΣ ΚΛΕΙΣΙΜΑΤΟΣ'!U224/'2.ΤΙΜΕΣ ΚΛΕΙΣΙΜΑΤΟΣ'!U223)</f>
        <v>-5.529968009461198E-3</v>
      </c>
      <c r="V223" s="43">
        <f>LN('2.ΤΙΜΕΣ ΚΛΕΙΣΙΜΑΤΟΣ'!V224/'2.ΤΙΜΕΣ ΚΛΕΙΣΙΜΑΤΟΣ'!V223)</f>
        <v>-6.9686693160934277E-3</v>
      </c>
      <c r="W223" s="43">
        <f>LN('2.ΤΙΜΕΣ ΚΛΕΙΣΙΜΑΤΟΣ'!W224/'2.ΤΙΜΕΣ ΚΛΕΙΣΙΜΑΤΟΣ'!W223)</f>
        <v>9.4340322333587145E-3</v>
      </c>
      <c r="X223" s="43">
        <f>LN('2.ΤΙΜΕΣ ΚΛΕΙΣΙΜΑΤΟΣ'!X224/'2.ΤΙΜΕΣ ΚΛΕΙΣΙΜΑΤΟΣ'!X223)</f>
        <v>-1.5504186535965086E-2</v>
      </c>
      <c r="Y223" s="43">
        <f>LN('2.ΤΙΜΕΣ ΚΛΕΙΣΙΜΑΤΟΣ'!Y224/'2.ΤΙΜΕΣ ΚΛΕΙΣΙΜΑΤΟΣ'!Y223)</f>
        <v>1.2875714360045367E-2</v>
      </c>
      <c r="Z223" s="43">
        <f>LN('2.ΤΙΜΕΣ ΚΛΕΙΣΙΜΑΤΟΣ'!Z224/'2.ΤΙΜΕΣ ΚΛΕΙΣΙΜΑΤΟΣ'!Z223)</f>
        <v>-1.0889399799268319E-2</v>
      </c>
      <c r="AA223" s="43">
        <f>LN('2.ΤΙΜΕΣ ΚΛΕΙΣΙΜΑΤΟΣ'!AA224/'2.ΤΙΜΕΣ ΚΛΕΙΣΙΜΑΤΟΣ'!AA223)</f>
        <v>2.4968801985871458E-3</v>
      </c>
      <c r="AB223" s="43">
        <f>LN('2.ΤΙΜΕΣ ΚΛΕΙΣΙΜΑΤΟΣ'!AB224/'2.ΤΙΜΕΣ ΚΛΕΙΣΙΜΑΤΟΣ'!AB223)</f>
        <v>0</v>
      </c>
      <c r="AC223" s="43">
        <f>LN('2.ΤΙΜΕΣ ΚΛΕΙΣΙΜΑΤΟΣ'!AC224/'2.ΤΙΜΕΣ ΚΛΕΙΣΙΜΑΤΟΣ'!AC223)</f>
        <v>1.6529301951210506E-2</v>
      </c>
      <c r="AD223" s="43">
        <f>LN('2.ΤΙΜΕΣ ΚΛΕΙΣΙΜΑΤΟΣ'!AD224/'2.ΤΙΜΕΣ ΚΛΕΙΣΙΜΑΤΟΣ'!AD223)</f>
        <v>7.1994551428543286E-3</v>
      </c>
      <c r="AE223" s="43">
        <f>LN('2.ΤΙΜΕΣ ΚΛΕΙΣΙΜΑΤΟΣ'!AE224/'2.ΤΙΜΕΣ ΚΛΕΙΣΙΜΑΤΟΣ'!AE223)</f>
        <v>-3.5906681307285959E-3</v>
      </c>
      <c r="AF223" s="43">
        <f>LN('2.ΤΙΜΕΣ ΚΛΕΙΣΙΜΑΤΟΣ'!AF224/'2.ΤΙΜΕΣ ΚΛΕΙΣΙΜΑΤΟΣ'!AF223)</f>
        <v>0</v>
      </c>
      <c r="AG223" s="43">
        <f>LN('2.ΤΙΜΕΣ ΚΛΕΙΣΙΜΑΤΟΣ'!AG224/'2.ΤΙΜΕΣ ΚΛΕΙΣΙΜΑΤΟΣ'!AG223)</f>
        <v>-2.8208763416413406E-3</v>
      </c>
      <c r="AH223" s="43">
        <f>LN('2.ΤΙΜΕΣ ΚΛΕΙΣΙΜΑΤΟΣ'!AH224/'2.ΤΙΜΕΣ ΚΛΕΙΣΙΜΑΤΟΣ'!AH223)</f>
        <v>2.5566780972006927E-2</v>
      </c>
      <c r="AI223" s="43">
        <f>LN('2.ΤΙΜΕΣ ΚΛΕΙΣΙΜΑΤΟΣ'!AI224/'2.ΤΙΜΕΣ ΚΛΕΙΣΙΜΑΤΟΣ'!AI223)</f>
        <v>0</v>
      </c>
      <c r="AJ223" s="43">
        <f>LN('2.ΤΙΜΕΣ ΚΛΕΙΣΙΜΑΤΟΣ'!AJ224/'2.ΤΙΜΕΣ ΚΛΕΙΣΙΜΑΤΟΣ'!AJ223)</f>
        <v>8.0688911250142867E-2</v>
      </c>
      <c r="AK223" s="43">
        <f>LN('2.ΤΙΜΕΣ ΚΛΕΙΣΙΜΑΤΟΣ'!AK224/'2.ΤΙΜΕΣ ΚΛΕΙΣΙΜΑΤΟΣ'!AK223)</f>
        <v>0</v>
      </c>
      <c r="AL223" s="43">
        <f>LN('2.ΤΙΜΕΣ ΚΛΕΙΣΙΜΑΤΟΣ'!AL224/'2.ΤΙΜΕΣ ΚΛΕΙΣΙΜΑΤΟΣ'!AL223)</f>
        <v>-3.2523191705560062E-2</v>
      </c>
      <c r="AM223" s="43">
        <f>LN('2.ΤΙΜΕΣ ΚΛΕΙΣΙΜΑΤΟΣ'!AM224/'2.ΤΙΜΕΣ ΚΛΕΙΣΙΜΑΤΟΣ'!AM223)</f>
        <v>2.7210901143608075E-3</v>
      </c>
      <c r="AN223" s="43">
        <f>LN('2.ΤΙΜΕΣ ΚΛΕΙΣΙΜΑΤΟΣ'!AN224/'2.ΤΙΜΕΣ ΚΛΕΙΣΙΜΑΤΟΣ'!AN223)</f>
        <v>-1.7825783952600347E-2</v>
      </c>
      <c r="AO223" s="43">
        <f>LN('2.ΤΙΜΕΣ ΚΛΕΙΣΙΜΑΤΟΣ'!AO224/'2.ΤΙΜΕΣ ΚΛΕΙΣΙΜΑΤΟΣ'!AO223)</f>
        <v>-5.6338177182560199E-3</v>
      </c>
      <c r="AP223" s="43">
        <f>LN('2.ΤΙΜΕΣ ΚΛΕΙΣΙΜΑΤΟΣ'!AP224/'2.ΤΙΜΕΣ ΚΛΕΙΣΙΜΑΤΟΣ'!AP223)</f>
        <v>7.1343941138738909E-3</v>
      </c>
      <c r="AQ223" s="43">
        <f>LN('2.ΤΙΜΕΣ ΚΛΕΙΣΙΜΑΤΟΣ'!AQ224/'2.ΤΙΜΕΣ ΚΛΕΙΣΙΜΑΤΟΣ'!AQ223)</f>
        <v>-9.8040000966207429E-3</v>
      </c>
      <c r="AR223" s="43">
        <f>LN('2.ΤΙΜΕΣ ΚΛΕΙΣΙΜΑΤΟΣ'!AR224/'2.ΤΙΜΕΣ ΚΛΕΙΣΙΜΑΤΟΣ'!AR223)</f>
        <v>1.197619104671562E-2</v>
      </c>
      <c r="AS223" s="43">
        <f>LN('2.ΤΙΜΕΣ ΚΛΕΙΣΙΜΑΤΟΣ'!AS224/'2.ΤΙΜΕΣ ΚΛΕΙΣΙΜΑΤΟΣ'!AS223)</f>
        <v>2.0619287202735825E-2</v>
      </c>
      <c r="AT223" s="43">
        <f>LN('2.ΤΙΜΕΣ ΚΛΕΙΣΙΜΑΤΟΣ'!AT224/'2.ΤΙΜΕΣ ΚΛΕΙΣΙΜΑΤΟΣ'!AT223)</f>
        <v>8.2988028146950641E-3</v>
      </c>
      <c r="AU223" s="43">
        <f>LN('2.ΤΙΜΕΣ ΚΛΕΙΣΙΜΑΤΟΣ'!AU224/'2.ΤΙΜΕΣ ΚΛΕΙΣΙΜΑΤΟΣ'!AU223)</f>
        <v>5.4467437869063053E-3</v>
      </c>
    </row>
    <row r="224" spans="1:47">
      <c r="A224" s="41">
        <v>43881</v>
      </c>
      <c r="B224" s="43">
        <f>LN('2.ΤΙΜΕΣ ΚΛΕΙΣΙΜΑΤΟΣ'!B225/'2.ΤΙΜΕΣ ΚΛΕΙΣΙΜΑΤΟΣ'!B224)</f>
        <v>-1.799724044435811E-2</v>
      </c>
      <c r="C224" s="43">
        <f>LN('2.ΤΙΜΕΣ ΚΛΕΙΣΙΜΑΤΟΣ'!C225/'2.ΤΙΜΕΣ ΚΛΕΙΣΙΜΑΤΟΣ'!C224)</f>
        <v>-7.0846620037342276E-4</v>
      </c>
      <c r="D224" s="43">
        <f>LN('2.ΤΙΜΕΣ ΚΛΕΙΣΙΜΑΤΟΣ'!D225/'2.ΤΙΜΕΣ ΚΛΕΙΣΙΜΑΤΟΣ'!D224)</f>
        <v>1.6528929382995943E-3</v>
      </c>
      <c r="E224" s="43">
        <f>LN('2.ΤΙΜΕΣ ΚΛΕΙΣΙΜΑΤΟΣ'!E225/'2.ΤΙΜΕΣ ΚΛΕΙΣΙΜΑΤΟΣ'!E224)</f>
        <v>-2.9623669210225512E-2</v>
      </c>
      <c r="F224" s="43">
        <f>LN('2.ΤΙΜΕΣ ΚΛΕΙΣΙΜΑΤΟΣ'!F225/'2.ΤΙΜΕΣ ΚΛΕΙΣΙΜΑΤΟΣ'!F224)</f>
        <v>6.4308903302903314E-3</v>
      </c>
      <c r="G224" s="43">
        <f>LN('2.ΤΙΜΕΣ ΚΛΕΙΣΙΜΑΤΟΣ'!G225/'2.ΤΙΜΕΣ ΚΛΕΙΣΙΜΑΤΟΣ'!G224)</f>
        <v>-6.3653938670760711E-3</v>
      </c>
      <c r="H224" s="43">
        <f>LN('2.ΤΙΜΕΣ ΚΛΕΙΣΙΜΑΤΟΣ'!H225/'2.ΤΙΜΕΣ ΚΛΕΙΣΙΜΑΤΟΣ'!H224)</f>
        <v>-6.9020714671791826E-3</v>
      </c>
      <c r="I224" s="43">
        <f>LN('2.ΤΙΜΕΣ ΚΛΕΙΣΙΜΑΤΟΣ'!I225/'2.ΤΙΜΕΣ ΚΛΕΙΣΙΜΑΤΟΣ'!I224)</f>
        <v>-1.5310761237091568E-2</v>
      </c>
      <c r="J224" s="43">
        <f>LN('2.ΤΙΜΕΣ ΚΛΕΙΣΙΜΑΤΟΣ'!J225/'2.ΤΙΜΕΣ ΚΛΕΙΣΙΜΑΤΟΣ'!J224)</f>
        <v>-2.2554611973593656E-2</v>
      </c>
      <c r="K224" s="43">
        <f>LN('2.ΤΙΜΕΣ ΚΛΕΙΣΙΜΑΤΟΣ'!K225/'2.ΤΙΜΕΣ ΚΛΕΙΣΙΜΑΤΟΣ'!K224)</f>
        <v>-2.3781224049673243E-3</v>
      </c>
      <c r="L224" s="43">
        <f>LN('2.ΤΙΜΕΣ ΚΛΕΙΣΙΜΑΤΟΣ'!L225/'2.ΤΙΜΕΣ ΚΛΕΙΣΙΜΑΤΟΣ'!L224)</f>
        <v>-4.4419839834223679E-3</v>
      </c>
      <c r="M224" s="43">
        <f>LN('2.ΤΙΜΕΣ ΚΛΕΙΣΙΜΑΤΟΣ'!M225/'2.ΤΙΜΕΣ ΚΛΕΙΣΙΜΑΤΟΣ'!M224)</f>
        <v>0</v>
      </c>
      <c r="N224" s="43">
        <f>LN('2.ΤΙΜΕΣ ΚΛΕΙΣΙΜΑΤΟΣ'!N225/'2.ΤΙΜΕΣ ΚΛΕΙΣΙΜΑΤΟΣ'!N224)</f>
        <v>1.0143009965054765E-2</v>
      </c>
      <c r="O224" s="43">
        <f>LN('2.ΤΙΜΕΣ ΚΛΕΙΣΙΜΑΤΟΣ'!O225/'2.ΤΙΜΕΣ ΚΛΕΙΣΙΜΑΤΟΣ'!O224)</f>
        <v>1.709443335930004E-2</v>
      </c>
      <c r="P224" s="43">
        <f>LN('2.ΤΙΜΕΣ ΚΛΕΙΣΙΜΑΤΟΣ'!P225/'2.ΤΙΜΕΣ ΚΛΕΙΣΙΜΑΤΟΣ'!P224)</f>
        <v>1.3341616937574356E-2</v>
      </c>
      <c r="Q224" s="43">
        <f>LN('2.ΤΙΜΕΣ ΚΛΕΙΣΙΜΑΤΟΣ'!Q225/'2.ΤΙΜΕΣ ΚΛΕΙΣΙΜΑΤΟΣ'!Q224)</f>
        <v>-7.2155117907083772E-3</v>
      </c>
      <c r="R224" s="43">
        <f>LN('2.ΤΙΜΕΣ ΚΛΕΙΣΙΜΑΤΟΣ'!R225/'2.ΤΙΜΕΣ ΚΛΕΙΣΙΜΑΤΟΣ'!R224)</f>
        <v>4.7506027585977988E-3</v>
      </c>
      <c r="S224" s="43">
        <f>LN('2.ΤΙΜΕΣ ΚΛΕΙΣΙΜΑΤΟΣ'!S225/'2.ΤΙΜΕΣ ΚΛΕΙΣΙΜΑΤΟΣ'!S224)</f>
        <v>5.6980211146377959E-3</v>
      </c>
      <c r="T224" s="43">
        <f>LN('2.ΤΙΜΕΣ ΚΛΕΙΣΙΜΑΤΟΣ'!T225/'2.ΤΙΜΕΣ ΚΛΕΙΣΙΜΑΤΟΣ'!T224)</f>
        <v>-6.9492982932058047E-3</v>
      </c>
      <c r="U224" s="43">
        <f>LN('2.ΤΙΜΕΣ ΚΛΕΙΣΙΜΑΤΟΣ'!U225/'2.ΤΙΜΕΣ ΚΛΕΙΣΙΜΑΤΟΣ'!U224)</f>
        <v>9.1996968984234158E-3</v>
      </c>
      <c r="V224" s="43">
        <f>LN('2.ΤΙΜΕΣ ΚΛΕΙΣΙΜΑΤΟΣ'!V225/'2.ΤΙΜΕΣ ΚΛΕΙΣΙΜΑΤΟΣ'!V224)</f>
        <v>2.3282897595911681E-3</v>
      </c>
      <c r="W224" s="43">
        <f>LN('2.ΤΙΜΕΣ ΚΛΕΙΣΙΜΑΤΟΣ'!W225/'2.ΤΙΜΕΣ ΚΛΕΙΣΙΜΑΤΟΣ'!W224)</f>
        <v>1.9756598436076318E-2</v>
      </c>
      <c r="X224" s="43">
        <f>LN('2.ΤΙΜΕΣ ΚΛΕΙΣΙΜΑΤΟΣ'!X225/'2.ΤΙΜΕΣ ΚΛΕΙΣΙΜΑΤΟΣ'!X224)</f>
        <v>-6.7189502487449808E-3</v>
      </c>
      <c r="Y224" s="43">
        <f>LN('2.ΤΙΜΕΣ ΚΛΕΙΣΙΜΑΤΟΣ'!Y225/'2.ΤΙΜΕΣ ΚΛΕΙΣΙΜΑΤΟΣ'!Y224)</f>
        <v>-8.5653628589230455E-3</v>
      </c>
      <c r="Z224" s="43">
        <f>LN('2.ΤΙΜΕΣ ΚΛΕΙΣΙΜΑΤΟΣ'!Z225/'2.ΤΙΜΕΣ ΚΛΕΙΣΙΜΑΤΟΣ'!Z224)</f>
        <v>0</v>
      </c>
      <c r="AA224" s="43">
        <f>LN('2.ΤΙΜΕΣ ΚΛΕΙΣΙΜΑΤΟΣ'!AA225/'2.ΤΙΜΕΣ ΚΛΕΙΣΙΜΑΤΟΣ'!AA224)</f>
        <v>0</v>
      </c>
      <c r="AB224" s="43">
        <f>LN('2.ΤΙΜΕΣ ΚΛΕΙΣΙΜΑΤΟΣ'!AB225/'2.ΤΙΜΕΣ ΚΛΕΙΣΙΜΑΤΟΣ'!AB224)</f>
        <v>-5.2401866635562698E-3</v>
      </c>
      <c r="AC224" s="43">
        <f>LN('2.ΤΙΜΕΣ ΚΛΕΙΣΙΜΑΤΟΣ'!AC225/'2.ΤΙΜΕΣ ΚΛΕΙΣΙΜΑΤΟΣ'!AC224)</f>
        <v>1.0869672236903891E-2</v>
      </c>
      <c r="AD224" s="43">
        <f>LN('2.ΤΙΜΕΣ ΚΛΕΙΣΙΜΑΤΟΣ'!AD225/'2.ΤΙΜΕΣ ΚΛΕΙΣΙΜΑΤΟΣ'!AD224)</f>
        <v>-8.6455869928540405E-3</v>
      </c>
      <c r="AE224" s="43">
        <f>LN('2.ΤΙΜΕΣ ΚΛΕΙΣΙΜΑΤΟΣ'!AE225/'2.ΤΙΜΕΣ ΚΛΕΙΣΙΜΑΤΟΣ'!AE224)</f>
        <v>-1.0850016024065705E-2</v>
      </c>
      <c r="AF224" s="43">
        <f>LN('2.ΤΙΜΕΣ ΚΛΕΙΣΙΜΑΤΟΣ'!AF225/'2.ΤΙΜΕΣ ΚΛΕΙΣΙΜΑΤΟΣ'!AF224)</f>
        <v>1.1834457647002798E-2</v>
      </c>
      <c r="AG224" s="43">
        <f>LN('2.ΤΙΜΕΣ ΚΛΕΙΣΙΜΑΤΟΣ'!AG225/'2.ΤΙΜΕΣ ΚΛΕΙΣΙΜΑΤΟΣ'!AG224)</f>
        <v>-8.5106896679086191E-3</v>
      </c>
      <c r="AH224" s="43">
        <f>LN('2.ΤΙΜΕΣ ΚΛΕΙΣΙΜΑΤΟΣ'!AH225/'2.ΤΙΜΕΣ ΚΛΕΙΣΙΜΑΤΟΣ'!AH224)</f>
        <v>-1.1718884113213375E-2</v>
      </c>
      <c r="AI224" s="43">
        <f>LN('2.ΤΙΜΕΣ ΚΛΕΙΣΙΜΑΤΟΣ'!AI225/'2.ΤΙΜΕΣ ΚΛΕΙΣΙΜΑΤΟΣ'!AI224)</f>
        <v>0</v>
      </c>
      <c r="AJ224" s="43">
        <f>LN('2.ΤΙΜΕΣ ΚΛΕΙΣΙΜΑΤΟΣ'!AJ225/'2.ΤΙΜΕΣ ΚΛΕΙΣΙΜΑΤΟΣ'!AJ224)</f>
        <v>3.8684767779203319E-3</v>
      </c>
      <c r="AK224" s="43">
        <f>LN('2.ΤΙΜΕΣ ΚΛΕΙΣΙΜΑΤΟΣ'!AK225/'2.ΤΙΜΕΣ ΚΛΕΙΣΙΜΑΤΟΣ'!AK224)</f>
        <v>1.5345569674660321E-2</v>
      </c>
      <c r="AL224" s="43">
        <f>LN('2.ΤΙΜΕΣ ΚΛΕΙΣΙΜΑΤΟΣ'!AL225/'2.ΤΙΜΕΣ ΚΛΕΙΣΙΜΑΤΟΣ'!AL224)</f>
        <v>2.4491020008295696E-2</v>
      </c>
      <c r="AM224" s="43">
        <f>LN('2.ΤΙΜΕΣ ΚΛΕΙΣΙΜΑΤΟΣ'!AM225/'2.ΤΙΜΕΣ ΚΛΕΙΣΙΜΑΤΟΣ'!AM224)</f>
        <v>1.8843087801479915E-2</v>
      </c>
      <c r="AN224" s="43">
        <f>LN('2.ΤΙΜΕΣ ΚΛΕΙΣΙΜΑΤΟΣ'!AN225/'2.ΤΙΜΕΣ ΚΛΕΙΣΙΜΑΤΟΣ'!AN224)</f>
        <v>1.6057436895858469E-2</v>
      </c>
      <c r="AO224" s="43">
        <f>LN('2.ΤΙΜΕΣ ΚΛΕΙΣΙΜΑΤΟΣ'!AO225/'2.ΤΙΜΕΣ ΚΛΕΙΣΙΜΑΤΟΣ'!AO224)</f>
        <v>-1.7094433359300183E-2</v>
      </c>
      <c r="AP224" s="43">
        <f>LN('2.ΤΙΜΕΣ ΚΛΕΙΣΙΜΑΤΟΣ'!AP225/'2.ΤΙΜΕΣ ΚΛΕΙΣΙΜΑΤΟΣ'!AP224)</f>
        <v>-4.7506027585977528E-3</v>
      </c>
      <c r="AQ224" s="43">
        <f>LN('2.ΤΙΜΕΣ ΚΛΕΙΣΙΜΑΤΟΣ'!AQ225/'2.ΤΙΜΕΣ ΚΛΕΙΣΙΜΑΤΟΣ'!AQ224)</f>
        <v>-4.9382816405825663E-3</v>
      </c>
      <c r="AR224" s="43">
        <f>LN('2.ΤΙΜΕΣ ΚΛΕΙΣΙΜΑΤΟΣ'!AR225/'2.ΤΙΜΕΣ ΚΛΕΙΣΙΜΑΤΟΣ'!AR224)</f>
        <v>1.4184634991956381E-2</v>
      </c>
      <c r="AS224" s="43">
        <f>LN('2.ΤΙΜΕΣ ΚΛΕΙΣΙΜΑΤΟΣ'!AS225/'2.ΤΙΜΕΣ ΚΛΕΙΣΙΜΑΤΟΣ'!AS224)</f>
        <v>-2.3599915340873492E-2</v>
      </c>
      <c r="AT224" s="43">
        <f>LN('2.ΤΙΜΕΣ ΚΛΕΙΣΙΜΑΤΟΣ'!AT225/'2.ΤΙΜΕΣ ΚΛΕΙΣΙΜΑΤΟΣ'!AT224)</f>
        <v>-2.7586224390797514E-3</v>
      </c>
      <c r="AU224" s="43">
        <f>LN('2.ΤΙΜΕΣ ΚΛΕΙΣΙΜΑΤΟΣ'!AU225/'2.ΤΙΜΕΣ ΚΛΕΙΣΙΜΑΤΟΣ'!AU224)</f>
        <v>-4.0658459840433158E-3</v>
      </c>
    </row>
    <row r="225" spans="1:47">
      <c r="A225" s="41">
        <v>43882</v>
      </c>
      <c r="B225" s="43">
        <f>LN('2.ΤΙΜΕΣ ΚΛΕΙΣΙΜΑΤΟΣ'!B226/'2.ΤΙΜΕΣ ΚΛΕΙΣΙΜΑΤΟΣ'!B225)</f>
        <v>-5.0738804569537676E-3</v>
      </c>
      <c r="C225" s="43">
        <f>LN('2.ΤΙΜΕΣ ΚΛΕΙΣΙΜΑΤΟΣ'!C226/'2.ΤΙΜΕΣ ΚΛΕΙΣΙΜΑΤΟΣ'!C225)</f>
        <v>-1.4275759929371015E-2</v>
      </c>
      <c r="D225" s="43">
        <f>LN('2.ΤΙΜΕΣ ΚΛΕΙΣΙΜΑΤΟΣ'!D226/'2.ΤΙΜΕΣ ΚΛΕΙΣΙΜΑΤΟΣ'!D225)</f>
        <v>-1.3300279187481253E-2</v>
      </c>
      <c r="E225" s="43">
        <f>LN('2.ΤΙΜΕΣ ΚΛΕΙΣΙΜΑΤΟΣ'!E226/'2.ΤΙΜΕΣ ΚΛΕΙΣΙΜΑΤΟΣ'!E225)</f>
        <v>-3.4554556481185293E-2</v>
      </c>
      <c r="F225" s="43">
        <f>LN('2.ΤΙΜΕΣ ΚΛΕΙΣΙΜΑΤΟΣ'!F226/'2.ΤΙΜΕΣ ΚΛΕΙΣΙΜΑΤΟΣ'!F225)</f>
        <v>-6.4308903302904025E-3</v>
      </c>
      <c r="G225" s="43">
        <f>LN('2.ΤΙΜΕΣ ΚΛΕΙΣΙΜΑΤΟΣ'!G226/'2.ΤΙΜΕΣ ΚΛΕΙΣΙΜΑΤΟΣ'!G225)</f>
        <v>-5.6482509792587725E-2</v>
      </c>
      <c r="H225" s="43">
        <f>LN('2.ΤΙΜΕΣ ΚΛΕΙΣΙΜΑΤΟΣ'!H226/'2.ΤΙΜΕΣ ΚΛΕΙΣΙΜΑΤΟΣ'!H225)</f>
        <v>-1.017411721272511E-2</v>
      </c>
      <c r="I225" s="43">
        <f>LN('2.ΤΙΜΕΣ ΚΛΕΙΣΙΜΑΤΟΣ'!I226/'2.ΤΙΜΕΣ ΚΛΕΙΣΙΜΑΤΟΣ'!I225)</f>
        <v>-2.9575945245627708E-2</v>
      </c>
      <c r="J225" s="43">
        <f>LN('2.ΤΙΜΕΣ ΚΛΕΙΣΙΜΑΤΟΣ'!J226/'2.ΤΙΜΕΣ ΚΛΕΙΣΙΜΑΤΟΣ'!J225)</f>
        <v>-3.6721997955946481E-2</v>
      </c>
      <c r="K225" s="43">
        <f>LN('2.ΤΙΜΕΣ ΚΛΕΙΣΙΜΑΤΟΣ'!K226/'2.ΤΙΜΕΣ ΚΛΕΙΣΙΜΑΤΟΣ'!K225)</f>
        <v>-2.2878782384930997E-2</v>
      </c>
      <c r="L225" s="43">
        <f>LN('2.ΤΙΜΕΣ ΚΛΕΙΣΙΜΑΤΟΣ'!L226/'2.ΤΙΜΕΣ ΚΛΕΙΣΙΜΑΤΟΣ'!L225)</f>
        <v>-2.0236778287352819E-2</v>
      </c>
      <c r="M225" s="43">
        <f>LN('2.ΤΙΜΕΣ ΚΛΕΙΣΙΜΑΤΟΣ'!M226/'2.ΤΙΜΕΣ ΚΛΕΙΣΙΜΑΤΟΣ'!M225)</f>
        <v>-2.618248594564376E-2</v>
      </c>
      <c r="N225" s="43">
        <f>LN('2.ΤΙΜΕΣ ΚΛΕΙΣΙΜΑΤΟΣ'!N226/'2.ΤΙΜΕΣ ΚΛΕΙΣΙΜΑΤΟΣ'!N225)</f>
        <v>-5.6351135258650232E-3</v>
      </c>
      <c r="O225" s="43">
        <f>LN('2.ΤΙΜΕΣ ΚΛΕΙΣΙΜΑΤΟΣ'!O226/'2.ΤΙΜΕΣ ΚΛΕΙΣΙΜΑΤΟΣ'!O225)</f>
        <v>-1.312354792980734E-2</v>
      </c>
      <c r="P225" s="43">
        <f>LN('2.ΤΙΜΕΣ ΚΛΕΙΣΙΜΑΤΟΣ'!P226/'2.ΤΙΜΕΣ ΚΛΕΙΣΙΜΑΤΟΣ'!P225)</f>
        <v>-2.315764667523084E-2</v>
      </c>
      <c r="Q225" s="43">
        <f>LN('2.ΤΙΜΕΣ ΚΛΕΙΣΙΜΑΤΟΣ'!Q226/'2.ΤΙΜΕΣ ΚΛΕΙΣΙΜΑΤΟΣ'!Q225)</f>
        <v>-4.6488667181152799E-2</v>
      </c>
      <c r="R225" s="43">
        <f>LN('2.ΤΙΜΕΣ ΚΛΕΙΣΙΜΑΤΟΣ'!R226/'2.ΤΙΜΕΣ ΚΛΕΙΣΙΜΑΤΟΣ'!R225)</f>
        <v>-2.4467519442322588E-2</v>
      </c>
      <c r="S225" s="43">
        <f>LN('2.ΤΙΜΕΣ ΚΛΕΙΣΙΜΑΤΟΣ'!S226/'2.ΤΙΜΕΣ ΚΛΕΙΣΙΜΑΤΟΣ'!S225)</f>
        <v>-3.3509778898878143E-2</v>
      </c>
      <c r="T225" s="43">
        <f>LN('2.ΤΙΜΕΣ ΚΛΕΙΣΙΜΑΤΟΣ'!T226/'2.ΤΙΜΕΣ ΚΛΕΙΣΙΜΑΤΟΣ'!T225)</f>
        <v>-2.9726180265200734E-2</v>
      </c>
      <c r="U225" s="43">
        <f>LN('2.ΤΙΜΕΣ ΚΛΕΙΣΙΜΑΤΟΣ'!U226/'2.ΤΙΜΕΣ ΚΛΕΙΣΙΜΑΤΟΣ'!U225)</f>
        <v>-2.409755157906053E-2</v>
      </c>
      <c r="V225" s="43">
        <f>LN('2.ΤΙΜΕΣ ΚΛΕΙΣΙΜΑΤΟΣ'!V226/'2.ΤΙΜΕΣ ΚΛΕΙΣΙΜΑΤΟΣ'!V225)</f>
        <v>-4.662013105811413E-3</v>
      </c>
      <c r="W225" s="43">
        <f>LN('2.ΤΙΜΕΣ ΚΛΕΙΣΙΜΑΤΟΣ'!W226/'2.ΤΙΜΕΣ ΚΛΕΙΣΙΜΑΤΟΣ'!W225)</f>
        <v>-2.8006497908218218E-2</v>
      </c>
      <c r="X225" s="43">
        <f>LN('2.ΤΙΜΕΣ ΚΛΕΙΣΙΜΑΤΟΣ'!X226/'2.ΤΙΜΕΣ ΚΛΕΙΣΙΜΑΤΟΣ'!X225)</f>
        <v>-2.2728251077556289E-2</v>
      </c>
      <c r="Y225" s="43">
        <f>LN('2.ΤΙΜΕΣ ΚΛΕΙΣΙΜΑΤΟΣ'!Y226/'2.ΤΙΜΕΣ ΚΛΕΙΣΙΜΑΤΟΣ'!Y225)</f>
        <v>-1.081091610421573E-2</v>
      </c>
      <c r="Z225" s="43">
        <f>LN('2.ΤΙΜΕΣ ΚΛΕΙΣΙΜΑΤΟΣ'!Z226/'2.ΤΙΜΕΣ ΚΛΕΙΣΙΜΑΤΟΣ'!Z225)</f>
        <v>0</v>
      </c>
      <c r="AA225" s="43">
        <f>LN('2.ΤΙΜΕΣ ΚΛΕΙΣΙΜΑΤΟΣ'!AA226/'2.ΤΙΜΕΣ ΚΛΕΙΣΙΜΑΤΟΣ'!AA225)</f>
        <v>-1.7610518008635279E-2</v>
      </c>
      <c r="AB225" s="43">
        <f>LN('2.ΤΙΜΕΣ ΚΛΕΙΣΙΜΑΤΟΣ'!AB226/'2.ΤΙΜΕΣ ΚΛΕΙΣΙΜΑΤΟΣ'!AB225)</f>
        <v>-2.123973650091103E-2</v>
      </c>
      <c r="AC225" s="43">
        <f>LN('2.ΤΙΜΕΣ ΚΛΕΙΣΙΜΑΤΟΣ'!AC226/'2.ΤΙΜΕΣ ΚΛΕΙΣΙΜΑΤΟΣ'!AC225)</f>
        <v>-1.7723708664696115E-2</v>
      </c>
      <c r="AD225" s="43">
        <f>LN('2.ΤΙΜΕΣ ΚΛΕΙΣΙΜΑΤΟΣ'!AD226/'2.ΤΙΜΕΣ ΚΛΕΙΣΙΜΑΤΟΣ'!AD225)</f>
        <v>-2.3427132895139889E-2</v>
      </c>
      <c r="AE225" s="43">
        <f>LN('2.ΤΙΜΕΣ ΚΛΕΙΣΙΜΑΤΟΣ'!AE226/'2.ΤΙΜΕΣ ΚΛΕΙΣΙΜΑΤΟΣ'!AE225)</f>
        <v>-1.4652276786870375E-2</v>
      </c>
      <c r="AF225" s="43">
        <f>LN('2.ΤΙΜΕΣ ΚΛΕΙΣΙΜΑΤΟΣ'!AF226/'2.ΤΙΜΕΣ ΚΛΕΙΣΙΜΑΤΟΣ'!AF225)</f>
        <v>-3.8374012881615155E-2</v>
      </c>
      <c r="AG225" s="43">
        <f>LN('2.ΤΙΜΕΣ ΚΛΕΙΣΙΜΑΤΟΣ'!AG226/'2.ΤΙΜΕΣ ΚΛΕΙΣΙΜΑΤΟΣ'!AG225)</f>
        <v>-4.6655691640799281E-2</v>
      </c>
      <c r="AH225" s="43">
        <f>LN('2.ΤΙΜΕΣ ΚΛΕΙΣΙΜΑΤΟΣ'!AH226/'2.ΤΙΜΕΣ ΚΛΕΙΣΙΜΑΤΟΣ'!AH225)</f>
        <v>-1.7839918128331005E-2</v>
      </c>
      <c r="AI225" s="43">
        <f>LN('2.ΤΙΜΕΣ ΚΛΕΙΣΙΜΑΤΟΣ'!AI226/'2.ΤΙΜΕΣ ΚΛΕΙΣΙΜΑΤΟΣ'!AI225)</f>
        <v>6.2305497506361628E-3</v>
      </c>
      <c r="AJ225" s="43">
        <f>LN('2.ΤΙΜΕΣ ΚΛΕΙΣΙΜΑΤΟΣ'!AJ226/'2.ΤΙΜΕΣ ΚΛΕΙΣΙΜΑΤΟΣ'!AJ225)</f>
        <v>-2.7398974188114388E-2</v>
      </c>
      <c r="AK225" s="43">
        <f>LN('2.ΤΙΜΕΣ ΚΛΕΙΣΙΜΑΤΟΣ'!AK226/'2.ΤΙΜΕΣ ΚΛΕΙΣΙΜΑΤΟΣ'!AK225)</f>
        <v>-1.5345569674660421E-2</v>
      </c>
      <c r="AL225" s="43">
        <f>LN('2.ΤΙΜΕΣ ΚΛΕΙΣΙΜΑΤΟΣ'!AL226/'2.ΤΙΜΕΣ ΚΛΕΙΣΙΜΑΤΟΣ'!AL225)</f>
        <v>-4.1158072493507558E-2</v>
      </c>
      <c r="AM225" s="43">
        <f>LN('2.ΤΙΜΕΣ ΚΛΕΙΣΙΜΑΤΟΣ'!AM226/'2.ΤΙΜΕΣ ΚΛΕΙΣΙΜΑΤΟΣ'!AM225)</f>
        <v>-2.4292692569044472E-2</v>
      </c>
      <c r="AN225" s="43">
        <f>LN('2.ΤΙΜΕΣ ΚΛΕΙΣΙΜΑΤΟΣ'!AN226/'2.ΤΙΜΕΣ ΚΛΕΙΣΙΜΑΤΟΣ'!AN225)</f>
        <v>-1.9661044399157005E-2</v>
      </c>
      <c r="AO225" s="43">
        <f>LN('2.ΤΙΜΕΣ ΚΛΕΙΣΙΜΑΤΟΣ'!AO226/'2.ΤΙΜΕΣ ΚΛΕΙΣΙΜΑΤΟΣ'!AO225)</f>
        <v>-8.6580627431145415E-3</v>
      </c>
      <c r="AP225" s="43">
        <f>LN('2.ΤΙΜΕΣ ΚΛΕΙΣΙΜΑΤΟΣ'!AP226/'2.ΤΙΜΕΣ ΚΛΕΙΣΙΜΑΤΟΣ'!AP225)</f>
        <v>-4.7732787526577709E-3</v>
      </c>
      <c r="AQ225" s="43">
        <f>LN('2.ΤΙΜΕΣ ΚΛΕΙΣΙΜΑΤΟΣ'!AQ226/'2.ΤΙΜΕΣ ΚΛΕΙΣΙΜΑΤΟΣ'!AQ225)</f>
        <v>-1.2453461071286625E-2</v>
      </c>
      <c r="AR225" s="43">
        <f>LN('2.ΤΙΜΕΣ ΚΛΕΙΣΙΜΑΤΟΣ'!AR226/'2.ΤΙΜΕΣ ΚΛΕΙΣΙΜΑΤΟΣ'!AR225)</f>
        <v>-5.3024468308220316E-2</v>
      </c>
      <c r="AS225" s="43">
        <f>LN('2.ΤΙΜΕΣ ΚΛΕΙΣΙΜΑΤΟΣ'!AS226/'2.ΤΙΜΕΣ ΚΛΕΙΣΙΜΑΤΟΣ'!AS225)</f>
        <v>-1.5037877364540559E-2</v>
      </c>
      <c r="AT225" s="43">
        <f>LN('2.ΤΙΜΕΣ ΚΛΕΙΣΙΜΑΤΟΣ'!AT226/'2.ΤΙΜΕΣ ΚΛΕΙΣΙΜΑΤΟΣ'!AT225)</f>
        <v>-3.6572289623343968E-2</v>
      </c>
      <c r="AU225" s="43">
        <f>LN('2.ΤΙΜΕΣ ΚΛΕΙΣΙΜΑΤΟΣ'!AU226/'2.ΤΙΜΕΣ ΚΛΕΙΣΙΜΑΤΟΣ'!AU225)</f>
        <v>-2.2203325039359428E-2</v>
      </c>
    </row>
    <row r="226" spans="1:47">
      <c r="A226" s="41">
        <v>43885</v>
      </c>
      <c r="B226" s="43">
        <f>LN('2.ΤΙΜΕΣ ΚΛΕΙΣΙΜΑΤΟΣ'!B227/'2.ΤΙΜΕΣ ΚΛΕΙΣΙΜΑΤΟΣ'!B226)</f>
        <v>-2.6377154512669518E-2</v>
      </c>
      <c r="C226" s="43">
        <f>LN('2.ΤΙΜΕΣ ΚΛΕΙΣΙΜΑΤΟΣ'!C227/'2.ΤΙΜΕΣ ΚΛΕΙΣΙΜΑΤΟΣ'!C226)</f>
        <v>-4.4092373528331195E-2</v>
      </c>
      <c r="D226" s="43">
        <f>LN('2.ΤΙΜΕΣ ΚΛΕΙΣΙΜΑΤΟΣ'!D227/'2.ΤΙΜΕΣ ΚΛΕΙΣΙΜΑΤΟΣ'!D226)</f>
        <v>-8.6478996857650065E-2</v>
      </c>
      <c r="E226" s="43">
        <f>LN('2.ΤΙΜΕΣ ΚΛΕΙΣΙΜΑΤΟΣ'!E227/'2.ΤΙΜΕΣ ΚΛΕΙΣΙΜΑΤΟΣ'!E226)</f>
        <v>-0.10632159213737695</v>
      </c>
      <c r="F226" s="43">
        <f>LN('2.ΤΙΜΕΣ ΚΛΕΙΣΙΜΑΤΟΣ'!F227/'2.ΤΙΜΕΣ ΚΛΕΙΣΙΜΑΤΟΣ'!F226)</f>
        <v>-9.1832363456774146E-2</v>
      </c>
      <c r="G226" s="43">
        <f>LN('2.ΤΙΜΕΣ ΚΛΕΙΣΙΜΑΤΟΣ'!G227/'2.ΤΙΜΕΣ ΚΛΕΙΣΙΜΑΤΟΣ'!G226)</f>
        <v>-0.12814054398964619</v>
      </c>
      <c r="H226" s="43">
        <f>LN('2.ΤΙΜΕΣ ΚΛΕΙΣΙΜΑΤΟΣ'!H227/'2.ΤΙΜΕΣ ΚΛΕΙΣΙΜΑΤΟΣ'!H226)</f>
        <v>-4.570021746426757E-2</v>
      </c>
      <c r="I226" s="43">
        <f>LN('2.ΤΙΜΕΣ ΚΛΕΙΣΙΜΑΤΟΣ'!I227/'2.ΤΙΜΕΣ ΚΛΕΙΣΙΜΑΤΟΣ'!I226)</f>
        <v>-0.10150946165063458</v>
      </c>
      <c r="J226" s="43">
        <f>LN('2.ΤΙΜΕΣ ΚΛΕΙΣΙΜΑΤΟΣ'!J227/'2.ΤΙΜΕΣ ΚΛΕΙΣΙΜΑΤΟΣ'!J226)</f>
        <v>-9.9440836637526536E-2</v>
      </c>
      <c r="K226" s="43">
        <f>LN('2.ΤΙΜΕΣ ΚΛΕΙΣΙΜΑΤΟΣ'!K227/'2.ΤΙΜΕΣ ΚΛΕΙΣΙΜΑΤΟΣ'!K226)</f>
        <v>-0.11747857530999151</v>
      </c>
      <c r="L226" s="43">
        <f>LN('2.ΤΙΜΕΣ ΚΛΕΙΣΙΜΑΤΟΣ'!L227/'2.ΤΙΜΕΣ ΚΛΕΙΣΙΜΑΤΟΣ'!L226)</f>
        <v>-9.8381330486452021E-2</v>
      </c>
      <c r="M226" s="43">
        <f>LN('2.ΤΙΜΕΣ ΚΛΕΙΣΙΜΑΤΟΣ'!M227/'2.ΤΙΜΕΣ ΚΛΕΙΣΙΜΑΤΟΣ'!M226)</f>
        <v>-0.10190628078973868</v>
      </c>
      <c r="N226" s="43">
        <f>LN('2.ΤΙΜΕΣ ΚΛΕΙΣΙΜΑΤΟΣ'!N227/'2.ΤΙΜΕΣ ΚΛΕΙΣΙΜΑΤΟΣ'!N226)</f>
        <v>-8.4801639635570844E-2</v>
      </c>
      <c r="O226" s="43">
        <f>LN('2.ΤΙΜΕΣ ΚΛΕΙΣΙΜΑΤΟΣ'!O227/'2.ΤΙΜΕΣ ΚΛΕΙΣΙΜΑΤΟΣ'!O226)</f>
        <v>-7.4006361626783923E-2</v>
      </c>
      <c r="P226" s="43">
        <f>LN('2.ΤΙΜΕΣ ΚΛΕΙΣΙΜΑΤΟΣ'!P227/'2.ΤΙΜΕΣ ΚΛΕΙΣΙΜΑΤΟΣ'!P226)</f>
        <v>-0.14576016708082273</v>
      </c>
      <c r="Q226" s="43">
        <f>LN('2.ΤΙΜΕΣ ΚΛΕΙΣΙΜΑΤΟΣ'!Q227/'2.ΤΙΜΕΣ ΚΛΕΙΣΙΜΑΤΟΣ'!Q226)</f>
        <v>-0.16049258635254235</v>
      </c>
      <c r="R226" s="43">
        <f>LN('2.ΤΙΜΕΣ ΚΛΕΙΣΙΜΑΤΟΣ'!R227/'2.ΤΙΜΕΣ ΚΛΕΙΣΙΜΑΤΟΣ'!R226)</f>
        <v>-0.15690661899559211</v>
      </c>
      <c r="S226" s="43">
        <f>LN('2.ΤΙΜΕΣ ΚΛΕΙΣΙΜΑΤΟΣ'!S227/'2.ΤΙΜΕΣ ΚΛΕΙΣΙΜΑΤΟΣ'!S226)</f>
        <v>-5.0613211514882406E-2</v>
      </c>
      <c r="T226" s="43">
        <f>LN('2.ΤΙΜΕΣ ΚΛΕΙΣΙΜΑΤΟΣ'!T227/'2.ΤΙΜΕΣ ΚΛΕΙΣΙΜΑΤΟΣ'!T226)</f>
        <v>-0.13517477836825259</v>
      </c>
      <c r="U226" s="43">
        <f>LN('2.ΤΙΜΕΣ ΚΛΕΙΣΙΜΑΤΟΣ'!U227/'2.ΤΙΜΕΣ ΚΛΕΙΣΙΜΑΤΟΣ'!U226)</f>
        <v>-9.23128002653507E-2</v>
      </c>
      <c r="V226" s="43">
        <f>LN('2.ΤΙΜΕΣ ΚΛΕΙΣΙΜΑΤΟΣ'!V227/'2.ΤΙΜΕΣ ΚΛΕΙΣΙΜΑΤΟΣ'!V226)</f>
        <v>-0.10121543200265745</v>
      </c>
      <c r="W226" s="43">
        <f>LN('2.ΤΙΜΕΣ ΚΛΕΙΣΙΜΑΤΟΣ'!W227/'2.ΤΙΜΕΣ ΚΛΕΙΣΙΜΑΤΟΣ'!W226)</f>
        <v>-0.11926342082681762</v>
      </c>
      <c r="X226" s="43">
        <f>LN('2.ΤΙΜΕΣ ΚΛΕΙΣΙΜΑΤΟΣ'!X227/'2.ΤΙΜΕΣ ΚΛΕΙΣΙΜΑΤΟΣ'!X226)</f>
        <v>-7.8893942469663081E-2</v>
      </c>
      <c r="Y226" s="43">
        <f>LN('2.ΤΙΜΕΣ ΚΛΕΙΣΙΜΑΤΟΣ'!Y227/'2.ΤΙΜΕΣ ΚΛΕΙΣΙΜΑΤΟΣ'!Y226)</f>
        <v>-5.5880458394456614E-2</v>
      </c>
      <c r="Z226" s="43">
        <f>LN('2.ΤΙΜΕΣ ΚΛΕΙΣΙΜΑΤΟΣ'!Z227/'2.ΤΙΜΕΣ ΚΛΕΙΣΙΜΑΤΟΣ'!Z226)</f>
        <v>-6.7950661908507667E-2</v>
      </c>
      <c r="AA226" s="43">
        <f>LN('2.ΤΙΜΕΣ ΚΛΕΙΣΙΜΑΤΟΣ'!AA227/'2.ΤΙΜΕΣ ΚΛΕΙΣΙΜΑΤΟΣ'!AA226)</f>
        <v>-7.6453555715442365E-2</v>
      </c>
      <c r="AB226" s="43">
        <f>LN('2.ΤΙΜΕΣ ΚΛΕΙΣΙΜΑΤΟΣ'!AB227/'2.ΤΙΜΕΣ ΚΛΕΙΣΙΜΑΤΟΣ'!AB226)</f>
        <v>-7.2320661579626008E-2</v>
      </c>
      <c r="AC226" s="43">
        <f>LN('2.ΤΙΜΕΣ ΚΛΕΙΣΙΜΑΤΟΣ'!AC227/'2.ΤΙΜΕΣ ΚΛΕΙΣΙΜΑΤΟΣ'!AC226)</f>
        <v>-1.5246310572873751E-2</v>
      </c>
      <c r="AD226" s="43">
        <f>LN('2.ΤΙΜΕΣ ΚΛΕΙΣΙΜΑΤΟΣ'!AD227/'2.ΤΙΜΕΣ ΚΛΕΙΣΙΜΑΤΟΣ'!AD226)</f>
        <v>-0.15168458733206491</v>
      </c>
      <c r="AE226" s="43">
        <f>LN('2.ΤΙΜΕΣ ΚΛΕΙΣΙΜΑΤΟΣ'!AE227/'2.ΤΙΜΕΣ ΚΛΕΙΣΙΜΑΤΟΣ'!AE226)</f>
        <v>-8.2659905688127464E-2</v>
      </c>
      <c r="AF226" s="43">
        <f>LN('2.ΤΙΜΕΣ ΚΛΕΙΣΙΜΑΤΟΣ'!AF227/'2.ΤΙΜΕΣ ΚΛΕΙΣΙΜΑΤΟΣ'!AF226)</f>
        <v>-0.13457979390873939</v>
      </c>
      <c r="AG226" s="43">
        <f>LN('2.ΤΙΜΕΣ ΚΛΕΙΣΙΜΑΤΟΣ'!AG227/'2.ΤΙΜΕΣ ΚΛΕΙΣΙΜΑΤΟΣ'!AG226)</f>
        <v>-0.16164135155641601</v>
      </c>
      <c r="AH226" s="43">
        <f>LN('2.ΤΙΜΕΣ ΚΛΕΙΣΙΜΑΤΟΣ'!AH227/'2.ΤΙΜΕΣ ΚΛΕΙΣΙΜΑΤΟΣ'!AH226)</f>
        <v>-8.5557888361646545E-2</v>
      </c>
      <c r="AI226" s="43">
        <f>LN('2.ΤΙΜΕΣ ΚΛΕΙΣΙΜΑΤΟΣ'!AI227/'2.ΤΙΜΕΣ ΚΛΕΙΣΙΜΑΤΟΣ'!AI226)</f>
        <v>-5.0966443592027628E-2</v>
      </c>
      <c r="AJ226" s="43">
        <f>LN('2.ΤΙΜΕΣ ΚΛΕΙΣΙΜΑΤΟΣ'!AJ227/'2.ΤΙΜΕΣ ΚΛΕΙΣΙΜΑΤΟΣ'!AJ226)</f>
        <v>-0.14493402472233424</v>
      </c>
      <c r="AK226" s="43">
        <f>LN('2.ΤΙΜΕΣ ΚΛΕΙΣΙΜΑΤΟΣ'!AK227/'2.ΤΙΜΕΣ ΚΛΕΙΣΙΜΑΤΟΣ'!AK226)</f>
        <v>-6.3851471986532668E-2</v>
      </c>
      <c r="AL226" s="43">
        <f>LN('2.ΤΙΜΕΣ ΚΛΕΙΣΙΜΑΤΟΣ'!AL227/'2.ΤΙΜΕΣ ΚΛΕΙΣΙΜΑΤΟΣ'!AL226)</f>
        <v>-0.18400364297693941</v>
      </c>
      <c r="AM226" s="43">
        <f>LN('2.ΤΙΜΕΣ ΚΛΕΙΣΙΜΑΤΟΣ'!AM227/'2.ΤΙΜΕΣ ΚΛΕΙΣΙΜΑΤΟΣ'!AM226)</f>
        <v>-5.3308553454507003E-2</v>
      </c>
      <c r="AN226" s="43">
        <f>LN('2.ΤΙΜΕΣ ΚΛΕΙΣΙΜΑΤΟΣ'!AN227/'2.ΤΙΜΕΣ ΚΛΕΙΣΙΜΑΤΟΣ'!AN226)</f>
        <v>-0.15174683251586393</v>
      </c>
      <c r="AO226" s="43">
        <f>LN('2.ΤΙΜΕΣ ΚΛΕΙΣΙΜΑΤΟΣ'!AO227/'2.ΤΙΜΕΣ ΚΛΕΙΣΙΜΑΤΟΣ'!AO226)</f>
        <v>-5.6647035664652207E-2</v>
      </c>
      <c r="AP226" s="43">
        <f>LN('2.ΤΙΜΕΣ ΚΛΕΙΣΙΜΑΤΟΣ'!AP227/'2.ΤΙΜΕΣ ΚΛΕΙΣΙΜΑΤΟΣ'!AP226)</f>
        <v>-9.5310179804324893E-2</v>
      </c>
      <c r="AQ226" s="43">
        <f>LN('2.ΤΙΜΕΣ ΚΛΕΙΣΙΜΑΤΟΣ'!AQ227/'2.ΤΙΜΕΣ ΚΛΕΙΣΙΜΑΤΟΣ'!AQ226)</f>
        <v>-0.20513623456012595</v>
      </c>
      <c r="AR226" s="43">
        <f>LN('2.ΤΙΜΕΣ ΚΛΕΙΣΙΜΑΤΟΣ'!AR227/'2.ΤΙΜΕΣ ΚΛΕΙΣΙΜΑΤΟΣ'!AR226)</f>
        <v>-0.14348172347769073</v>
      </c>
      <c r="AS226" s="43">
        <f>LN('2.ΤΙΜΕΣ ΚΛΕΙΣΙΜΑΤΟΣ'!AS227/'2.ΤΙΜΕΣ ΚΛΕΙΣΙΜΑΤΟΣ'!AS226)</f>
        <v>-0.18962085927556618</v>
      </c>
      <c r="AT226" s="43">
        <f>LN('2.ΤΙΜΕΣ ΚΛΕΙΣΙΜΑΤΟΣ'!AT227/'2.ΤΙΜΕΣ ΚΛΕΙΣΙΜΑΤΟΣ'!AT226)</f>
        <v>-0.22028231903317733</v>
      </c>
      <c r="AU226" s="43">
        <f>LN('2.ΤΙΜΕΣ ΚΛΕΙΣΙΜΑΤΟΣ'!AU227/'2.ΤΙΜΕΣ ΚΛΕΙΣΙΜΑΤΟΣ'!AU226)</f>
        <v>-8.7330056985179386E-2</v>
      </c>
    </row>
    <row r="227" spans="1:47">
      <c r="A227" s="41">
        <v>43886</v>
      </c>
      <c r="B227" s="43">
        <f>LN('2.ΤΙΜΕΣ ΚΛΕΙΣΙΜΑΤΟΣ'!B228/'2.ΤΙΜΕΣ ΚΛΕΙΣΙΜΑΤΟΣ'!B227)</f>
        <v>-3.2789822822990727E-2</v>
      </c>
      <c r="C227" s="43">
        <f>LN('2.ΤΙΜΕΣ ΚΛΕΙΣΙΜΑΤΟΣ'!C228/'2.ΤΙΜΕΣ ΚΛΕΙΣΙΜΑΤΟΣ'!C227)</f>
        <v>2.155416033498601E-2</v>
      </c>
      <c r="D227" s="43">
        <f>LN('2.ΤΙΜΕΣ ΚΛΕΙΣΙΜΑΤΟΣ'!D228/'2.ΤΙΜΕΣ ΚΛΕΙΣΙΜΑΤΟΣ'!D227)</f>
        <v>2.7892046531815384E-2</v>
      </c>
      <c r="E227" s="43">
        <f>LN('2.ΤΙΜΕΣ ΚΛΕΙΣΙΜΑΤΟΣ'!E228/'2.ΤΙΜΕΣ ΚΛΕΙΣΙΜΑΤΟΣ'!E227)</f>
        <v>5.0010420574661416E-2</v>
      </c>
      <c r="F227" s="43">
        <f>LN('2.ΤΙΜΕΣ ΚΛΕΙΣΙΜΑΤΟΣ'!F228/'2.ΤΙΜΕΣ ΚΛΕΙΣΙΜΑΤΟΣ'!F227)</f>
        <v>4.2343041387881636E-3</v>
      </c>
      <c r="G227" s="43">
        <f>LN('2.ΤΙΜΕΣ ΚΛΕΙΣΙΜΑΤΟΣ'!G228/'2.ΤΙΜΕΣ ΚΛΕΙΣΙΜΑΤΟΣ'!G227)</f>
        <v>7.2570692834835374E-2</v>
      </c>
      <c r="H227" s="43">
        <f>LN('2.ΤΙΜΕΣ ΚΛΕΙΣΙΜΑΤΟΣ'!H228/'2.ΤΙΜΕΣ ΚΛΕΙΣΙΜΑΤΟΣ'!H227)</f>
        <v>-1.133156600954997E-2</v>
      </c>
      <c r="I227" s="43">
        <f>LN('2.ΤΙΜΕΣ ΚΛΕΙΣΙΜΑΤΟΣ'!I228/'2.ΤΙΜΕΣ ΚΛΕΙΣΙΜΑΤΟΣ'!I227)</f>
        <v>3.8970117988456607E-2</v>
      </c>
      <c r="J227" s="43">
        <f>LN('2.ΤΙΜΕΣ ΚΛΕΙΣΙΜΑΤΟΣ'!J228/'2.ΤΙΜΕΣ ΚΛΕΙΣΙΜΑΤΟΣ'!J227)</f>
        <v>4.4121771917574576E-2</v>
      </c>
      <c r="K227" s="43">
        <f>LN('2.ΤΙΜΕΣ ΚΛΕΙΣΙΜΑΤΟΣ'!K228/'2.ΤΙΜΕΣ ΚΛΕΙΣΙΜΑΤΟΣ'!K227)</f>
        <v>2.435844383204044E-2</v>
      </c>
      <c r="L227" s="43">
        <f>LN('2.ΤΙΜΕΣ ΚΛΕΙΣΙΜΑΤΟΣ'!L228/'2.ΤΙΜΕΣ ΚΛΕΙΣΙΜΑΤΟΣ'!L227)</f>
        <v>2.5031302181184748E-3</v>
      </c>
      <c r="M227" s="43">
        <f>LN('2.ΤΙΜΕΣ ΚΛΕΙΣΙΜΑΤΟΣ'!M228/'2.ΤΙΜΕΣ ΚΛΕΙΣΙΜΑΤΟΣ'!M227)</f>
        <v>-2.3256862164267235E-2</v>
      </c>
      <c r="N227" s="43">
        <f>LN('2.ΤΙΜΕΣ ΚΛΕΙΣΙΜΑΤΟΣ'!N228/'2.ΤΙΜΕΣ ΚΛΕΙΣΙΜΑΤΟΣ'!N227)</f>
        <v>3.8539703397216345E-2</v>
      </c>
      <c r="O227" s="43">
        <f>LN('2.ΤΙΜΕΣ ΚΛΕΙΣΙΜΑΤΟΣ'!O228/'2.ΤΙΜΕΣ ΚΛΕΙΣΙΜΑΤΟΣ'!O227)</f>
        <v>7.4006361626783854E-2</v>
      </c>
      <c r="P227" s="43">
        <f>LN('2.ΤΙΜΕΣ ΚΛΕΙΣΙΜΑΤΟΣ'!P228/'2.ΤΙΜΕΣ ΚΛΕΙΣΙΜΑΤΟΣ'!P227)</f>
        <v>5.008000515474665E-2</v>
      </c>
      <c r="Q227" s="43">
        <f>LN('2.ΤΙΜΕΣ ΚΛΕΙΣΙΜΑΤΟΣ'!Q228/'2.ΤΙΜΕΣ ΚΛΕΙΣΙΜΑΤΟΣ'!Q227)</f>
        <v>4.7439725071560357E-2</v>
      </c>
      <c r="R227" s="43">
        <f>LN('2.ΤΙΜΕΣ ΚΛΕΙΣΙΜΑΤΟΣ'!R228/'2.ΤΙΜΕΣ ΚΛΕΙΣΙΜΑΤΟΣ'!R227)</f>
        <v>7.8643127319113132E-2</v>
      </c>
      <c r="S227" s="43">
        <f>LN('2.ΤΙΜΕΣ ΚΛΕΙΣΙΜΑΤΟΣ'!S228/'2.ΤΙΜΕΣ ΚΛΕΙΣΙΜΑΤΟΣ'!S227)</f>
        <v>-2.8842124629285138E-2</v>
      </c>
      <c r="T227" s="43">
        <f>LN('2.ΤΙΜΕΣ ΚΛΕΙΣΙΜΑΤΟΣ'!T228/'2.ΤΙΜΕΣ ΚΛΕΙΣΙΜΑΤΟΣ'!T227)</f>
        <v>2.9175489133931472E-2</v>
      </c>
      <c r="U227" s="43">
        <f>LN('2.ΤΙΜΕΣ ΚΛΕΙΣΙΜΑΤΟΣ'!U228/'2.ΤΙΜΕΣ ΚΛΕΙΣΙΜΑΤΟΣ'!U227)</f>
        <v>1.8349138668196398E-2</v>
      </c>
      <c r="V227" s="43">
        <f>LN('2.ΤΙΜΕΣ ΚΛΕΙΣΙΜΑΤΟΣ'!V228/'2.ΤΙΜΕΣ ΚΛΕΙΣΙΜΑΤΟΣ'!V227)</f>
        <v>-2.0703941143084019E-3</v>
      </c>
      <c r="W227" s="43">
        <f>LN('2.ΤΙΜΕΣ ΚΛΕΙΣΙΜΑΤΟΣ'!W228/'2.ΤΙΜΕΣ ΚΛΕΙΣΙΜΑΤΟΣ'!W227)</f>
        <v>1.718482475410097E-2</v>
      </c>
      <c r="X227" s="43">
        <f>LN('2.ΤΙΜΕΣ ΚΛΕΙΣΙΜΑΤΟΣ'!X228/'2.ΤΙΜΕΣ ΚΛΕΙΣΙΜΑΤΟΣ'!X227)</f>
        <v>3.4233171642242391E-2</v>
      </c>
      <c r="Y227" s="43">
        <f>LN('2.ΤΙΜΕΣ ΚΛΕΙΣΙΜΑΤΟΣ'!Y228/'2.ΤΙΜΕΣ ΚΛΕΙΣΙΜΑΤΟΣ'!Y227)</f>
        <v>2.4972920931380097E-2</v>
      </c>
      <c r="Z227" s="43">
        <f>LN('2.ΤΙΜΕΣ ΚΛΕΙΣΙΜΑΤΟΣ'!Z228/'2.ΤΙΜΕΣ ΚΛΕΙΣΙΜΑΤΟΣ'!Z227)</f>
        <v>-3.9138993211363287E-3</v>
      </c>
      <c r="AA227" s="43">
        <f>LN('2.ΤΙΜΕΣ ΚΛΕΙΣΙΜΑΤΟΣ'!AA228/'2.ΤΙΜΕΣ ΚΛΕΙΣΙΜΑΤΟΣ'!AA227)</f>
        <v>0</v>
      </c>
      <c r="AB227" s="43">
        <f>LN('2.ΤΙΜΕΣ ΚΛΕΙΣΙΜΑΤΟΣ'!AB228/'2.ΤΙΜΕΣ ΚΛΕΙΣΙΜΑΤΟΣ'!AB227)</f>
        <v>1.9048194970694411E-2</v>
      </c>
      <c r="AC227" s="43">
        <f>LN('2.ΤΙΜΕΣ ΚΛΕΙΣΙΜΑΤΟΣ'!AC228/'2.ΤΙΜΕΣ ΚΛΕΙΣΙΜΑΤΟΣ'!AC227)</f>
        <v>1.9364367181791152E-2</v>
      </c>
      <c r="AD227" s="43">
        <f>LN('2.ΤΙΜΕΣ ΚΛΕΙΣΙΜΑΤΟΣ'!AD228/'2.ΤΙΜΕΣ ΚΛΕΙΣΙΜΑΤΟΣ'!AD227)</f>
        <v>2.5533302005164845E-2</v>
      </c>
      <c r="AE227" s="43">
        <f>LN('2.ΤΙΜΕΣ ΚΛΕΙΣΙΜΑΤΟΣ'!AE228/'2.ΤΙΜΕΣ ΚΛΕΙΣΙΜΑΤΟΣ'!AE227)</f>
        <v>-8.0483331828283718E-3</v>
      </c>
      <c r="AF227" s="43">
        <f>LN('2.ΤΙΜΕΣ ΚΛΕΙΣΙΜΑΤΟΣ'!AF228/'2.ΤΙΜΕΣ ΚΛΕΙΣΙΜΑΤΟΣ'!AF227)</f>
        <v>-1.3995803544232435E-3</v>
      </c>
      <c r="AG227" s="43">
        <f>LN('2.ΤΙΜΕΣ ΚΛΕΙΣΙΜΑΤΟΣ'!AG228/'2.ΤΙΜΕΣ ΚΛΕΙΣΙΜΑΤΟΣ'!AG227)</f>
        <v>1.7391742711869239E-2</v>
      </c>
      <c r="AH227" s="43">
        <f>LN('2.ΤΙΜΕΣ ΚΛΕΙΣΙΜΑΤΟΣ'!AH228/'2.ΤΙΜΕΣ ΚΛΕΙΣΙΜΑΤΟΣ'!AH227)</f>
        <v>2.7928775525010056E-2</v>
      </c>
      <c r="AI227" s="43">
        <f>LN('2.ΤΙΜΕΣ ΚΛΕΙΣΙΜΑΤΟΣ'!AI228/'2.ΤΙΜΕΣ ΚΛΕΙΣΙΜΑΤΟΣ'!AI227)</f>
        <v>3.2157111634531443E-2</v>
      </c>
      <c r="AJ227" s="43">
        <f>LN('2.ΤΙΜΕΣ ΚΛΕΙΣΙΜΑΤΟΣ'!AJ228/'2.ΤΙΜΕΣ ΚΛΕΙΣΙΜΑΤΟΣ'!AJ227)</f>
        <v>4.4850566165351498E-2</v>
      </c>
      <c r="AK227" s="43">
        <f>LN('2.ΤΙΜΕΣ ΚΛΕΙΣΙΜΑΤΟΣ'!AK228/'2.ΤΙΜΕΣ ΚΛΕΙΣΙΜΑΤΟΣ'!AK227)</f>
        <v>-1.1049836186584935E-2</v>
      </c>
      <c r="AL227" s="43">
        <f>LN('2.ΤΙΜΕΣ ΚΛΕΙΣΙΜΑΤΟΣ'!AL228/'2.ΤΙΜΕΣ ΚΛΕΙΣΙΜΑΤΟΣ'!AL227)</f>
        <v>2.0000666706669435E-2</v>
      </c>
      <c r="AM227" s="43">
        <f>LN('2.ΤΙΜΕΣ ΚΛΕΙΣΙΜΑΤΟΣ'!AM228/'2.ΤΙΜΕΣ ΚΛΕΙΣΙΜΑΤΟΣ'!AM227)</f>
        <v>-8.6831225734608809E-3</v>
      </c>
      <c r="AN227" s="43">
        <f>LN('2.ΤΙΜΕΣ ΚΛΕΙΣΙΜΑΤΟΣ'!AN228/'2.ΤΙΜΕΣ ΚΛΕΙΣΙΜΑΤΟΣ'!AN227)</f>
        <v>5.7158413839948623E-2</v>
      </c>
      <c r="AO227" s="43">
        <f>LN('2.ΤΙΜΕΣ ΚΛΕΙΣΙΜΑΤΟΣ'!AO228/'2.ΤΙΜΕΣ ΚΛΕΙΣΙΜΑΤΟΣ'!AO227)</f>
        <v>3.0627895305457308E-3</v>
      </c>
      <c r="AP227" s="43">
        <f>LN('2.ΤΙΜΕΣ ΚΛΕΙΣΙΜΑΤΟΣ'!AP228/'2.ΤΙΜΕΣ ΚΛΕΙΣΙΜΑΤΟΣ'!AP227)</f>
        <v>2.3408090898015019E-2</v>
      </c>
      <c r="AQ227" s="43">
        <f>LN('2.ΤΙΜΕΣ ΚΛΕΙΣΙΜΑΤΟΣ'!AQ228/'2.ΤΙΜΕΣ ΚΛΕΙΣΙΜΑΤΟΣ'!AQ227)</f>
        <v>1.8293193047325483E-2</v>
      </c>
      <c r="AR227" s="43">
        <f>LN('2.ΤΙΜΕΣ ΚΛΕΙΣΙΜΑΤΟΣ'!AR228/'2.ΤΙΜΕΣ ΚΛΕΙΣΙΜΑΤΟΣ'!AR227)</f>
        <v>5.4488185284069776E-2</v>
      </c>
      <c r="AS227" s="43">
        <f>LN('2.ΤΙΜΕΣ ΚΛΕΙΣΙΜΑΤΟΣ'!AS228/'2.ΤΙΜΕΣ ΚΛΕΙΣΙΜΑΤΟΣ'!AS227)</f>
        <v>3.243527575315374E-2</v>
      </c>
      <c r="AT227" s="43">
        <f>LN('2.ΤΙΜΕΣ ΚΛΕΙΣΙΜΑΤΟΣ'!AT228/'2.ΤΙΜΕΣ ΚΛΕΙΣΙΜΑΤΟΣ'!AT227)</f>
        <v>-0.1541506798272585</v>
      </c>
      <c r="AU227" s="43">
        <f>LN('2.ΤΙΜΕΣ ΚΛΕΙΣΙΜΑΤΟΣ'!AU228/'2.ΤΙΜΕΣ ΚΛΕΙΣΙΜΑΤΟΣ'!AU227)</f>
        <v>1.8715440706645686E-2</v>
      </c>
    </row>
    <row r="228" spans="1:47">
      <c r="A228" s="41">
        <v>43887</v>
      </c>
      <c r="B228" s="43">
        <f>LN('2.ΤΙΜΕΣ ΚΛΕΙΣΙΜΑΤΟΣ'!B229/'2.ΤΙΜΕΣ ΚΛΕΙΣΙΜΑΤΟΣ'!B228)</f>
        <v>-4.7732787526576599E-3</v>
      </c>
      <c r="C228" s="43">
        <f>LN('2.ΤΙΜΕΣ ΚΛΕΙΣΙΜΑΤΟΣ'!C229/'2.ΤΙΜΕΣ ΚΛΕΙΣΙΜΑΤΟΣ'!C228)</f>
        <v>-1.4815085785140587E-2</v>
      </c>
      <c r="D228" s="43">
        <f>LN('2.ΤΙΜΕΣ ΚΛΕΙΣΙΜΑΤΟΣ'!D229/'2.ΤΙΜΕΣ ΚΛΕΙΣΙΜΑΤΟΣ'!D228)</f>
        <v>-1.3399039229248689E-2</v>
      </c>
      <c r="E228" s="43">
        <f>LN('2.ΤΙΜΕΣ ΚΛΕΙΣΙΜΑΤΟΣ'!E229/'2.ΤΙΜΕΣ ΚΛΕΙΣΙΜΑΤΟΣ'!E228)</f>
        <v>-5.1935348984245705E-2</v>
      </c>
      <c r="F228" s="43">
        <f>LN('2.ΤΙΜΕΣ ΚΛΕΙΣΙΜΑΤΟΣ'!F229/'2.ΤΙΜΕΣ ΚΛΕΙΣΙΜΑΤΟΣ'!F228)</f>
        <v>-1.4184634991956413E-2</v>
      </c>
      <c r="G228" s="43">
        <f>LN('2.ΤΙΜΕΣ ΚΛΕΙΣΙΜΑΤΟΣ'!G229/'2.ΤΙΜΕΣ ΚΛΕΙΣΙΜΑΤΟΣ'!G228)</f>
        <v>-3.4887259000440436E-2</v>
      </c>
      <c r="H228" s="43">
        <f>LN('2.ΤΙΜΕΣ ΚΛΕΙΣΙΜΑΤΟΣ'!H229/'2.ΤΙΜΕΣ ΚΛΕΙΣΙΜΑΤΟΣ'!H228)</f>
        <v>-4.0109997338165504E-2</v>
      </c>
      <c r="I228" s="43">
        <f>LN('2.ΤΙΜΕΣ ΚΛΕΙΣΙΜΑΤΟΣ'!I229/'2.ΤΙΜΕΣ ΚΛΕΙΣΙΜΑΤΟΣ'!I228)</f>
        <v>-6.0702945685674047E-2</v>
      </c>
      <c r="J228" s="43">
        <f>LN('2.ΤΙΜΕΣ ΚΛΕΙΣΙΜΑΤΟΣ'!J229/'2.ΤΙΜΕΣ ΚΛΕΙΣΙΜΑΤΟΣ'!J228)</f>
        <v>-2.0375603033018105E-2</v>
      </c>
      <c r="K228" s="43">
        <f>LN('2.ΤΙΜΕΣ ΚΛΕΙΣΙΜΑΤΟΣ'!K229/'2.ΤΙΜΕΣ ΚΛΕΙΣΙΜΑΤΟΣ'!K228)</f>
        <v>-2.1622464013165657E-2</v>
      </c>
      <c r="L228" s="43">
        <f>LN('2.ΤΙΜΕΣ ΚΛΕΙΣΙΜΑΤΟΣ'!L229/'2.ΤΙΜΕΣ ΚΛΕΙΣΙΜΑΤΟΣ'!L228)</f>
        <v>-2.6600681797179029E-2</v>
      </c>
      <c r="M228" s="43">
        <f>LN('2.ΤΙΜΕΣ ΚΛΕΙΣΙΜΑΤΟΣ'!M229/'2.ΤΙΜΕΣ ΚΛΕΙΣΙΜΑΤΟΣ'!M228)</f>
        <v>-4.0005334613699248E-2</v>
      </c>
      <c r="N228" s="43">
        <f>LN('2.ΤΙΜΕΣ ΚΛΕΙΣΙΜΑΤΟΣ'!N229/'2.ΤΙΜΕΣ ΚΛΕΙΣΙΜΑΤΟΣ'!N228)</f>
        <v>-4.105353076426161E-2</v>
      </c>
      <c r="O228" s="43">
        <f>LN('2.ΤΙΜΕΣ ΚΛΕΙΣΙΜΑΤΟΣ'!O229/'2.ΤΙΜΕΣ ΚΛΕΙΣΙΜΑΤΟΣ'!O228)</f>
        <v>-4.1813238612652792E-2</v>
      </c>
      <c r="P228" s="43">
        <f>LN('2.ΤΙΜΕΣ ΚΛΕΙΣΙΜΑΤΟΣ'!P229/'2.ΤΙΜΕΣ ΚΛΕΙΣΙΜΑΤΟΣ'!P228)</f>
        <v>-4.8654488163525605E-2</v>
      </c>
      <c r="Q228" s="43">
        <f>LN('2.ΤΙΜΕΣ ΚΛΕΙΣΙΜΑΤΟΣ'!Q229/'2.ΤΙΜΕΣ ΚΛΕΙΣΙΜΑΤΟΣ'!Q228)</f>
        <v>-5.1496525767174957E-2</v>
      </c>
      <c r="R228" s="43">
        <f>LN('2.ΤΙΜΕΣ ΚΛΕΙΣΙΜΑΤΟΣ'!R229/'2.ΤΙΜΕΣ ΚΛΕΙΣΙΜΑΤΟΣ'!R228)</f>
        <v>-1.5348276946799378E-2</v>
      </c>
      <c r="S228" s="43">
        <f>LN('2.ΤΙΜΕΣ ΚΛΕΙΣΙΜΑΤΟΣ'!S229/'2.ΤΙΜΕΣ ΚΛΕΙΣΙΜΑΤΟΣ'!S228)</f>
        <v>7.6045993852192125E-3</v>
      </c>
      <c r="T228" s="43">
        <f>LN('2.ΤΙΜΕΣ ΚΛΕΙΣΙΜΑΤΟΣ'!T229/'2.ΤΙΜΕΣ ΚΛΕΙΣΙΜΑΤΟΣ'!T228)</f>
        <v>-2.4253411928503124E-2</v>
      </c>
      <c r="U228" s="43">
        <f>LN('2.ΤΙΜΕΣ ΚΛΕΙΣΙΜΑΤΟΣ'!U229/'2.ΤΙΜΕΣ ΚΛΕΙΣΙΜΑΤΟΣ'!U228)</f>
        <v>-1.8349138668196541E-2</v>
      </c>
      <c r="V228" s="43">
        <f>LN('2.ΤΙΜΕΣ ΚΛΕΙΣΙΜΑΤΟΣ'!V229/'2.ΤΙΜΕΣ ΚΛΕΙΣΙΜΑΤΟΣ'!V228)</f>
        <v>-3.2651663110143357E-2</v>
      </c>
      <c r="W228" s="43">
        <f>LN('2.ΤΙΜΕΣ ΚΛΕΙΣΙΜΑΤΟΣ'!W229/'2.ΤΙΜΕΣ ΚΛΕΙΣΙΜΑΤΟΣ'!W228)</f>
        <v>-6.3577864323811406E-2</v>
      </c>
      <c r="X228" s="43">
        <f>LN('2.ΤΙΜΕΣ ΚΛΕΙΣΙΜΑΤΟΣ'!X229/'2.ΤΙΜΕΣ ΚΛΕΙΣΙΜΑΤΟΣ'!X228)</f>
        <v>-4.4233254976825648E-2</v>
      </c>
      <c r="Y228" s="43">
        <f>LN('2.ΤΙΜΕΣ ΚΛΕΙΣΙΜΑΤΟΣ'!Y229/'2.ΤΙΜΕΣ ΚΛΕΙΣΙΜΑΤΟΣ'!Y228)</f>
        <v>-4.4706585088330336E-2</v>
      </c>
      <c r="Z228" s="43">
        <f>LN('2.ΤΙΜΕΣ ΚΛΕΙΣΙΜΑΤΟΣ'!Z229/'2.ΤΙΜΕΣ ΚΛΕΙΣΙΜΑΤΟΣ'!Z228)</f>
        <v>-2.7834798993443988E-2</v>
      </c>
      <c r="AA228" s="43">
        <f>LN('2.ΤΙΜΕΣ ΚΛΕΙΣΙΜΑΤΟΣ'!AA229/'2.ΤΙΜΕΣ ΚΛΕΙΣΙΜΑΤΟΣ'!AA228)</f>
        <v>-4.4825431380064271E-2</v>
      </c>
      <c r="AB228" s="43">
        <f>LN('2.ΤΙΜΕΣ ΚΛΕΙΣΙΜΑΤΟΣ'!AB229/'2.ΤΙΜΕΣ ΚΛΕΙΣΙΜΑΤΟΣ'!AB228)</f>
        <v>-2.483413203773838E-2</v>
      </c>
      <c r="AC228" s="43">
        <f>LN('2.ΤΙΜΕΣ ΚΛΕΙΣΙΜΑΤΟΣ'!AC229/'2.ΤΙΜΕΣ ΚΛΕΙΣΙΜΑΤΟΣ'!AC228)</f>
        <v>-5.4945193176407017E-3</v>
      </c>
      <c r="AD228" s="43">
        <f>LN('2.ΤΙΜΕΣ ΚΛΕΙΣΙΜΑΤΟΣ'!AD229/'2.ΤΙΜΕΣ ΚΛΕΙΣΙΜΑΤΟΣ'!AD228)</f>
        <v>-3.9422414165831948E-2</v>
      </c>
      <c r="AE228" s="43">
        <f>LN('2.ΤΙΜΕΣ ΚΛΕΙΣΙΜΑΤΟΣ'!AE229/'2.ΤΙΜΕΣ ΚΛΕΙΣΙΜΑΤΟΣ'!AE228)</f>
        <v>0</v>
      </c>
      <c r="AF228" s="43">
        <f>LN('2.ΤΙΜΕΣ ΚΛΕΙΣΙΜΑΤΟΣ'!AF229/'2.ΤΙΜΕΣ ΚΛΕΙΣΙΜΑΤΟΣ'!AF228)</f>
        <v>-4.4388102768794159E-2</v>
      </c>
      <c r="AG228" s="43">
        <f>LN('2.ΤΙΜΕΣ ΚΛΕΙΣΙΜΑΤΟΣ'!AG229/'2.ΤΙΜΕΣ ΚΛΕΙΣΙΜΑΤΟΣ'!AG228)</f>
        <v>-7.1458963982144866E-2</v>
      </c>
      <c r="AH228" s="43">
        <f>LN('2.ΤΙΜΕΣ ΚΛΕΙΣΙΜΑΤΟΣ'!AH229/'2.ΤΙΜΕΣ ΚΛΕΙΣΙΜΑΤΟΣ'!AH228)</f>
        <v>8.524427986960971E-2</v>
      </c>
      <c r="AI228" s="43">
        <f>LN('2.ΤΙΜΕΣ ΚΛΕΙΣΙΜΑΤΟΣ'!AI229/'2.ΤΙΜΕΣ ΚΛΕΙΣΙΜΑΤΟΣ'!AI228)</f>
        <v>-4.531519621204249E-2</v>
      </c>
      <c r="AJ228" s="43">
        <f>LN('2.ΤΙΜΕΣ ΚΛΕΙΣΙΜΑΤΟΣ'!AJ229/'2.ΤΙΜΕΣ ΚΛΕΙΣΙΜΑΤΟΣ'!AJ228)</f>
        <v>9.2115288907805737E-2</v>
      </c>
      <c r="AK228" s="43">
        <f>LN('2.ΤΙΜΕΣ ΚΛΕΙΣΙΜΑΤΟΣ'!AK229/'2.ΤΙΜΕΣ ΚΛΕΙΣΙΜΑΤΟΣ'!AK228)</f>
        <v>1.9257816604414519E-2</v>
      </c>
      <c r="AL228" s="43">
        <f>LN('2.ΤΙΜΕΣ ΚΛΕΙΣΙΜΑΤΟΣ'!AL229/'2.ΤΙΜΕΣ ΚΛΕΙΣΙΜΑΤΟΣ'!AL228)</f>
        <v>-4.0409538337876666E-2</v>
      </c>
      <c r="AM228" s="43">
        <f>LN('2.ΤΙΜΕΣ ΚΛΕΙΣΙΜΑΤΟΣ'!AM229/'2.ΤΙΜΕΣ ΚΛΕΙΣΙΜΑΤΟΣ'!AM228)</f>
        <v>-1.4641549992948005E-2</v>
      </c>
      <c r="AN228" s="43">
        <f>LN('2.ΤΙΜΕΣ ΚΛΕΙΣΙΜΑΤΟΣ'!AN229/'2.ΤΙΜΕΣ ΚΛΕΙΣΙΜΑΤΟΣ'!AN228)</f>
        <v>-2.0040750883446153E-2</v>
      </c>
      <c r="AO228" s="43">
        <f>LN('2.ΤΙΜΕΣ ΚΛΕΙΣΙΜΑΤΟΣ'!AO229/'2.ΤΙΜΕΣ ΚΛΕΙΣΙΜΑΤΟΣ'!AO228)</f>
        <v>-3.7387532071620329E-2</v>
      </c>
      <c r="AP228" s="43">
        <f>LN('2.ΤΙΜΕΣ ΚΛΕΙΣΙΜΑΤΟΣ'!AP229/'2.ΤΙΜΕΣ ΚΛΕΙΣΙΜΑΤΟΣ'!AP228)</f>
        <v>1.2771565679487539E-2</v>
      </c>
      <c r="AQ228" s="43">
        <f>LN('2.ΤΙΜΕΣ ΚΛΕΙΣΙΜΑΤΟΣ'!AQ229/'2.ΤΙΜΕΣ ΚΛΕΙΣΙΜΑΤΟΣ'!AQ228)</f>
        <v>-1.8293193047325376E-2</v>
      </c>
      <c r="AR228" s="43">
        <f>LN('2.ΤΙΜΕΣ ΚΛΕΙΣΙΜΑΤΟΣ'!AR229/'2.ΤΙΜΕΣ ΚΛΕΙΣΙΜΑΤΟΣ'!AR228)</f>
        <v>-9.7880063661628207E-3</v>
      </c>
      <c r="AS228" s="43">
        <f>LN('2.ΤΙΜΕΣ ΚΛΕΙΣΙΜΑΤΟΣ'!AS229/'2.ΤΙΜΕΣ ΚΛΕΙΣΙΜΑΤΟΣ'!AS228)</f>
        <v>-1.0695289116747919E-2</v>
      </c>
      <c r="AT228" s="43">
        <f>LN('2.ΤΙΜΕΣ ΚΛΕΙΣΙΜΑΤΟΣ'!AT229/'2.ΤΙΜΕΣ ΚΛΕΙΣΙΜΑΤΟΣ'!AT228)</f>
        <v>2.061928720273561E-2</v>
      </c>
      <c r="AU228" s="43">
        <f>LN('2.ΤΙΜΕΣ ΚΛΕΙΣΙΜΑΤΟΣ'!AU229/'2.ΤΙΜΕΣ ΚΛΕΙΣΙΜΑΤΟΣ'!AU228)</f>
        <v>-2.7318356886065313E-2</v>
      </c>
    </row>
    <row r="229" spans="1:47">
      <c r="A229" s="41">
        <v>43888</v>
      </c>
      <c r="B229" s="43">
        <f>LN('2.ΤΙΜΕΣ ΚΛΕΙΣΙΜΑΤΟΣ'!B230/'2.ΤΙΜΕΣ ΚΛΕΙΣΙΜΑΤΟΣ'!B229)</f>
        <v>-2.2255393635261685E-2</v>
      </c>
      <c r="C229" s="43">
        <f>LN('2.ΤΙΜΕΣ ΚΛΕΙΣΙΜΑΤΟΣ'!C230/'2.ΤΙΜΕΣ ΚΛΕΙΣΙΜΑΤΟΣ'!C229)</f>
        <v>-2.1116923440922808E-2</v>
      </c>
      <c r="D229" s="43">
        <f>LN('2.ΤΙΜΕΣ ΚΛΕΙΣΙΜΑΤΟΣ'!D230/'2.ΤΙΜΕΣ ΚΛΕΙΣΙΜΑΤΟΣ'!D229)</f>
        <v>-5.546708151287251E-2</v>
      </c>
      <c r="E229" s="43">
        <f>LN('2.ΤΙΜΕΣ ΚΛΕΙΣΙΜΑΤΟΣ'!E230/'2.ΤΙΜΕΣ ΚΛΕΙΣΙΜΑΤΟΣ'!E229)</f>
        <v>-6.4324457131616303E-2</v>
      </c>
      <c r="F229" s="43">
        <f>LN('2.ΤΙΜΕΣ ΚΛΕΙΣΙΜΑΤΟΣ'!F230/'2.ΤΙΜΕΣ ΚΛΕΙΣΙΜΑΤΟΣ'!F229)</f>
        <v>-5.7326495191718389E-2</v>
      </c>
      <c r="G229" s="43">
        <f>LN('2.ΤΙΜΕΣ ΚΛΕΙΣΙΜΑΤΟΣ'!G230/'2.ΤΙΜΕΣ ΚΛΕΙΣΙΜΑΤΟΣ'!G229)</f>
        <v>-9.6198147895821651E-2</v>
      </c>
      <c r="H229" s="43">
        <f>LN('2.ΤΙΜΕΣ ΚΛΕΙΣΙΜΑΤΟΣ'!H230/'2.ΤΙΜΕΣ ΚΛΕΙΣΙΜΑΤΟΣ'!H229)</f>
        <v>-4.6124680583291937E-2</v>
      </c>
      <c r="I229" s="43">
        <f>LN('2.ΤΙΜΕΣ ΚΛΕΙΣΙΜΑΤΟΣ'!I230/'2.ΤΙΜΕΣ ΚΛΕΙΣΙΜΑΤΟΣ'!I229)</f>
        <v>-9.6375993920672559E-2</v>
      </c>
      <c r="J229" s="43">
        <f>LN('2.ΤΙΜΕΣ ΚΛΕΙΣΙΜΑΤΟΣ'!J230/'2.ΤΙΜΕΣ ΚΛΕΙΣΙΜΑΤΟΣ'!J229)</f>
        <v>-9.0873761091860086E-2</v>
      </c>
      <c r="K229" s="43">
        <f>LN('2.ΤΙΜΕΣ ΚΛΕΙΣΙΜΑΤΟΣ'!K230/'2.ΤΙΜΕΣ ΚΛΕΙΣΙΜΑΤΟΣ'!K229)</f>
        <v>-4.4700178917906938E-2</v>
      </c>
      <c r="L229" s="43">
        <f>LN('2.ΤΙΜΕΣ ΚΛΕΙΣΙΜΑΤΟΣ'!L230/'2.ΤΙΜΕΣ ΚΛΕΙΣΙΜΑΤΟΣ'!L229)</f>
        <v>-5.6780927141872009E-2</v>
      </c>
      <c r="M229" s="43">
        <f>LN('2.ΤΙΜΕΣ ΚΛΕΙΣΙΜΑΤΟΣ'!M230/'2.ΤΙΜΕΣ ΚΛΕΙΣΙΜΑΤΟΣ'!M229)</f>
        <v>-2.3400930164612473E-2</v>
      </c>
      <c r="N229" s="43">
        <f>LN('2.ΤΙΜΕΣ ΚΛΕΙΣΙΜΑΤΟΣ'!N230/'2.ΤΙΜΕΣ ΚΛΕΙΣΙΜΑΤΟΣ'!N229)</f>
        <v>-2.7559794793076572E-2</v>
      </c>
      <c r="O229" s="43">
        <f>LN('2.ΤΙΜΕΣ ΚΛΕΙΣΙΜΑΤΟΣ'!O230/'2.ΤΙΜΕΣ ΚΛΕΙΣΙΜΑΤΟΣ'!O229)</f>
        <v>-5.8131176562570872E-2</v>
      </c>
      <c r="P229" s="43">
        <f>LN('2.ΤΙΜΕΣ ΚΛΕΙΣΙΜΑΤΟΣ'!P230/'2.ΤΙΜΕΣ ΚΛΕΙΣΙΜΑΤΟΣ'!P229)</f>
        <v>-4.3675063502661531E-2</v>
      </c>
      <c r="Q229" s="43">
        <f>LN('2.ΤΙΜΕΣ ΚΛΕΙΣΙΜΑΤΟΣ'!Q230/'2.ΤΙΜΕΣ ΚΛΕΙΣΙΜΑΤΟΣ'!Q229)</f>
        <v>-0.10265415406008321</v>
      </c>
      <c r="R229" s="43">
        <f>LN('2.ΤΙΜΕΣ ΚΛΕΙΣΙΜΑΤΟΣ'!R230/'2.ΤΙΜΕΣ ΚΛΕΙΣΙΜΑΤΟΣ'!R229)</f>
        <v>-0.12480765059334786</v>
      </c>
      <c r="S229" s="43">
        <f>LN('2.ΤΙΜΕΣ ΚΛΕΙΣΙΜΑΤΟΣ'!S230/'2.ΤΙΜΕΣ ΚΛΕΙΣΙΜΑΤΟΣ'!S229)</f>
        <v>-5.063301956546762E-3</v>
      </c>
      <c r="T229" s="43">
        <f>LN('2.ΤΙΜΕΣ ΚΛΕΙΣΙΜΑΤΟΣ'!T230/'2.ΤΙΜΕΣ ΚΛΕΙΣΙΜΑΤΟΣ'!T229)</f>
        <v>-5.5523090499217914E-2</v>
      </c>
      <c r="U229" s="43">
        <f>LN('2.ΤΙΜΕΣ ΚΛΕΙΣΙΜΑΤΟΣ'!U230/'2.ΤΙΜΕΣ ΚΛΕΙΣΙΜΑΤΟΣ'!U229)</f>
        <v>-8.1415391485508581E-2</v>
      </c>
      <c r="V229" s="43">
        <f>LN('2.ΤΙΜΕΣ ΚΛΕΙΣΙΜΑΤΟΣ'!V230/'2.ΤΙΜΕΣ ΚΛΕΙΣΙΜΑΤΟΣ'!V229)</f>
        <v>-5.3888793220913174E-2</v>
      </c>
      <c r="W229" s="43">
        <f>LN('2.ΤΙΜΕΣ ΚΛΕΙΣΙΜΑΤΟΣ'!W230/'2.ΤΙΜΕΣ ΚΛΕΙΣΙΜΑΤΟΣ'!W229)</f>
        <v>-8.5996148476035053E-2</v>
      </c>
      <c r="X229" s="43">
        <f>LN('2.ΤΙΜΕΣ ΚΛΕΙΣΙΜΑΤΟΣ'!X230/'2.ΤΙΜΕΣ ΚΛΕΙΣΙΜΑΤΟΣ'!X229)</f>
        <v>-4.3652630157736759E-2</v>
      </c>
      <c r="Y229" s="43">
        <f>LN('2.ΤΙΜΕΣ ΚΛΕΙΣΙΜΑΤΟΣ'!Y230/'2.ΤΙΜΕΣ ΚΛΕΙΣΙΜΑΤΟΣ'!Y229)</f>
        <v>-9.848049890425703E-2</v>
      </c>
      <c r="Z229" s="43">
        <f>LN('2.ΤΙΜΕΣ ΚΛΕΙΣΙΜΑΤΟΣ'!Z230/'2.ΤΙΜΕΣ ΚΛΕΙΣΙΜΑΤΟΣ'!Z229)</f>
        <v>-1.2170535620255179E-2</v>
      </c>
      <c r="AA229" s="43">
        <f>LN('2.ΤΙΜΕΣ ΚΛΕΙΣΙΜΑΤΟΣ'!AA230/'2.ΤΙΜΕΣ ΚΛΕΙΣΙΜΑΤΟΣ'!AA229)</f>
        <v>-4.9936953285938751E-2</v>
      </c>
      <c r="AB229" s="43">
        <f>LN('2.ΤΙΜΕΣ ΚΛΕΙΣΙΜΑΤΟΣ'!AB230/'2.ΤΙΜΕΣ ΚΛΕΙΣΙΜΑΤΟΣ'!AB229)</f>
        <v>-3.3434776086237343E-2</v>
      </c>
      <c r="AC229" s="43">
        <f>LN('2.ΤΙΜΕΣ ΚΛΕΙΣΙΜΑΤΟΣ'!AC230/'2.ΤΙΜΕΣ ΚΛΕΙΣΙΜΑΤΟΣ'!AC229)</f>
        <v>-8.2988028146950658E-3</v>
      </c>
      <c r="AD229" s="43">
        <f>LN('2.ΤΙΜΕΣ ΚΛΕΙΣΙΜΑΤΟΣ'!AD230/'2.ΤΙΜΕΣ ΚΛΕΙΣΙΜΑΤΟΣ'!AD229)</f>
        <v>-2.6573751452513679E-2</v>
      </c>
      <c r="AE229" s="43">
        <f>LN('2.ΤΙΜΕΣ ΚΛΕΙΣΙΜΑΤΟΣ'!AE230/'2.ΤΙΜΕΣ ΚΛΕΙΣΙΜΑΤΟΣ'!AE229)</f>
        <v>-1.2195273093818355E-2</v>
      </c>
      <c r="AF229" s="43">
        <f>LN('2.ΤΙΜΕΣ ΚΛΕΙΣΙΜΑΤΟΣ'!AF230/'2.ΤΙΜΕΣ ΚΛΕΙΣΙΜΑΤΟΣ'!AF229)</f>
        <v>-8.8743209834388631E-2</v>
      </c>
      <c r="AG229" s="43">
        <f>LN('2.ΤΙΜΕΣ ΚΛΕΙΣΙΜΑΤΟΣ'!AG230/'2.ΤΙΜΕΣ ΚΛΕΙΣΙΜΑΤΟΣ'!AG229)</f>
        <v>-0.16034265007517937</v>
      </c>
      <c r="AH229" s="43">
        <f>LN('2.ΤΙΜΕΣ ΚΛΕΙΣΙΜΑΤΟΣ'!AH230/'2.ΤΙΜΕΣ ΚΛΕΙΣΙΜΑΤΟΣ'!AH229)</f>
        <v>-8.2071352829032232E-2</v>
      </c>
      <c r="AI229" s="43">
        <f>LN('2.ΤΙΜΕΣ ΚΛΕΙΣΙΜΑΤΟΣ'!AI230/'2.ΤΙΜΕΣ ΚΛΕΙΣΙΜΑΤΟΣ'!AI229)</f>
        <v>-2.0067563050809142E-2</v>
      </c>
      <c r="AJ229" s="43">
        <f>LN('2.ΤΙΜΕΣ ΚΛΕΙΣΙΜΑΤΟΣ'!AJ230/'2.ΤΙΜΕΣ ΚΛΕΙΣΙΜΑΤΟΣ'!AJ229)</f>
        <v>-7.9043207340452851E-2</v>
      </c>
      <c r="AK229" s="43">
        <f>LN('2.ΤΙΜΕΣ ΚΛΕΙΣΙΜΑΤΟΣ'!AK230/'2.ΤΙΜΕΣ ΚΛΕΙΣΙΜΑΤΟΣ'!AK229)</f>
        <v>-8.8250688091366061E-2</v>
      </c>
      <c r="AL229" s="43">
        <f>LN('2.ΤΙΜΕΣ ΚΛΕΙΣΙΜΑΤΟΣ'!AL230/'2.ΤΙΜΕΣ ΚΛΕΙΣΙΜΑΤΟΣ'!AL229)</f>
        <v>-0.13205972201306637</v>
      </c>
      <c r="AM229" s="43">
        <f>LN('2.ΤΙΜΕΣ ΚΛΕΙΣΙΜΑΤΟΣ'!AM230/'2.ΤΙΜΕΣ ΚΛΕΙΣΙΜΑΤΟΣ'!AM229)</f>
        <v>0</v>
      </c>
      <c r="AN229" s="43">
        <f>LN('2.ΤΙΜΕΣ ΚΛΕΙΣΙΜΑΤΟΣ'!AN230/'2.ΤΙΜΕΣ ΚΛΕΙΣΙΜΑΤΟΣ'!AN229)</f>
        <v>-8.2238098236971993E-2</v>
      </c>
      <c r="AO229" s="43">
        <f>LN('2.ΤΙΜΕΣ ΚΛΕΙΣΙΜΑΤΟΣ'!AO230/'2.ΤΙΜΕΣ ΚΛΕΙΣΙΜΑΤΟΣ'!AO229)</f>
        <v>-1.6000341346441075E-2</v>
      </c>
      <c r="AP229" s="43">
        <f>LN('2.ΤΙΜΕΣ ΚΛΕΙΣΙΜΑΤΟΣ'!AP230/'2.ΤΙΜΕΣ ΚΛΕΙΣΙΜΑΤΟΣ'!AP229)</f>
        <v>-6.8267971129002861E-2</v>
      </c>
      <c r="AQ229" s="43">
        <f>LN('2.ΤΙΜΕΣ ΚΛΕΙΣΙΜΑΤΟΣ'!AQ230/'2.ΤΙΜΕΣ ΚΛΕΙΣΙΜΑΤΟΣ'!AQ229)</f>
        <v>-0.11050191515824503</v>
      </c>
      <c r="AR229" s="43">
        <f>LN('2.ΤΙΜΕΣ ΚΛΕΙΣΙΜΑΤΟΣ'!AR230/'2.ΤΙΜΕΣ ΚΛΕΙΣΙΜΑΤΟΣ'!AR229)</f>
        <v>-6.7822596338761171E-2</v>
      </c>
      <c r="AS229" s="43">
        <f>LN('2.ΤΙΜΕΣ ΚΛΕΙΣΙΜΑΤΟΣ'!AS230/'2.ΤΙΜΕΣ ΚΛΕΙΣΙΜΑΤΟΣ'!AS229)</f>
        <v>-0.15057285847937443</v>
      </c>
      <c r="AT229" s="43">
        <f>LN('2.ΤΙΜΕΣ ΚΛΕΙΣΙΜΑΤΟΣ'!AT230/'2.ΤΙΜΕΣ ΚΛΕΙΣΙΜΑΤΟΣ'!AT229)</f>
        <v>-0.12597980286056196</v>
      </c>
      <c r="AU229" s="43">
        <f>LN('2.ΤΙΜΕΣ ΚΛΕΙΣΙΜΑΤΟΣ'!AU230/'2.ΤΙΜΕΣ ΚΛΕΙΣΙΜΑΤΟΣ'!AU229)</f>
        <v>-5.381732302548603E-2</v>
      </c>
    </row>
    <row r="230" spans="1:47">
      <c r="A230" s="41">
        <v>43889</v>
      </c>
      <c r="B230" s="43">
        <f>LN('2.ΤΙΜΕΣ ΚΛΕΙΣΙΜΑΤΟΣ'!B231/'2.ΤΙΜΕΣ ΚΛΕΙΣΙΜΑΤΟΣ'!B230)</f>
        <v>-7.6569728276507765E-2</v>
      </c>
      <c r="C230" s="43">
        <f>LN('2.ΤΙΜΕΣ ΚΛΕΙΣΙΜΑΤΟΣ'!C231/'2.ΤΙΜΕΣ ΚΛΕΙΣΙΜΑΤΟΣ'!C230)</f>
        <v>-2.3131332023418966E-2</v>
      </c>
      <c r="D230" s="43">
        <f>LN('2.ΤΙΜΕΣ ΚΛΕΙΣΙΜΑΤΟΣ'!D231/'2.ΤΙΜΕΣ ΚΛΕΙΣΙΜΑΤΟΣ'!D230)</f>
        <v>-8.1152321800226718E-2</v>
      </c>
      <c r="E230" s="43">
        <f>LN('2.ΤΙΜΕΣ ΚΛΕΙΣΙΜΑΤΟΣ'!E231/'2.ΤΙΜΕΣ ΚΛΕΙΣΙΜΑΤΟΣ'!E230)</f>
        <v>-2.6372104339195884E-2</v>
      </c>
      <c r="F230" s="43">
        <f>LN('2.ΤΙΜΕΣ ΚΛΕΙΣΙΜΑΤΟΣ'!F231/'2.ΤΙΜΕΣ ΚΛΕΙΣΙΜΑΤΟΣ'!F230)</f>
        <v>-5.6002190115284879E-2</v>
      </c>
      <c r="G230" s="43">
        <f>LN('2.ΤΙΜΕΣ ΚΛΕΙΣΙΜΑΤΟΣ'!G231/'2.ΤΙΜΕΣ ΚΛΕΙΣΙΜΑΤΟΣ'!G230)</f>
        <v>-8.1400849943959561E-2</v>
      </c>
      <c r="H230" s="43">
        <f>LN('2.ΤΙΜΕΣ ΚΛΕΙΣΙΜΑΤΟΣ'!H231/'2.ΤΙΜΕΣ ΚΛΕΙΣΙΜΑΤΟΣ'!H230)</f>
        <v>-8.4192091220347973E-2</v>
      </c>
      <c r="I230" s="43">
        <f>LN('2.ΤΙΜΕΣ ΚΛΕΙΣΙΜΑΤΟΣ'!I231/'2.ΤΙΜΕΣ ΚΛΕΙΣΙΜΑΤΟΣ'!I230)</f>
        <v>-5.810763080728093E-2</v>
      </c>
      <c r="J230" s="43">
        <f>LN('2.ΤΙΜΕΣ ΚΛΕΙΣΙΜΑΤΟΣ'!J231/'2.ΤΙΜΕΣ ΚΛΕΙΣΙΜΑΤΟΣ'!J230)</f>
        <v>-0.10345870836822996</v>
      </c>
      <c r="K230" s="43">
        <f>LN('2.ΤΙΜΕΣ ΚΛΕΙΣΙΜΑΤΟΣ'!K231/'2.ΤΙΜΕΣ ΚΛΕΙΣΙΜΑΤΟΣ'!K230)</f>
        <v>9.950330853168092E-3</v>
      </c>
      <c r="L230" s="43">
        <f>LN('2.ΤΙΜΕΣ ΚΛΕΙΣΙΜΑΤΟΣ'!L231/'2.ΤΙΜΕΣ ΚΛΕΙΣΙΜΑΤΟΣ'!L230)</f>
        <v>-7.7667812579363962E-2</v>
      </c>
      <c r="M230" s="43">
        <f>LN('2.ΤΙΜΕΣ ΚΛΕΙΣΙΜΑΤΟΣ'!M231/'2.ΤΙΜΕΣ ΚΛΕΙΣΙΜΑΤΟΣ'!M230)</f>
        <v>-0.11656511467068938</v>
      </c>
      <c r="N230" s="43">
        <f>LN('2.ΤΙΜΕΣ ΚΛΕΙΣΙΜΑΤΟΣ'!N231/'2.ΤΙΜΕΣ ΚΛΕΙΣΙΜΑΤΟΣ'!N230)</f>
        <v>-4.5387164052730015E-2</v>
      </c>
      <c r="O230" s="43">
        <f>LN('2.ΤΙΜΕΣ ΚΛΕΙΣΙΜΑΤΟΣ'!O231/'2.ΤΙΜΕΣ ΚΛΕΙΣΙΜΑΤΟΣ'!O230)</f>
        <v>-6.7950661908507667E-2</v>
      </c>
      <c r="P230" s="43">
        <f>LN('2.ΤΙΜΕΣ ΚΛΕΙΣΙΜΑΤΟΣ'!P231/'2.ΤΙΜΕΣ ΚΛΕΙΣΙΜΑΤΟΣ'!P230)</f>
        <v>-0.10668414258833457</v>
      </c>
      <c r="Q230" s="43">
        <f>LN('2.ΤΙΜΕΣ ΚΛΕΙΣΙΜΑΤΟΣ'!Q231/'2.ΤΙΜΕΣ ΚΛΕΙΣΙΜΑΤΟΣ'!Q230)</f>
        <v>-0.11239218702150718</v>
      </c>
      <c r="R230" s="43">
        <f>LN('2.ΤΙΜΕΣ ΚΛΕΙΣΙΜΑΤΟΣ'!R231/'2.ΤΙΜΕΣ ΚΛΕΙΣΙΜΑΤΟΣ'!R230)</f>
        <v>-0.11378800527978344</v>
      </c>
      <c r="S230" s="43">
        <f>LN('2.ΤΙΜΕΣ ΚΛΕΙΣΙΜΑΤΟΣ'!S231/'2.ΤΙΜΕΣ ΚΛΕΙΣΙΜΑΤΟΣ'!S230)</f>
        <v>-8.8858952572930056E-2</v>
      </c>
      <c r="T230" s="43">
        <f>LN('2.ΤΙΜΕΣ ΚΛΕΙΣΙΜΑΤΟΣ'!T231/'2.ΤΙΜΕΣ ΚΛΕΙΣΙΜΑΤΟΣ'!T230)</f>
        <v>-9.427265593466766E-2</v>
      </c>
      <c r="U230" s="43">
        <f>LN('2.ΤΙΜΕΣ ΚΛΕΙΣΙΜΑΤΟΣ'!U231/'2.ΤΙΜΕΣ ΚΛΕΙΣΙΜΑΤΟΣ'!U230)</f>
        <v>-4.5670036833188439E-2</v>
      </c>
      <c r="V230" s="43">
        <f>LN('2.ΤΙΜΕΣ ΚΛΕΙΣΙΜΑΤΟΣ'!V231/'2.ΤΙΜΕΣ ΚΛΕΙΣΙΜΑΤΟΣ'!V230)</f>
        <v>-7.7503561154860137E-2</v>
      </c>
      <c r="W230" s="43">
        <f>LN('2.ΤΙΜΕΣ ΚΛΕΙΣΙΜΑΤΟΣ'!W231/'2.ΤΙΜΕΣ ΚΛΕΙΣΙΜΑΤΟΣ'!W230)</f>
        <v>-4.1964199099032193E-2</v>
      </c>
      <c r="X230" s="43">
        <f>LN('2.ΤΙΜΕΣ ΚΛΕΙΣΙΜΑΤΟΣ'!X231/'2.ΤΙΜΕΣ ΚΛΕΙΣΙΜΑΤΟΣ'!X230)</f>
        <v>-7.0681585651285198E-2</v>
      </c>
      <c r="Y230" s="43">
        <f>LN('2.ΤΙΜΕΣ ΚΛΕΙΣΙΜΑΤΟΣ'!Y231/'2.ΤΙΜΕΣ ΚΛΕΙΣΙΜΑΤΟΣ'!Y230)</f>
        <v>-7.1027836577320994E-2</v>
      </c>
      <c r="Z230" s="43">
        <f>LN('2.ΤΙΜΕΣ ΚΛΕΙΣΙΜΑΤΟΣ'!Z231/'2.ΤΙΜΕΣ ΚΛΕΙΣΙΜΑΤΟΣ'!Z230)</f>
        <v>-0.10309550902697412</v>
      </c>
      <c r="AA230" s="43">
        <f>LN('2.ΤΙΜΕΣ ΚΛΕΙΣΙΜΑΤΟΣ'!AA231/'2.ΤΙΜΕΣ ΚΛΕΙΣΙΜΑΤΟΣ'!AA230)</f>
        <v>-2.1309786586750985E-2</v>
      </c>
      <c r="AB230" s="43">
        <f>LN('2.ΤΙΜΕΣ ΚΛΕΙΣΙΜΑΤΟΣ'!AB231/'2.ΤΙΜΕΣ ΚΛΕΙΣΙΜΑΤΟΣ'!AB230)</f>
        <v>-2.0202707317519355E-2</v>
      </c>
      <c r="AC230" s="43">
        <f>LN('2.ΤΙΜΕΣ ΚΛΕΙΣΙΜΑΤΟΣ'!AC231/'2.ΤΙΜΕΣ ΚΛΕΙΣΙΜΑΤΟΣ'!AC230)</f>
        <v>6.920442844573757E-3</v>
      </c>
      <c r="AD230" s="43">
        <f>LN('2.ΤΙΜΕΣ ΚΛΕΙΣΙΜΑΤΟΣ'!AD231/'2.ΤΙΜΕΣ ΚΛΕΙΣΙΜΑΤΟΣ'!AD230)</f>
        <v>-1.8116437505302885E-2</v>
      </c>
      <c r="AE230" s="43">
        <f>LN('2.ΤΙΜΕΣ ΚΛΕΙΣΙΜΑΤΟΣ'!AE231/'2.ΤΙΜΕΣ ΚΛΕΙΣΙΜΑΤΟΣ'!AE230)</f>
        <v>-5.2477937248616761E-2</v>
      </c>
      <c r="AF230" s="43">
        <f>LN('2.ΤΙΜΕΣ ΚΛΕΙΣΙΜΑΤΟΣ'!AF231/'2.ΤΙΜΕΣ ΚΛΕΙΣΙΜΑΤΟΣ'!AF230)</f>
        <v>-3.2523191705560062E-2</v>
      </c>
      <c r="AG230" s="43">
        <f>LN('2.ΤΙΜΕΣ ΚΛΕΙΣΙΜΑΤΟΣ'!AG231/'2.ΤΙΜΕΣ ΚΛΕΙΣΙΜΑΤΟΣ'!AG230)</f>
        <v>-0.11995931507897913</v>
      </c>
      <c r="AH230" s="43">
        <f>LN('2.ΤΙΜΕΣ ΚΛΕΙΣΙΜΑΤΟΣ'!AH231/'2.ΤΙΜΕΣ ΚΛΕΙΣΙΜΑΤΟΣ'!AH230)</f>
        <v>-5.0904329861767433E-2</v>
      </c>
      <c r="AI230" s="43">
        <f>LN('2.ΤΙΜΕΣ ΚΛΕΙΣΙΜΑΤΟΣ'!AI231/'2.ΤΙΜΕΣ ΚΛΕΙΣΙΜΑΤΟΣ'!AI230)</f>
        <v>-3.4367643504207769E-2</v>
      </c>
      <c r="AJ230" s="43">
        <f>LN('2.ΤΙΜΕΣ ΚΛΕΙΣΙΜΑΤΟΣ'!AJ231/'2.ΤΙΜΕΣ ΚΛΕΙΣΙΜΑΤΟΣ'!AJ230)</f>
        <v>2.5642430613337652E-2</v>
      </c>
      <c r="AK230" s="43">
        <f>LN('2.ΤΙΜΕΣ ΚΛΕΙΣΙΜΑΤΟΣ'!AK231/'2.ΤΙΜΕΣ ΚΛΕΙΣΙΜΑΤΟΣ'!AK230)</f>
        <v>-3.0213778596496595E-2</v>
      </c>
      <c r="AL230" s="43">
        <f>LN('2.ΤΙΜΕΣ ΚΛΕΙΣΙΜΑΤΟΣ'!AL231/'2.ΤΙΜΕΣ ΚΛΕΙΣΙΜΑΤΟΣ'!AL230)</f>
        <v>-4.8202101817877749E-2</v>
      </c>
      <c r="AM230" s="43">
        <f>LN('2.ΤΙΜΕΣ ΚΛΕΙΣΙΜΑΤΟΣ'!AM231/'2.ΤΙΜΕΣ ΚΛΕΙΣΙΜΑΤΟΣ'!AM230)</f>
        <v>-5.7679111586678045E-2</v>
      </c>
      <c r="AN230" s="43">
        <f>LN('2.ΤΙΜΕΣ ΚΛΕΙΣΙΜΑΤΟΣ'!AN231/'2.ΤΙΜΕΣ ΚΛΕΙΣΙΜΑΤΟΣ'!AN230)</f>
        <v>-9.6849825989917787E-2</v>
      </c>
      <c r="AO230" s="43">
        <f>LN('2.ΤΙΜΕΣ ΚΛΕΙΣΙΜΑΤΟΣ'!AO231/'2.ΤΙΜΕΣ ΚΛΕΙΣΙΜΑΤΟΣ'!AO230)</f>
        <v>-6.6691374498672282E-2</v>
      </c>
      <c r="AP230" s="43">
        <f>LN('2.ΤΙΜΕΣ ΚΛΕΙΣΙΜΑΤΟΣ'!AP231/'2.ΤΙΜΕΣ ΚΛΕΙΣΙΜΑΤΟΣ'!AP230)</f>
        <v>-7.3272201106325874E-2</v>
      </c>
      <c r="AQ230" s="43">
        <f>LN('2.ΤΙΜΕΣ ΚΛΕΙΣΙΜΑΤΟΣ'!AQ231/'2.ΤΙΜΕΣ ΚΛΕΙΣΙΜΑΤΟΣ'!AQ230)</f>
        <v>-7.8611887569653233E-2</v>
      </c>
      <c r="AR230" s="43">
        <f>LN('2.ΤΙΜΕΣ ΚΛΕΙΣΙΜΑΤΟΣ'!AR231/'2.ΤΙΜΕΣ ΚΛΕΙΣΙΜΑΤΟΣ'!AR230)</f>
        <v>-5.4067221270275703E-2</v>
      </c>
      <c r="AS230" s="43">
        <f>LN('2.ΤΙΜΕΣ ΚΛΕΙΣΙΜΑΤΟΣ'!AS231/'2.ΤΙΜΕΣ ΚΛΕΙΣΙΜΑΤΟΣ'!AS230)</f>
        <v>-1.6807118316381289E-2</v>
      </c>
      <c r="AT230" s="43">
        <f>LN('2.ΤΙΜΕΣ ΚΛΕΙΣΙΜΑΤΟΣ'!AT231/'2.ΤΙΜΕΣ ΚΛΕΙΣΙΜΑΤΟΣ'!AT230)</f>
        <v>-3.294415571935403E-2</v>
      </c>
      <c r="AU230" s="43">
        <f>LN('2.ΤΙΜΕΣ ΚΛΕΙΣΙΜΑΤΟΣ'!AU231/'2.ΤΙΜΕΣ ΚΛΕΙΣΙΜΑΤΟΣ'!AU230)</f>
        <v>-6.5132673739505306E-2</v>
      </c>
    </row>
    <row r="231" spans="1:47">
      <c r="A231" s="41">
        <v>43893</v>
      </c>
      <c r="B231" s="43">
        <f>LN('2.ΤΙΜΕΣ ΚΛΕΙΣΙΜΑΤΟΣ'!B232/'2.ΤΙΜΕΣ ΚΛΕΙΣΙΜΑΤΟΣ'!B231)</f>
        <v>4.3747289135570182E-2</v>
      </c>
      <c r="C231" s="43">
        <f>LN('2.ΤΙΜΕΣ ΚΛΕΙΣΙΜΑΤΟΣ'!C232/'2.ΤΙΜΕΣ ΚΛΕΙΣΙΜΑΤΟΣ'!C231)</f>
        <v>-1.5612805669524645E-3</v>
      </c>
      <c r="D231" s="43">
        <f>LN('2.ΤΙΜΕΣ ΚΛΕΙΣΙΜΑΤΟΣ'!D232/'2.ΤΙΜΕΣ ΚΛΕΙΣΙΜΑΤΟΣ'!D231)</f>
        <v>3.7434821221133868E-2</v>
      </c>
      <c r="E231" s="43">
        <f>LN('2.ΤΙΜΕΣ ΚΛΕΙΣΙΜΑΤΟΣ'!E232/'2.ΤΙΜΕΣ ΚΛΕΙΣΙΜΑΤΟΣ'!E231)</f>
        <v>0.16075929504761455</v>
      </c>
      <c r="F231" s="43">
        <f>LN('2.ΤΙΜΕΣ ΚΛΕΙΣΙΜΑΤΟΣ'!F232/'2.ΤΙΜΕΣ ΚΛΕΙΣΙΜΑΤΟΣ'!F231)</f>
        <v>9.1667188525823673E-2</v>
      </c>
      <c r="G231" s="43">
        <f>LN('2.ΤΙΜΕΣ ΚΛΕΙΣΙΜΑΤΟΣ'!G232/'2.ΤΙΜΕΣ ΚΛΕΙΣΙΜΑΤΟΣ'!G231)</f>
        <v>0.11503092068950889</v>
      </c>
      <c r="H231" s="43">
        <f>LN('2.ΤΙΜΕΣ ΚΛΕΙΣΙΜΑΤΟΣ'!H232/'2.ΤΙΜΕΣ ΚΛΕΙΣΙΜΑΤΟΣ'!H231)</f>
        <v>8.7911872322879892E-2</v>
      </c>
      <c r="I231" s="43">
        <f>LN('2.ΤΙΜΕΣ ΚΛΕΙΣΙΜΑΤΟΣ'!I232/'2.ΤΙΜΕΣ ΚΛΕΙΣΙΜΑΤΟΣ'!I231)</f>
        <v>0.11924962781849352</v>
      </c>
      <c r="J231" s="43">
        <f>LN('2.ΤΙΜΕΣ ΚΛΕΙΣΙΜΑΤΟΣ'!J232/'2.ΤΙΜΕΣ ΚΛΕΙΣΙΜΑΤΟΣ'!J231)</f>
        <v>8.3421608139072359E-2</v>
      </c>
      <c r="K231" s="43">
        <f>LN('2.ΤΙΜΕΣ ΚΛΕΙΣΙΜΑΤΟΣ'!K232/'2.ΤΙΜΕΣ ΚΛΕΙΣΙΜΑΤΟΣ'!K231)</f>
        <v>3.2013868245863962E-2</v>
      </c>
      <c r="L231" s="43">
        <f>LN('2.ΤΙΜΕΣ ΚΛΕΙΣΙΜΑΤΟΣ'!L232/'2.ΤΙΜΕΣ ΚΛΕΙΣΙΜΑΤΟΣ'!L231)</f>
        <v>8.7133738568246841E-2</v>
      </c>
      <c r="M231" s="43">
        <f>LN('2.ΤΙΜΕΣ ΚΛΕΙΣΙΜΑΤΟΣ'!M232/'2.ΤΙΜΕΣ ΚΛΕΙΣΙΜΑΤΟΣ'!M231)</f>
        <v>3.9882586278319476E-2</v>
      </c>
      <c r="N231" s="43">
        <f>LN('2.ΤΙΜΕΣ ΚΛΕΙΣΙΜΑΤΟΣ'!N232/'2.ΤΙΜΕΣ ΚΛΕΙΣΙΜΑΤΟΣ'!N231)</f>
        <v>7.7843083120375231E-2</v>
      </c>
      <c r="O231" s="43">
        <f>LN('2.ΤΙΜΕΣ ΚΛΕΙΣΙΜΑΤΟΣ'!O232/'2.ΤΙΜΕΣ ΚΛΕΙΣΙΜΑΤΟΣ'!O231)</f>
        <v>6.2094129795794741E-2</v>
      </c>
      <c r="P231" s="43">
        <f>LN('2.ΤΙΜΕΣ ΚΛΕΙΣΙΜΑΤΟΣ'!P232/'2.ΤΙΜΕΣ ΚΛΕΙΣΙΜΑΤΟΣ'!P231)</f>
        <v>0.11261887810814909</v>
      </c>
      <c r="Q231" s="43">
        <f>LN('2.ΤΙΜΕΣ ΚΛΕΙΣΙΜΑΤΟΣ'!Q232/'2.ΤΙΜΕΣ ΚΛΕΙΣΙΜΑΤΟΣ'!Q231)</f>
        <v>8.4993212833392714E-2</v>
      </c>
      <c r="R231" s="43">
        <f>LN('2.ΤΙΜΕΣ ΚΛΕΙΣΙΜΑΤΟΣ'!R232/'2.ΤΙΜΕΣ ΚΛΕΙΣΙΜΑΤΟΣ'!R231)</f>
        <v>9.5494812232457899E-2</v>
      </c>
      <c r="S231" s="43">
        <f>LN('2.ΤΙΜΕΣ ΚΛΕΙΣΙΜΑΤΟΣ'!S232/'2.ΤΙΜΕΣ ΚΛΕΙΣΙΜΑΤΟΣ'!S231)</f>
        <v>8.2873402485702866E-3</v>
      </c>
      <c r="T231" s="43">
        <f>LN('2.ΤΙΜΕΣ ΚΛΕΙΣΙΜΑΤΟΣ'!T232/'2.ΤΙΜΕΣ ΚΛΕΙΣΙΜΑΤΟΣ'!T231)</f>
        <v>7.5058090990042264E-2</v>
      </c>
      <c r="U231" s="43">
        <f>LN('2.ΤΙΜΕΣ ΚΛΕΙΣΙΜΑΤΟΣ'!U232/'2.ΤΙΜΕΣ ΚΛΕΙΣΙΜΑΤΟΣ'!U231)</f>
        <v>8.2914210005559555E-2</v>
      </c>
      <c r="V231" s="43">
        <f>LN('2.ΤΙΜΕΣ ΚΛΕΙΣΙΜΑΤΟΣ'!V232/'2.ΤΙΜΕΣ ΚΛΕΙΣΙΜΑΤΟΣ'!V231)</f>
        <v>6.7282007083321993E-2</v>
      </c>
      <c r="W231" s="43">
        <f>LN('2.ΤΙΜΕΣ ΚΛΕΙΣΙΜΑΤΟΣ'!W232/'2.ΤΙΜΕΣ ΚΛΕΙΣΙΜΑΤΟΣ'!W231)</f>
        <v>3.125254350410453E-2</v>
      </c>
      <c r="X231" s="43">
        <f>LN('2.ΤΙΜΕΣ ΚΛΕΙΣΙΜΑΤΟΣ'!X232/'2.ΤΙΜΕΣ ΚΛΕΙΣΙΜΑΤΟΣ'!X231)</f>
        <v>7.5917199705230309E-2</v>
      </c>
      <c r="Y231" s="43">
        <f>LN('2.ΤΙΜΕΣ ΚΛΕΙΣΙΜΑΤΟΣ'!Y232/'2.ΤΙΜΕΣ ΚΛΕΙΣΙΜΑΤΟΣ'!Y231)</f>
        <v>4.3485111939738676E-2</v>
      </c>
      <c r="Z231" s="43">
        <f>LN('2.ΤΙΜΕΣ ΚΛΕΙΣΙΜΑΤΟΣ'!Z232/'2.ΤΙΜΕΣ ΚΛΕΙΣΙΜΑΤΟΣ'!Z231)</f>
        <v>2.2372297754532984E-2</v>
      </c>
      <c r="AA231" s="43">
        <f>LN('2.ΤΙΜΕΣ ΚΛΕΙΣΙΜΑΤΟΣ'!AA232/'2.ΤΙΜΕΣ ΚΛΕΙΣΙΜΑΤΟΣ'!AA231)</f>
        <v>6.2613592727986681E-2</v>
      </c>
      <c r="AB231" s="43">
        <f>LN('2.ΤΙΜΕΣ ΚΛΕΙΣΙΜΑΤΟΣ'!AB232/'2.ΤΙΜΕΣ ΚΛΕΙΣΙΜΑΤΟΣ'!AB231)</f>
        <v>-4.1672696400568074E-2</v>
      </c>
      <c r="AC231" s="43">
        <f>LN('2.ΤΙΜΕΣ ΚΛΕΙΣΙΜΑΤΟΣ'!AC232/'2.ΤΙΜΕΣ ΚΛΕΙΣΙΜΑΤΟΣ'!AC231)</f>
        <v>2.7548226788446837E-3</v>
      </c>
      <c r="AD231" s="43">
        <f>LN('2.ΤΙΜΕΣ ΚΛΕΙΣΙΜΑΤΟΣ'!AD232/'2.ΤΙΜΕΣ ΚΛΕΙΣΙΜΑΤΟΣ'!AD231)</f>
        <v>3.9431631704349566E-2</v>
      </c>
      <c r="AE231" s="43">
        <f>LN('2.ΤΙΜΕΣ ΚΛΕΙΣΙΜΑΤΟΣ'!AE232/'2.ΤΙΜΕΣ ΚΛΕΙΣΙΜΑΤΟΣ'!AE231)</f>
        <v>6.062462181643484E-2</v>
      </c>
      <c r="AF231" s="43">
        <f>LN('2.ΤΙΜΕΣ ΚΛΕΙΣΙΜΑΤΟΣ'!AF232/'2.ΤΙΜΕΣ ΚΛΕΙΣΙΜΑΤΟΣ'!AF231)</f>
        <v>8.2304991365154435E-3</v>
      </c>
      <c r="AG231" s="43">
        <f>LN('2.ΤΙΜΕΣ ΚΛΕΙΣΙΜΑΤΟΣ'!AG232/'2.ΤΙΜΕΣ ΚΛΕΙΣΙΜΑΤΟΣ'!AG231)</f>
        <v>0.22314355131420976</v>
      </c>
      <c r="AH231" s="43">
        <f>LN('2.ΤΙΜΕΣ ΚΛΕΙΣΙΜΑΤΟΣ'!AH232/'2.ΤΙΜΕΣ ΚΛΕΙΣΙΜΑΤΟΣ'!AH231)</f>
        <v>5.9316577156419505E-2</v>
      </c>
      <c r="AI231" s="43">
        <f>LN('2.ΤΙΜΕΣ ΚΛΕΙΣΙΜΑΤΟΣ'!AI232/'2.ΤΙΜΕΣ ΚΛΕΙΣΙΜΑΤΟΣ'!AI231)</f>
        <v>0</v>
      </c>
      <c r="AJ231" s="43">
        <f>LN('2.ΤΙΜΕΣ ΚΛΕΙΣΙΜΑΤΟΣ'!AJ232/'2.ΤΙΜΕΣ ΚΛΕΙΣΙΜΑΤΟΣ'!AJ231)</f>
        <v>0</v>
      </c>
      <c r="AK231" s="43">
        <f>LN('2.ΤΙΜΕΣ ΚΛΕΙΣΙΜΑΤΟΣ'!AK232/'2.ΤΙΜΕΣ ΚΛΕΙΣΙΜΑΤΟΣ'!AK231)</f>
        <v>0</v>
      </c>
      <c r="AL231" s="43">
        <f>LN('2.ΤΙΜΕΣ ΚΛΕΙΣΙΜΑΤΟΣ'!AL232/'2.ΤΙΜΕΣ ΚΛΕΙΣΙΜΑΤΟΣ'!AL231)</f>
        <v>7.1458963982144852E-2</v>
      </c>
      <c r="AM231" s="43">
        <f>LN('2.ΤΙΜΕΣ ΚΛΕΙΣΙΜΑΤΟΣ'!AM232/'2.ΤΙΜΕΣ ΚΛΕΙΣΙΜΑΤΟΣ'!AM231)</f>
        <v>2.4692612590371414E-2</v>
      </c>
      <c r="AN231" s="43">
        <f>LN('2.ΤΙΜΕΣ ΚΛΕΙΣΙΜΑΤΟΣ'!AN232/'2.ΤΙΜΕΣ ΚΛΕΙΣΙΜΑΤΟΣ'!AN231)</f>
        <v>7.2376969471192112E-2</v>
      </c>
      <c r="AO231" s="43">
        <f>LN('2.ΤΙΜΕΣ ΚΛΕΙΣΙΜΑΤΟΣ'!AO232/'2.ΤΙΜΕΣ ΚΛΕΙΣΙΜΑΤΟΣ'!AO231)</f>
        <v>3.0562650410166883E-2</v>
      </c>
      <c r="AP231" s="43">
        <f>LN('2.ΤΙΜΕΣ ΚΛΕΙΣΙΜΑΤΟΣ'!AP232/'2.ΤΙΜΕΣ ΚΛΕΙΣΙΜΑΤΟΣ'!AP231)</f>
        <v>3.165731987069164E-2</v>
      </c>
      <c r="AQ231" s="43">
        <f>LN('2.ΤΙΜΕΣ ΚΛΕΙΣΙΜΑΤΟΣ'!AQ232/'2.ΤΙΜΕΣ ΚΛΕΙΣΙΜΑΤΟΣ'!AQ231)</f>
        <v>5.777780066681118E-2</v>
      </c>
      <c r="AR231" s="43">
        <f>LN('2.ΤΙΜΕΣ ΚΛΕΙΣΙΜΑΤΟΣ'!AR232/'2.ΤΙΜΕΣ ΚΛΕΙΣΙΜΑΤΟΣ'!AR231)</f>
        <v>9.755233321001465E-2</v>
      </c>
      <c r="AS231" s="43">
        <f>LN('2.ΤΙΜΕΣ ΚΛΕΙΣΙΜΑΤΟΣ'!AS232/'2.ΤΙΜΕΣ ΚΛΕΙΣΙΜΑΤΟΣ'!AS231)</f>
        <v>2.0965128465045089E-2</v>
      </c>
      <c r="AT231" s="43">
        <f>LN('2.ΤΙΜΕΣ ΚΛΕΙΣΙΜΑΤΟΣ'!AT232/'2.ΤΙΜΕΣ ΚΛΕΙΣΙΜΑΤΟΣ'!AT231)</f>
        <v>2.8303776162851724E-2</v>
      </c>
      <c r="AU231" s="43">
        <f>LN('2.ΤΙΜΕΣ ΚΛΕΙΣΙΜΑΤΟΣ'!AU232/'2.ΤΙΜΕΣ ΚΛΕΙΣΙΜΑΤΟΣ'!AU231)</f>
        <v>6.1862632067154297E-2</v>
      </c>
    </row>
    <row r="232" spans="1:47">
      <c r="A232" s="41">
        <v>43894</v>
      </c>
      <c r="B232" s="43">
        <f>LN('2.ΤΙΜΕΣ ΚΛΕΙΣΙΜΑΤΟΣ'!B233/'2.ΤΙΜΕΣ ΚΛΕΙΣΙΜΑΤΟΣ'!B232)</f>
        <v>4.7074733872495408E-3</v>
      </c>
      <c r="C232" s="43">
        <f>LN('2.ΤΙΜΕΣ ΚΛΕΙΣΙΜΑΤΟΣ'!C233/'2.ΤΙΜΕΣ ΚΛΕΙΣΙΜΑΤΟΣ'!C232)</f>
        <v>-3.9138993211363287E-3</v>
      </c>
      <c r="D232" s="43">
        <f>LN('2.ΤΙΜΕΣ ΚΛΕΙΣΙΜΑΤΟΣ'!D233/'2.ΤΙΜΕΣ ΚΛΕΙΣΙΜΑΤΟΣ'!D232)</f>
        <v>2.2583188505119201E-2</v>
      </c>
      <c r="E232" s="43">
        <f>LN('2.ΤΙΜΕΣ ΚΛΕΙΣΙΜΑΤΟΣ'!E233/'2.ΤΙΜΕΣ ΚΛΕΙΣΙΜΑΤΟΣ'!E232)</f>
        <v>2.2499468937714318E-2</v>
      </c>
      <c r="F232" s="43">
        <f>LN('2.ΤΙΜΕΣ ΚΛΕΙΣΙΜΑΤΟΣ'!F233/'2.ΤΙΜΕΣ ΚΛΕΙΣΙΜΑΤΟΣ'!F232)</f>
        <v>-5.8565321127129833E-3</v>
      </c>
      <c r="G232" s="43">
        <f>LN('2.ΤΙΜΕΣ ΚΛΕΙΣΙΜΑΤΟΣ'!G233/'2.ΤΙΜΕΣ ΚΛΕΙΣΙΜΑΤΟΣ'!G232)</f>
        <v>-3.1545767485154324E-3</v>
      </c>
      <c r="H232" s="43">
        <f>LN('2.ΤΙΜΕΣ ΚΛΕΙΣΙΜΑΤΟΣ'!H233/'2.ΤΙΜΕΣ ΚΛΕΙΣΙΜΑΤΟΣ'!H232)</f>
        <v>2.2032714999882706E-2</v>
      </c>
      <c r="I232" s="43">
        <f>LN('2.ΤΙΜΕΣ ΚΛΕΙΣΙΜΑΤΟΣ'!I233/'2.ΤΙΜΕΣ ΚΛΕΙΣΙΜΑΤΟΣ'!I232)</f>
        <v>-3.0103778300230932E-2</v>
      </c>
      <c r="J232" s="43">
        <f>LN('2.ΤΙΜΕΣ ΚΛΕΙΣΙΜΑΤΟΣ'!J233/'2.ΤΙΜΕΣ ΚΛΕΙΣΙΜΑΤΟΣ'!J232)</f>
        <v>-1.576295966525753E-2</v>
      </c>
      <c r="K232" s="43">
        <f>LN('2.ΤΙΜΕΣ ΚΛΕΙΣΙΜΑΤΟΣ'!K233/'2.ΤΙΜΕΣ ΚΛΕΙΣΙΜΑΤΟΣ'!K232)</f>
        <v>-4.118056608917486E-3</v>
      </c>
      <c r="L232" s="43">
        <f>LN('2.ΤΙΜΕΣ ΚΛΕΙΣΙΜΑΤΟΣ'!L233/'2.ΤΙΜΕΣ ΚΛΕΙΣΙΜΑΤΟΣ'!L232)</f>
        <v>2.7871744448761247E-2</v>
      </c>
      <c r="M232" s="43">
        <f>LN('2.ΤΙΜΕΣ ΚΛΕΙΣΙΜΑΤΟΣ'!M233/'2.ΤΙΜΕΣ ΚΛΕΙΣΙΜΑΤΟΣ'!M232)</f>
        <v>-4.5214847188460071E-3</v>
      </c>
      <c r="N232" s="43">
        <f>LN('2.ΤΙΜΕΣ ΚΛΕΙΣΙΜΑΤΟΣ'!N233/'2.ΤΙΜΕΣ ΚΛΕΙΣΙΜΑΤΟΣ'!N232)</f>
        <v>3.022123302200274E-2</v>
      </c>
      <c r="O232" s="43">
        <f>LN('2.ΤΙΜΕΣ ΚΛΕΙΣΙΜΑΤΟΣ'!O233/'2.ΤΙΜΕΣ ΚΛΕΙΣΙΜΑΤΟΣ'!O232)</f>
        <v>-8.8496152769824993E-3</v>
      </c>
      <c r="P232" s="43">
        <f>LN('2.ΤΙΜΕΣ ΚΛΕΙΣΙΜΑΤΟΣ'!P233/'2.ΤΙΜΕΣ ΚΛΕΙΣΙΜΑΤΟΣ'!P232)</f>
        <v>4.9071893992396941E-2</v>
      </c>
      <c r="Q232" s="43">
        <f>LN('2.ΤΙΜΕΣ ΚΛΕΙΣΙΜΑΤΟΣ'!Q233/'2.ΤΙΜΕΣ ΚΛΕΙΣΙΜΑΤΟΣ'!Q232)</f>
        <v>-3.2944155719354148E-2</v>
      </c>
      <c r="R232" s="43">
        <f>LN('2.ΤΙΜΕΣ ΚΛΕΙΣΙΜΑΤΟΣ'!R233/'2.ΤΙΜΕΣ ΚΛΕΙΣΙΜΑΤΟΣ'!R232)</f>
        <v>9.1884260544061701E-3</v>
      </c>
      <c r="S232" s="43">
        <f>LN('2.ΤΙΜΕΣ ΚΛΕΙΣΙΜΑΤΟΣ'!S233/'2.ΤΙΜΕΣ ΚΛΕΙΣΙΜΑΤΟΣ'!S232)</f>
        <v>1.7723708664696212E-2</v>
      </c>
      <c r="T232" s="43">
        <f>LN('2.ΤΙΜΕΣ ΚΛΕΙΣΙΜΑΤΟΣ'!T233/'2.ΤΙΜΕΣ ΚΛΕΙΣΙΜΑΤΟΣ'!T232)</f>
        <v>0</v>
      </c>
      <c r="U232" s="43">
        <f>LN('2.ΤΙΜΕΣ ΚΛΕΙΣΙΜΑΤΟΣ'!U233/'2.ΤΙΜΕΣ ΚΛΕΙΣΙΜΑΤΟΣ'!U232)</f>
        <v>1.9169916107720123E-2</v>
      </c>
      <c r="V232" s="43">
        <f>LN('2.ΤΙΜΕΣ ΚΛΕΙΣΙΜΑΤΟΣ'!V233/'2.ΤΙΜΕΣ ΚΛΕΙΣΙΜΑΤΟΣ'!V232)</f>
        <v>6.4110347292451159E-2</v>
      </c>
      <c r="W232" s="43">
        <f>LN('2.ΤΙΜΕΣ ΚΛΕΙΣΙΜΑΤΟΣ'!W233/'2.ΤΙΜΕΣ ΚΛΕΙΣΙΜΑΤΟΣ'!W232)</f>
        <v>1.5267472130788381E-2</v>
      </c>
      <c r="X232" s="43">
        <f>LN('2.ΤΙΜΕΣ ΚΛΕΙΣΙΜΑΤΟΣ'!X233/'2.ΤΙΜΕΣ ΚΛΕΙΣΙΜΑΤΟΣ'!X232)</f>
        <v>2.8315920117287858E-2</v>
      </c>
      <c r="Y232" s="43">
        <f>LN('2.ΤΙΜΕΣ ΚΛΕΙΣΙΜΑΤΟΣ'!Y233/'2.ΤΙΜΕΣ ΚΛΕΙΣΙΜΑΤΟΣ'!Y232)</f>
        <v>3.6557595733797729E-2</v>
      </c>
      <c r="Z232" s="43">
        <f>LN('2.ΤΙΜΕΣ ΚΛΕΙΣΙΜΑΤΟΣ'!Z233/'2.ΤΙΜΕΣ ΚΛΕΙΣΙΜΑΤΟΣ'!Z232)</f>
        <v>3.9050514871873034E-2</v>
      </c>
      <c r="AA232" s="43">
        <f>LN('2.ΤΙΜΕΣ ΚΛΕΙΣΙΜΑΤΟΣ'!AA233/'2.ΤΙΜΕΣ ΚΛΕΙΣΙΜΑΤΟΣ'!AA232)</f>
        <v>-3.5297782081023819E-2</v>
      </c>
      <c r="AB232" s="43">
        <f>LN('2.ΤΙΜΕΣ ΚΛΕΙΣΙΜΑΤΟΣ'!AB233/'2.ΤΙΜΕΣ ΚΛΕΙΣΙΜΑΤΟΣ'!AB232)</f>
        <v>-4.2643987864576507E-3</v>
      </c>
      <c r="AC232" s="43">
        <f>LN('2.ΤΙΜΕΣ ΚΛΕΙΣΙΜΑΤΟΣ'!AC233/'2.ΤΙΜΕΣ ΚΛΕΙΣΙΜΑΤΟΣ'!AC232)</f>
        <v>-2.7548226788446199E-3</v>
      </c>
      <c r="AD232" s="43">
        <f>LN('2.ΤΙΜΕΣ ΚΛΕΙΣΙΜΑΤΟΣ'!AD233/'2.ΤΙΜΕΣ ΚΛΕΙΣΙΜΑΤΟΣ'!AD232)</f>
        <v>-2.8522432603995913E-2</v>
      </c>
      <c r="AE232" s="43">
        <f>LN('2.ΤΙΜΕΣ ΚΛΕΙΣΙΜΑΤΟΣ'!AE233/'2.ΤΙΜΕΣ ΚΛΕΙΣΙΜΑΤΟΣ'!AE232)</f>
        <v>-4.0650462481694452E-3</v>
      </c>
      <c r="AF232" s="43">
        <f>LN('2.ΤΙΜΕΣ ΚΛΕΙΣΙΜΑΤΟΣ'!AF233/'2.ΤΙΜΕΣ ΚΛΕΙΣΙΜΑΤΟΣ'!AF232)</f>
        <v>-3.5032773515770242E-2</v>
      </c>
      <c r="AG232" s="43">
        <f>LN('2.ΤΙΜΕΣ ΚΛΕΙΣΙΜΑΤΟΣ'!AG233/'2.ΤΙΜΕΣ ΚΛΕΙΣΙΜΑΤΟΣ'!AG232)</f>
        <v>5.7158413839948623E-2</v>
      </c>
      <c r="AH232" s="43">
        <f>LN('2.ΤΙΜΕΣ ΚΛΕΙΣΙΜΑΤΟΣ'!AH233/'2.ΤΙΜΕΣ ΚΛΕΙΣΙΜΑΤΟΣ'!AH232)</f>
        <v>-1.1585174335229537E-2</v>
      </c>
      <c r="AI232" s="43">
        <f>LN('2.ΤΙΜΕΣ ΚΛΕΙΣΙΜΑΤΟΣ'!AI233/'2.ΤΙΜΕΣ ΚΛΕΙΣΙΜΑΤΟΣ'!AI232)</f>
        <v>3.4367643504207818E-2</v>
      </c>
      <c r="AJ232" s="43">
        <f>LN('2.ΤΙΜΕΣ ΚΛΕΙΣΙΜΑΤΟΣ'!AJ233/'2.ΤΙΜΕΣ ΚΛΕΙΣΙΜΑΤΟΣ'!AJ232)</f>
        <v>-5.1959738930711104E-2</v>
      </c>
      <c r="AK232" s="43">
        <f>LN('2.ΤΙΜΕΣ ΚΛΕΙΣΙΜΑΤΟΣ'!AK233/'2.ΤΙΜΕΣ ΚΛΕΙΣΙΜΑΤΟΣ'!AK232)</f>
        <v>5.95413936910167E-2</v>
      </c>
      <c r="AL232" s="43">
        <f>LN('2.ΤΙΜΕΣ ΚΛΕΙΣΙΜΑΤΟΣ'!AL233/'2.ΤΙΜΕΣ ΚΛΕΙΣΙΜΑΤΟΣ'!AL232)</f>
        <v>-1.1560822401075971E-2</v>
      </c>
      <c r="AM232" s="43">
        <f>LN('2.ΤΙΜΕΣ ΚΛΕΙΣΙΜΑΤΟΣ'!AM233/'2.ΤΙΜΕΣ ΚΛΕΙΣΙΜΑΤΟΣ'!AM232)</f>
        <v>-1.2270092591814247E-2</v>
      </c>
      <c r="AN232" s="43">
        <f>LN('2.ΤΙΜΕΣ ΚΛΕΙΣΙΜΑΤΟΣ'!AN233/'2.ΤΙΜΕΣ ΚΛΕΙΣΙΜΑΤΟΣ'!AN232)</f>
        <v>2.4472856518725741E-2</v>
      </c>
      <c r="AO232" s="43">
        <f>LN('2.ΤΙΜΕΣ ΚΛΕΙΣΙΜΑΤΟΣ'!AO233/'2.ΤΙΜΕΣ ΚΛΕΙΣΙΜΑΤΟΣ'!AO232)</f>
        <v>3.3389012655146303E-3</v>
      </c>
      <c r="AP232" s="43">
        <f>LN('2.ΤΙΜΕΣ ΚΛΕΙΣΙΜΑΤΟΣ'!AP233/'2.ΤΙΜΕΣ ΚΛΕΙΣΙΜΑΤΟΣ'!AP232)</f>
        <v>-2.0029281875572416E-2</v>
      </c>
      <c r="AQ232" s="43">
        <f>LN('2.ΤΙΜΕΣ ΚΛΕΙΣΙΜΑΤΟΣ'!AQ233/'2.ΤΙΜΕΣ ΚΛΕΙΣΙΜΑΤΟΣ'!AQ232)</f>
        <v>1.9114396023315453E-2</v>
      </c>
      <c r="AR232" s="43">
        <f>LN('2.ΤΙΜΕΣ ΚΛΕΙΣΙΜΑΤΟΣ'!AR233/'2.ΤΙΜΕΣ ΚΛΕΙΣΙΜΑΤΟΣ'!AR232)</f>
        <v>-4.231620473475696E-2</v>
      </c>
      <c r="AS232" s="43">
        <f>LN('2.ΤΙΜΕΣ ΚΛΕΙΣΙΜΑΤΟΣ'!AS233/'2.ΤΙΜΕΣ ΚΛΕΙΣΙΜΑΤΟΣ'!AS232)</f>
        <v>2.0534602441707735E-2</v>
      </c>
      <c r="AT232" s="43">
        <f>LN('2.ΤΙΜΕΣ ΚΛΕΙΣΙΜΑΤΟΣ'!AT233/'2.ΤΙΜΕΣ ΚΛΕΙΣΙΜΑΤΟΣ'!AT232)</f>
        <v>-2.3530497410194161E-2</v>
      </c>
      <c r="AU232" s="43">
        <f>LN('2.ΤΙΜΕΣ ΚΛΕΙΣΙΜΑΤΟΣ'!AU233/'2.ΤΙΜΕΣ ΚΛΕΙΣΙΜΑΤΟΣ'!AU232)</f>
        <v>5.4917306793681245E-3</v>
      </c>
    </row>
    <row r="233" spans="1:47">
      <c r="A233" s="41">
        <v>43895</v>
      </c>
      <c r="B233" s="43">
        <f>LN('2.ΤΙΜΕΣ ΚΛΕΙΣΙΜΑΤΟΣ'!B234/'2.ΤΙΜΕΣ ΚΛΕΙΣΙΜΑΤΟΣ'!B233)</f>
        <v>-2.616971773338472E-2</v>
      </c>
      <c r="C233" s="43">
        <f>LN('2.ΤΙΜΕΣ ΚΛΕΙΣΙΜΑΤΟΣ'!C234/'2.ΤΙΜΕΣ ΚΛΕΙΣΙΜΑΤΟΣ'!C233)</f>
        <v>-3.2685253127193462E-2</v>
      </c>
      <c r="D233" s="43">
        <f>LN('2.ΤΙΜΕΣ ΚΛΕΙΣΙΜΑΤΟΣ'!D234/'2.ΤΙΜΕΣ ΚΛΕΙΣΙΜΑΤΟΣ'!D233)</f>
        <v>-1.0737048000956794E-2</v>
      </c>
      <c r="E233" s="43">
        <f>LN('2.ΤΙΜΕΣ ΚΛΕΙΣΙΜΑΤΟΣ'!E234/'2.ΤΙΜΕΣ ΚΛΕΙΣΙΜΑΤΟΣ'!E233)</f>
        <v>-0.10094664376379356</v>
      </c>
      <c r="F233" s="43">
        <f>LN('2.ΤΙΜΕΣ ΚΛΕΙΣΙΜΑΤΟΣ'!F234/'2.ΤΙΜΕΣ ΚΛΕΙΣΙΜΑΤΟΣ'!F233)</f>
        <v>-7.6256443608299224E-2</v>
      </c>
      <c r="G233" s="43">
        <f>LN('2.ΤΙΜΕΣ ΚΛΕΙΣΙΜΑΤΟΣ'!G234/'2.ΤΙΜΕΣ ΚΛΕΙΣΙΜΑΤΟΣ'!G233)</f>
        <v>-5.6879668193544543E-2</v>
      </c>
      <c r="H233" s="43">
        <f>LN('2.ΤΙΜΕΣ ΚΛΕΙΣΙΜΑΤΟΣ'!H234/'2.ΤΙΜΕΣ ΚΛΕΙΣΙΜΑΤΟΣ'!H233)</f>
        <v>-4.4561828059910782E-2</v>
      </c>
      <c r="I233" s="43">
        <f>LN('2.ΤΙΜΕΣ ΚΛΕΙΣΙΜΑΤΟΣ'!I234/'2.ΤΙΜΕΣ ΚΛΕΙΣΙΜΑΤΟΣ'!I233)</f>
        <v>-0.11034805716886534</v>
      </c>
      <c r="J233" s="43">
        <f>LN('2.ΤΙΜΕΣ ΚΛΕΙΣΙΜΑΤΟΣ'!J234/'2.ΤΙΜΕΣ ΚΛΕΙΣΙΜΑΤΟΣ'!J233)</f>
        <v>-7.1164787803102494E-2</v>
      </c>
      <c r="K233" s="43">
        <f>LN('2.ΤΙΜΕΣ ΚΛΕΙΣΙΜΑΤΟΣ'!K234/'2.ΤΙΜΕΣ ΚΛΕΙΣΙΜΑΤΟΣ'!K233)</f>
        <v>-8.1648765148507538E-2</v>
      </c>
      <c r="L233" s="43">
        <f>LN('2.ΤΙΜΕΣ ΚΛΕΙΣΙΜΑΤΟΣ'!L234/'2.ΤΙΜΕΣ ΚΛΕΙΣΙΜΑΤΟΣ'!L233)</f>
        <v>-6.6285246472512716E-2</v>
      </c>
      <c r="M233" s="43">
        <f>LN('2.ΤΙΜΕΣ ΚΛΕΙΣΙΜΑΤΟΣ'!M234/'2.ΤΙΜΕΣ ΚΛΕΙΣΙΜΑΤΟΣ'!M233)</f>
        <v>-1.5220994010355355E-2</v>
      </c>
      <c r="N233" s="43">
        <f>LN('2.ΤΙΜΕΣ ΚΛΕΙΣΙΜΑΤΟΣ'!N234/'2.ΤΙΜΕΣ ΚΛΕΙΣΙΜΑΤΟΣ'!N233)</f>
        <v>-1.8394142155974503E-2</v>
      </c>
      <c r="O233" s="43">
        <f>LN('2.ΤΙΜΕΣ ΚΛΕΙΣΙΜΑΤΟΣ'!O234/'2.ΤΙΜΕΣ ΚΛΕΙΣΙΜΑΤΟΣ'!O233)</f>
        <v>-3.7740327982847086E-2</v>
      </c>
      <c r="P233" s="43">
        <f>LN('2.ΤΙΜΕΣ ΚΛΕΙΣΙΜΑΤΟΣ'!P234/'2.ΤΙΜΕΣ ΚΛΕΙΣΙΜΑΤΟΣ'!P233)</f>
        <v>-8.2157618578162284E-2</v>
      </c>
      <c r="Q233" s="43">
        <f>LN('2.ΤΙΜΕΣ ΚΛΕΙΣΙΜΑΤΟΣ'!Q234/'2.ΤΙΜΕΣ ΚΛΕΙΣΙΜΑΤΟΣ'!Q233)</f>
        <v>-8.3797755428618878E-2</v>
      </c>
      <c r="R233" s="43">
        <f>LN('2.ΤΙΜΕΣ ΚΛΕΙΣΙΜΑΤΟΣ'!R234/'2.ΤΙΜΕΣ ΚΛΕΙΣΙΜΑΤΟΣ'!R233)</f>
        <v>-6.3563386979364825E-2</v>
      </c>
      <c r="S233" s="43">
        <f>LN('2.ΤΙΜΕΣ ΚΛΕΙΣΙΜΑΤΟΣ'!S234/'2.ΤΙΜΕΣ ΚΛΕΙΣΙΜΑΤΟΣ'!S233)</f>
        <v>1.7415041601678071E-2</v>
      </c>
      <c r="T233" s="43">
        <f>LN('2.ΤΙΜΕΣ ΚΛΕΙΣΙΜΑΤΟΣ'!T234/'2.ΤΙΜΕΣ ΚΛΕΙΣΙΜΑΤΟΣ'!T233)</f>
        <v>-9.4252538246189274E-2</v>
      </c>
      <c r="U233" s="43">
        <f>LN('2.ΤΙΜΕΣ ΚΛΕΙΣΙΜΑΤΟΣ'!U234/'2.ΤΙΜΕΣ ΚΛΕΙΣΙΜΑΤΟΣ'!U233)</f>
        <v>-5.864872708150775E-2</v>
      </c>
      <c r="V233" s="43">
        <f>LN('2.ΤΙΜΕΣ ΚΛΕΙΣΙΜΑΤΟΣ'!V234/'2.ΤΙΜΕΣ ΚΛΕΙΣΙΜΑΤΟΣ'!V233)</f>
        <v>-7.0983226580213291E-2</v>
      </c>
      <c r="W233" s="43">
        <f>LN('2.ΤΙΜΕΣ ΚΛΕΙΣΙΜΑΤΟΣ'!W234/'2.ΤΙΜΕΣ ΚΛΕΙΣΙΜΑΤΟΣ'!W233)</f>
        <v>-0.10199916795512143</v>
      </c>
      <c r="X233" s="43">
        <f>LN('2.ΤΙΜΕΣ ΚΛΕΙΣΙΜΑΤΟΣ'!X234/'2.ΤΙΜΕΣ ΚΛΕΙΣΙΜΑΤΟΣ'!X233)</f>
        <v>-5.209511188340181E-2</v>
      </c>
      <c r="Y233" s="43">
        <f>LN('2.ΤΙΜΕΣ ΚΛΕΙΣΙΜΑΤΟΣ'!Y234/'2.ΤΙΜΕΣ ΚΛΕΙΣΙΜΑΤΟΣ'!Y233)</f>
        <v>-5.2643733485421909E-2</v>
      </c>
      <c r="Z233" s="43">
        <f>LN('2.ΤΙΜΕΣ ΚΛΕΙΣΙΜΑΤΟΣ'!Z234/'2.ΤΙΜΕΣ ΚΛΕΙΣΙΜΑΤΟΣ'!Z233)</f>
        <v>-3.9050514871873027E-2</v>
      </c>
      <c r="AA233" s="43">
        <f>LN('2.ΤΙΜΕΣ ΚΛΕΙΣΙΜΑΤΟΣ'!AA234/'2.ΤΙΜΕΣ ΚΛΕΙΣΙΜΑΤΟΣ'!AA233)</f>
        <v>-0.12078153865264005</v>
      </c>
      <c r="AB233" s="43">
        <f>LN('2.ΤΙΜΕΣ ΚΛΕΙΣΙΜΑΤΟΣ'!AB234/'2.ΤΙΜΕΣ ΚΛΕΙΣΙΜΑΤΟΣ'!AB233)</f>
        <v>-8.4683087230038562E-2</v>
      </c>
      <c r="AC233" s="43">
        <f>LN('2.ΤΙΜΕΣ ΚΛΕΙΣΙΜΑΤΟΣ'!AC234/'2.ΤΙΜΕΣ ΚΛΕΙΣΙΜΑΤΟΣ'!AC233)</f>
        <v>1.3783599701213596E-3</v>
      </c>
      <c r="AD233" s="43">
        <f>LN('2.ΤΙΜΕΣ ΚΛΕΙΣΙΜΑΤΟΣ'!AD234/'2.ΤΙΜΕΣ ΚΛΕΙΣΙΜΑΤΟΣ'!AD233)</f>
        <v>-8.0947275803963464E-2</v>
      </c>
      <c r="AE233" s="43">
        <f>LN('2.ΤΙΜΕΣ ΚΛΕΙΣΙΜΑΤΟΣ'!AE234/'2.ΤΙΜΕΣ ΚΛΕΙΣΙΜΑΤΟΣ'!AE233)</f>
        <v>-2.2658023892583989E-2</v>
      </c>
      <c r="AF233" s="43">
        <f>LN('2.ΤΙΜΕΣ ΚΛΕΙΣΙΜΑΤΟΣ'!AF234/'2.ΤΙΜΕΣ ΚΛΕΙΣΙΜΑΤΟΣ'!AF233)</f>
        <v>-0.35618997787685103</v>
      </c>
      <c r="AG233" s="43">
        <f>LN('2.ΤΙΜΕΣ ΚΛΕΙΣΙΜΑΤΟΣ'!AG234/'2.ΤΙΜΕΣ ΚΛΕΙΣΙΜΑΤΟΣ'!AG233)</f>
        <v>-0.11362502550771987</v>
      </c>
      <c r="AH233" s="43">
        <f>LN('2.ΤΙΜΕΣ ΚΛΕΙΣΙΜΑΤΟΣ'!AH234/'2.ΤΙΜΕΣ ΚΛΕΙΣΙΜΑΤΟΣ'!AH233)</f>
        <v>-4.9956097843301066E-2</v>
      </c>
      <c r="AI233" s="43">
        <f>LN('2.ΤΙΜΕΣ ΚΛΕΙΣΙΜΑΤΟΣ'!AI234/'2.ΤΙΜΕΣ ΚΛΕΙΣΙΜΑΤΟΣ'!AI233)</f>
        <v>-5.5569851154810765E-2</v>
      </c>
      <c r="AJ233" s="43">
        <f>LN('2.ΤΙΜΕΣ ΚΛΕΙΣΙΜΑΤΟΣ'!AJ234/'2.ΤΙΜΕΣ ΚΛΕΙΣΙΜΑΤΟΣ'!AJ233)</f>
        <v>-5.0124387182568633E-2</v>
      </c>
      <c r="AK233" s="43">
        <f>LN('2.ΤΙΜΕΣ ΚΛΕΙΣΙΜΑΤΟΣ'!AK234/'2.ΤΙΜΕΣ ΚΛΕΙΣΙΜΑΤΟΣ'!AK233)</f>
        <v>-5.0381024292352368E-2</v>
      </c>
      <c r="AL233" s="43">
        <f>LN('2.ΤΙΜΕΣ ΚΛΕΙΣΙΜΑΤΟΣ'!AL234/'2.ΤΙΜΕΣ ΚΛΕΙΣΙΜΑΤΟΣ'!AL233)</f>
        <v>-0.11054187439982384</v>
      </c>
      <c r="AM233" s="43">
        <f>LN('2.ΤΙΜΕΣ ΚΛΕΙΣΙΜΑΤΟΣ'!AM234/'2.ΤΙΜΕΣ ΚΛΕΙΣΙΜΑΤΟΣ'!AM233)</f>
        <v>-1.5552413007484884E-2</v>
      </c>
      <c r="AN233" s="43">
        <f>LN('2.ΤΙΜΕΣ ΚΛΕΙΣΙΜΑΤΟΣ'!AN234/'2.ΤΙΜΕΣ ΚΛΕΙΣΙΜΑΤΟΣ'!AN233)</f>
        <v>-0.12883287184296843</v>
      </c>
      <c r="AO233" s="43">
        <f>LN('2.ΤΙΜΕΣ ΚΛΕΙΣΙΜΑΤΟΣ'!AO234/'2.ΤΙΜΕΣ ΚΛΕΙΣΙΜΑΤΟΣ'!AO233)</f>
        <v>1.3245226750020723E-2</v>
      </c>
      <c r="AP233" s="43">
        <f>LN('2.ΤΙΜΕΣ ΚΛΕΙΣΙΜΑΤΟΣ'!AP234/'2.ΤΙΜΕΣ ΚΛΕΙΣΙΜΑΤΟΣ'!AP233)</f>
        <v>-6.5695259265394781E-2</v>
      </c>
      <c r="AQ233" s="43">
        <f>LN('2.ΤΙΜΕΣ ΚΛΕΙΣΙΜΑΤΟΣ'!AQ234/'2.ΤΙΜΕΣ ΚΛΕΙΣΙΜΑΤΟΣ'!AQ233)</f>
        <v>-0.11670788234348196</v>
      </c>
      <c r="AR233" s="43">
        <f>LN('2.ΤΙΜΕΣ ΚΛΕΙΣΙΜΑΤΟΣ'!AR234/'2.ΤΙΜΕΣ ΚΛΕΙΣΙΜΑΤΟΣ'!AR233)</f>
        <v>-6.8909430375467401E-2</v>
      </c>
      <c r="AS233" s="43">
        <f>LN('2.ΤΙΜΕΣ ΚΛΕΙΣΙΜΑΤΟΣ'!AS234/'2.ΤΙΜΕΣ ΚΛΕΙΣΙΜΑΤΟΣ'!AS233)</f>
        <v>-9.3685484077322884E-2</v>
      </c>
      <c r="AT233" s="43">
        <f>LN('2.ΤΙΜΕΣ ΚΛΕΙΣΙΜΑΤΟΣ'!AT234/'2.ΤΙΜΕΣ ΚΛΕΙΣΙΜΑΤΟΣ'!AT233)</f>
        <v>-0.21130909366720677</v>
      </c>
      <c r="AU233" s="43">
        <f>LN('2.ΤΙΜΕΣ ΚΛΕΙΣΙΜΑΤΟΣ'!AU234/'2.ΤΙΜΕΣ ΚΛΕΙΣΙΜΑΤΟΣ'!AU233)</f>
        <v>-5.6557030334532229E-2</v>
      </c>
    </row>
    <row r="234" spans="1:47">
      <c r="A234" s="41">
        <v>43896</v>
      </c>
      <c r="B234" s="43">
        <f>LN('2.ΤΙΜΕΣ ΚΛΕΙΣΙΜΑΤΟΣ'!B235/'2.ΤΙΜΕΣ ΚΛΕΙΣΙΜΑΤΟΣ'!B234)</f>
        <v>-3.0061683486061176E-2</v>
      </c>
      <c r="C234" s="43">
        <f>LN('2.ΤΙΜΕΣ ΚΛΕΙΣΙΜΑΤΟΣ'!C235/'2.ΤΙΜΕΣ ΚΛΕΙΣΙΜΑΤΟΣ'!C234)</f>
        <v>-3.7148307774551262E-2</v>
      </c>
      <c r="D234" s="43">
        <f>LN('2.ΤΙΜΕΣ ΚΛΕΙΣΙΜΑΤΟΣ'!D235/'2.ΤΙΜΕΣ ΚΛΕΙΣΙΜΑΤΟΣ'!D234)</f>
        <v>-5.9123051014113331E-2</v>
      </c>
      <c r="E234" s="43">
        <f>LN('2.ΤΙΜΕΣ ΚΛΕΙΣΙΜΑΤΟΣ'!E235/'2.ΤΙΜΕΣ ΚΛΕΙΣΙΜΑΤΟΣ'!E234)</f>
        <v>-5.2521209133553758E-2</v>
      </c>
      <c r="F234" s="43">
        <f>LN('2.ΤΙΜΕΣ ΚΛΕΙΣΙΜΑΤΟΣ'!F235/'2.ΤΙΜΕΣ ΚΛΕΙΣΙΜΑΤΟΣ'!F234)</f>
        <v>-4.7048417232392149E-2</v>
      </c>
      <c r="G234" s="43">
        <f>LN('2.ΤΙΜΕΣ ΚΛΕΙΣΙΜΑΤΟΣ'!G235/'2.ΤΙΜΕΣ ΚΛΕΙΣΙΜΑΤΟΣ'!G234)</f>
        <v>-0.1397619423751586</v>
      </c>
      <c r="H234" s="43">
        <f>LN('2.ΤΙΜΕΣ ΚΛΕΙΣΙΜΑΤΟΣ'!H235/'2.ΤΙΜΕΣ ΚΛΕΙΣΙΜΑΤΟΣ'!H234)</f>
        <v>-8.5861290606392401E-2</v>
      </c>
      <c r="I234" s="43">
        <f>LN('2.ΤΙΜΕΣ ΚΛΕΙΣΙΜΑΤΟΣ'!I235/'2.ΤΙΜΕΣ ΚΛΕΙΣΙΜΑΤΟΣ'!I234)</f>
        <v>-0.16158565831477628</v>
      </c>
      <c r="J234" s="43">
        <f>LN('2.ΤΙΜΕΣ ΚΛΕΙΣΙΜΑΤΟΣ'!J235/'2.ΤΙΜΕΣ ΚΛΕΙΣΙΜΑΤΟΣ'!J234)</f>
        <v>-0.11134370234965443</v>
      </c>
      <c r="K234" s="43">
        <f>LN('2.ΤΙΜΕΣ ΚΛΕΙΣΙΜΑΤΟΣ'!K235/'2.ΤΙΜΕΣ ΚΛΕΙΣΙΜΑΤΟΣ'!K234)</f>
        <v>-5.2079149044889569E-2</v>
      </c>
      <c r="L234" s="43">
        <f>LN('2.ΤΙΜΕΣ ΚΛΕΙΣΙΜΑΤΟΣ'!L235/'2.ΤΙΜΕΣ ΚΛΕΙΣΙΜΑΤΟΣ'!L234)</f>
        <v>-3.8493704760664098E-2</v>
      </c>
      <c r="M234" s="43">
        <f>LN('2.ΤΙΜΕΣ ΚΛΕΙΣΙΜΑΤΟΣ'!M235/'2.ΤΙΜΕΣ ΚΛΕΙΣΙΜΑΤΟΣ'!M234)</f>
        <v>-6.658560475929598E-2</v>
      </c>
      <c r="N234" s="43">
        <f>LN('2.ΤΙΜΕΣ ΚΛΕΙΣΙΜΑΤΟΣ'!N235/'2.ΤΙΜΕΣ ΚΛΕΙΣΙΜΑΤΟΣ'!N234)</f>
        <v>-2.8878340738686972E-2</v>
      </c>
      <c r="O234" s="43">
        <f>LN('2.ΤΙΜΕΣ ΚΛΕΙΣΙΜΑΤΟΣ'!O235/'2.ΤΙΜΕΣ ΚΛΕΙΣΙΜΑΤΟΣ'!O234)</f>
        <v>-3.9220713153281267E-2</v>
      </c>
      <c r="P234" s="43">
        <f>LN('2.ΤΙΜΕΣ ΚΛΕΙΣΙΜΑΤΟΣ'!P235/'2.ΤΙΜΕΣ ΚΛΕΙΣΙΜΑΤΟΣ'!P234)</f>
        <v>-0.10638040355857185</v>
      </c>
      <c r="Q234" s="43">
        <f>LN('2.ΤΙΜΕΣ ΚΛΕΙΣΙΜΑΤΟΣ'!Q235/'2.ΤΙΜΕΣ ΚΛΕΙΣΙΜΑΤΟΣ'!Q234)</f>
        <v>-7.5629981499483148E-2</v>
      </c>
      <c r="R234" s="43">
        <f>LN('2.ΤΙΜΕΣ ΚΛΕΙΣΙΜΑΤΟΣ'!R235/'2.ΤΙΜΕΣ ΚΛΕΙΣΙΜΑΤΟΣ'!R234)</f>
        <v>-0.1535011182584626</v>
      </c>
      <c r="S234" s="43">
        <f>LN('2.ΤΙΜΕΣ ΚΛΕΙΣΙΜΑΤΟΣ'!S235/'2.ΤΙΜΕΣ ΚΛΕΙΣΙΜΑΤΟΣ'!S234)</f>
        <v>-6.7286871641851237E-2</v>
      </c>
      <c r="T234" s="43">
        <f>LN('2.ΤΙΜΕΣ ΚΛΕΙΣΙΜΑΤΟΣ'!T235/'2.ΤΙΜΕΣ ΚΛΕΙΣΙΜΑΤΟΣ'!T234)</f>
        <v>-1.562531790308087E-2</v>
      </c>
      <c r="U234" s="43">
        <f>LN('2.ΤΙΜΕΣ ΚΛΕΙΣΙΜΑΤΟΣ'!U235/'2.ΤΙΜΕΣ ΚΛΕΙΣΙΜΑΤΟΣ'!U234)</f>
        <v>-2.9514060513163968E-2</v>
      </c>
      <c r="V234" s="43">
        <f>LN('2.ΤΙΜΕΣ ΚΛΕΙΣΙΜΑΤΟΣ'!V235/'2.ΤΙΜΕΣ ΚΛΕΙΣΙΜΑΤΟΣ'!V234)</f>
        <v>-1.1560822401075971E-2</v>
      </c>
      <c r="W234" s="43">
        <f>LN('2.ΤΙΜΕΣ ΚΛΕΙΣΙΜΑΤΟΣ'!W235/'2.ΤΙΜΕΣ ΚΛΕΙΣΙΜΑΤΟΣ'!W234)</f>
        <v>-6.2303883336154865E-2</v>
      </c>
      <c r="X234" s="43">
        <f>LN('2.ΤΙΜΕΣ ΚΛΕΙΣΙΜΑΤΟΣ'!X235/'2.ΤΙΜΕΣ ΚΛΕΙΣΙΜΑΤΟΣ'!X234)</f>
        <v>-4.3722811013831693E-2</v>
      </c>
      <c r="Y234" s="43">
        <f>LN('2.ΤΙΜΕΣ ΚΛΕΙΣΙΜΑΤΟΣ'!Y235/'2.ΤΙΜΕΣ ΚΛΕΙΣΙΜΑΤΟΣ'!Y234)</f>
        <v>-2.4625047305389294E-2</v>
      </c>
      <c r="Z234" s="43">
        <f>LN('2.ΤΙΜΕΣ ΚΛΕΙΣΙΜΑΤΟΣ'!Z235/'2.ΤΙΜΕΣ ΚΛΕΙΣΙΜΑΤΟΣ'!Z234)</f>
        <v>1.7544309650909525E-2</v>
      </c>
      <c r="AA234" s="43">
        <f>LN('2.ΤΙΜΕΣ ΚΛΕΙΣΙΜΑΤΟΣ'!AA235/'2.ΤΙΜΕΣ ΚΛΕΙΣΙΜΑΤΟΣ'!AA234)</f>
        <v>1.0084119066626226E-2</v>
      </c>
      <c r="AB234" s="43">
        <f>LN('2.ΤΙΜΕΣ ΚΛΕΙΣΙΜΑΤΟΣ'!AB235/'2.ΤΙΜΕΣ ΚΛΕΙΣΙΜΑΤΟΣ'!AB234)</f>
        <v>-5.0070052644806386E-2</v>
      </c>
      <c r="AC234" s="43">
        <f>LN('2.ΤΙΜΕΣ ΚΛΕΙΣΙΜΑΤΟΣ'!AC235/'2.ΤΙΜΕΣ ΚΛΕΙΣΙΜΑΤΟΣ'!AC234)</f>
        <v>0</v>
      </c>
      <c r="AD234" s="43">
        <f>LN('2.ΤΙΜΕΣ ΚΛΕΙΣΙΜΑΤΟΣ'!AD235/'2.ΤΙΜΕΣ ΚΛΕΙΣΙΜΑΤΟΣ'!AD234)</f>
        <v>-8.1678031014267238E-2</v>
      </c>
      <c r="AE234" s="43">
        <f>LN('2.ΤΙΜΕΣ ΚΛΕΙΣΙΜΑΤΟΣ'!AE235/'2.ΤΙΜΕΣ ΚΛΕΙΣΙΜΑΤΟΣ'!AE234)</f>
        <v>-6.899287148695131E-2</v>
      </c>
      <c r="AF234" s="43">
        <f>LN('2.ΤΙΜΕΣ ΚΛΕΙΣΙΜΑΤΟΣ'!AF235/'2.ΤΙΜΕΣ ΚΛΕΙΣΙΜΑΤΟΣ'!AF234)</f>
        <v>-2.5784117155714555E-2</v>
      </c>
      <c r="AG234" s="43">
        <f>LN('2.ΤΙΜΕΣ ΚΛΕΙΣΙΜΑΤΟΣ'!AG235/'2.ΤΙΜΕΣ ΚΛΕΙΣΙΜΑΤΟΣ'!AG234)</f>
        <v>3.6663984371591525E-2</v>
      </c>
      <c r="AH234" s="43">
        <f>LN('2.ΤΙΜΕΣ ΚΛΕΙΣΙΜΑΤΟΣ'!AH235/'2.ΤΙΜΕΣ ΚΛΕΙΣΙΜΑΤΟΣ'!AH234)</f>
        <v>-8.4786681967518734E-2</v>
      </c>
      <c r="AI234" s="43">
        <f>LN('2.ΤΙΜΕΣ ΚΛΕΙΣΙΜΑΤΟΣ'!AI235/'2.ΤΙΜΕΣ ΚΛΕΙΣΙΜΑΤΟΣ'!AI234)</f>
        <v>-1.4388737452099556E-2</v>
      </c>
      <c r="AJ234" s="43">
        <f>LN('2.ΤΙΜΕΣ ΚΛΕΙΣΙΜΑΤΟΣ'!AJ235/'2.ΤΙΜΕΣ ΚΛΕΙΣΙΜΑΤΟΣ'!AJ234)</f>
        <v>-9.2976456458104748E-2</v>
      </c>
      <c r="AK234" s="43">
        <f>LN('2.ΤΙΜΕΣ ΚΛΕΙΣΙΜΑΤΟΣ'!AK235/'2.ΤΙΜΕΣ ΚΛΕΙΣΙΜΑΤΟΣ'!AK234)</f>
        <v>-6.2716473867626438E-2</v>
      </c>
      <c r="AL234" s="43">
        <f>LN('2.ΤΙΜΕΣ ΚΛΕΙΣΙΜΑΤΟΣ'!AL235/'2.ΤΙΜΕΣ ΚΛΕΙΣΙΜΑΤΟΣ'!AL234)</f>
        <v>-2.6317308317373417E-2</v>
      </c>
      <c r="AM234" s="43">
        <f>LN('2.ΤΙΜΕΣ ΚΛΕΙΣΙΜΑΤΟΣ'!AM235/'2.ΤΙΜΕΣ ΚΛΕΙΣΙΜΑΤΟΣ'!AM234)</f>
        <v>-4.8163401378622898E-2</v>
      </c>
      <c r="AN234" s="43">
        <f>LN('2.ΤΙΜΕΣ ΚΛΕΙΣΙΜΑΤΟΣ'!AN235/'2.ΤΙΜΕΣ ΚΛΕΙΣΙΜΑΤΟΣ'!AN234)</f>
        <v>-5.6570351488394351E-2</v>
      </c>
      <c r="AO234" s="43">
        <f>LN('2.ΤΙΜΕΣ ΚΛΕΙΣΙΜΑΤΟΣ'!AO235/'2.ΤΙΜΕΣ ΚΛΕΙΣΙΜΑΤΟΣ'!AO234)</f>
        <v>-6.8053463245015752E-2</v>
      </c>
      <c r="AP234" s="43">
        <f>LN('2.ΤΙΜΕΣ ΚΛΕΙΣΙΜΑΤΟΣ'!AP235/'2.ΤΙΜΕΣ ΚΛΕΙΣΙΜΑΤΟΣ'!AP234)</f>
        <v>-0.11086259281180982</v>
      </c>
      <c r="AQ234" s="43">
        <f>LN('2.ΤΙΜΕΣ ΚΛΕΙΣΙΜΑΤΟΣ'!AQ235/'2.ΤΙΜΕΣ ΚΛΕΙΣΙΜΑΤΟΣ'!AQ234)</f>
        <v>-8.4728070473787956E-2</v>
      </c>
      <c r="AR234" s="43">
        <f>LN('2.ΤΙΜΕΣ ΚΛΕΙΣΙΜΑΤΟΣ'!AR235/'2.ΤΙΜΕΣ ΚΛΕΙΣΙΜΑΤΟΣ'!AR234)</f>
        <v>-4.217877602568338E-2</v>
      </c>
      <c r="AS234" s="43">
        <f>LN('2.ΤΙΜΕΣ ΚΛΕΙΣΙΜΑΤΟΣ'!AS235/'2.ΤΙΜΕΣ ΚΛΕΙΣΙΜΑΤΟΣ'!AS234)</f>
        <v>-6.4538521137571178E-2</v>
      </c>
      <c r="AT234" s="43">
        <f>LN('2.ΤΙΜΕΣ ΚΛΕΙΣΙΜΑΤΟΣ'!AT235/'2.ΤΙΜΕΣ ΚΛΕΙΣΙΜΑΤΟΣ'!AT234)</f>
        <v>0</v>
      </c>
      <c r="AU234" s="43">
        <f>LN('2.ΤΙΜΕΣ ΚΛΕΙΣΙΜΑΤΟΣ'!AU235/'2.ΤΙΜΕΣ ΚΛΕΙΣΙΜΑΤΟΣ'!AU234)</f>
        <v>-6.1495333252947766E-2</v>
      </c>
    </row>
    <row r="235" spans="1:47">
      <c r="A235" s="41">
        <v>43899</v>
      </c>
      <c r="B235" s="43">
        <f>LN('2.ΤΙΜΕΣ ΚΛΕΙΣΙΜΑΤΟΣ'!B236/'2.ΤΙΜΕΣ ΚΛΕΙΣΙΜΑΤΟΣ'!B235)</f>
        <v>-9.3289511587485052E-2</v>
      </c>
      <c r="C235" s="43">
        <f>LN('2.ΤΙΜΕΣ ΚΛΕΙΣΙΜΑΤΟΣ'!C236/'2.ΤΙΜΕΣ ΚΛΕΙΣΙΜΑΤΟΣ'!C235)</f>
        <v>-5.5329582052261392E-2</v>
      </c>
      <c r="D235" s="43">
        <f>LN('2.ΤΙΜΕΣ ΚΛΕΙΣΙΜΑΤΟΣ'!D236/'2.ΤΙΜΕΣ ΚΛΕΙΣΙΜΑΤΟΣ'!D235)</f>
        <v>-0.11052159296105805</v>
      </c>
      <c r="E235" s="43">
        <f>LN('2.ΤΙΜΕΣ ΚΛΕΙΣΙΜΑΤΟΣ'!E236/'2.ΤΙΜΕΣ ΚΛΕΙΣΙΜΑΤΟΣ'!E235)</f>
        <v>-3.0494393354066979E-2</v>
      </c>
      <c r="F235" s="43">
        <f>LN('2.ΤΙΜΕΣ ΚΛΕΙΣΙΜΑΤΟΣ'!F236/'2.ΤΙΜΕΣ ΚΛΕΙΣΙΜΑΤΟΣ'!F235)</f>
        <v>-0.19368151858389346</v>
      </c>
      <c r="G235" s="43">
        <f>LN('2.ΤΙΜΕΣ ΚΛΕΙΣΙΜΑΤΟΣ'!G236/'2.ΤΙΜΕΣ ΚΛΕΙΣΙΜΑΤΟΣ'!G235)</f>
        <v>-0.16478393612862707</v>
      </c>
      <c r="H235" s="43">
        <f>LN('2.ΤΙΜΕΣ ΚΛΕΙΣΙΜΑΤΟΣ'!H236/'2.ΤΙΜΕΣ ΚΛΕΙΣΙΜΑΤΟΣ'!H235)</f>
        <v>-0.17599677288850774</v>
      </c>
      <c r="I235" s="43">
        <f>LN('2.ΤΙΜΕΣ ΚΛΕΙΣΙΜΑΤΟΣ'!I236/'2.ΤΙΜΕΣ ΚΛΕΙΣΙΜΑΤΟΣ'!I235)</f>
        <v>-0.16934639793082118</v>
      </c>
      <c r="J235" s="43">
        <f>LN('2.ΤΙΜΕΣ ΚΛΕΙΣΙΜΑΤΟΣ'!J236/'2.ΤΙΜΕΣ ΚΛΕΙΣΙΜΑΤΟΣ'!J235)</f>
        <v>-0.22764046726783402</v>
      </c>
      <c r="K235" s="43">
        <f>LN('2.ΤΙΜΕΣ ΚΛΕΙΣΙΜΑΤΟΣ'!K236/'2.ΤΙΜΕΣ ΚΛΕΙΣΙΜΑΤΟΣ'!K235)</f>
        <v>-0.14165051706302692</v>
      </c>
      <c r="L235" s="43">
        <f>LN('2.ΤΙΜΕΣ ΚΛΕΙΣΙΜΑΤΟΣ'!L236/'2.ΤΙΜΕΣ ΚΛΕΙΣΙΜΑΤΟΣ'!L235)</f>
        <v>-0.18815247710474778</v>
      </c>
      <c r="M235" s="43">
        <f>LN('2.ΤΙΜΕΣ ΚΛΕΙΣΙΜΑΤΟΣ'!M236/'2.ΤΙΜΕΣ ΚΛΕΙΣΙΜΑΤΟΣ'!M235)</f>
        <v>-0.22007449519679184</v>
      </c>
      <c r="N235" s="43">
        <f>LN('2.ΤΙΜΕΣ ΚΛΕΙΣΙΜΑΤΟΣ'!N236/'2.ΤΙΜΕΣ ΚΛΕΙΣΙΜΑΤΟΣ'!N235)</f>
        <v>-0.15393838813768046</v>
      </c>
      <c r="O235" s="43">
        <f>LN('2.ΤΙΜΕΣ ΚΛΕΙΣΙΜΑΤΟΣ'!O236/'2.ΤΙΜΕΣ ΚΛΕΙΣΙΜΑΤΟΣ'!O235)</f>
        <v>-0.12783337150988489</v>
      </c>
      <c r="P235" s="43">
        <f>LN('2.ΤΙΜΕΣ ΚΛΕΙΣΙΜΑΤΟΣ'!P236/'2.ΤΙΜΕΣ ΚΛΕΙΣΙΜΑΤΟΣ'!P235)</f>
        <v>-0.31294173921101875</v>
      </c>
      <c r="Q235" s="43">
        <f>LN('2.ΤΙΜΕΣ ΚΛΕΙΣΙΜΑΤΟΣ'!Q236/'2.ΤΙΜΕΣ ΚΛΕΙΣΙΜΑΤΟΣ'!Q235)</f>
        <v>-0.20893520531204465</v>
      </c>
      <c r="R235" s="43">
        <f>LN('2.ΤΙΜΕΣ ΚΛΕΙΣΙΜΑΤΟΣ'!R236/'2.ΤΙΜΕΣ ΚΛΕΙΣΙΜΑΤΟΣ'!R235)</f>
        <v>-0.2776317365982795</v>
      </c>
      <c r="S235" s="43">
        <f>LN('2.ΤΙΜΕΣ ΚΛΕΙΣΙΜΑΤΟΣ'!S236/'2.ΤΙΜΕΣ ΚΛΕΙΣΙΜΑΤΟΣ'!S235)</f>
        <v>-8.2887659805767636E-2</v>
      </c>
      <c r="T235" s="43">
        <f>LN('2.ΤΙΜΕΣ ΚΛΕΙΣΙΜΑΤΟΣ'!T236/'2.ΤΙΜΕΣ ΚΛΕΙΣΙΜΑΤΟΣ'!T235)</f>
        <v>-0.21921427317432018</v>
      </c>
      <c r="U235" s="43">
        <f>LN('2.ΤΙΜΕΣ ΚΛΕΙΣΙΜΑΤΟΣ'!U236/'2.ΤΙΜΕΣ ΚΛΕΙΣΙΜΑΤΟΣ'!U235)</f>
        <v>-0.15954152846213462</v>
      </c>
      <c r="V235" s="43">
        <f>LN('2.ΤΙΜΕΣ ΚΛΕΙΣΙΜΑΤΟΣ'!V236/'2.ΤΙΜΕΣ ΚΛΕΙΣΙΜΑΤΟΣ'!V235)</f>
        <v>-9.1248671465145037E-2</v>
      </c>
      <c r="W235" s="43">
        <f>LN('2.ΤΙΜΕΣ ΚΛΕΙΣΙΜΑΤΟΣ'!W236/'2.ΤΙΜΕΣ ΚΛΕΙΣΙΜΑΤΟΣ'!W235)</f>
        <v>-0.25951119548508439</v>
      </c>
      <c r="X235" s="43">
        <f>LN('2.ΤΙΜΕΣ ΚΛΕΙΣΙΜΑΤΟΣ'!X236/'2.ΤΙΜΕΣ ΚΛΕΙΣΙΜΑΤΟΣ'!X235)</f>
        <v>-0.1935576300608805</v>
      </c>
      <c r="Y235" s="43">
        <f>LN('2.ΤΙΜΕΣ ΚΛΕΙΣΙΜΑΤΟΣ'!Y236/'2.ΤΙΜΕΣ ΚΛΕΙΣΙΜΑΤΟΣ'!Y235)</f>
        <v>-0.1850954836766798</v>
      </c>
      <c r="Z235" s="43">
        <f>LN('2.ΤΙΜΕΣ ΚΛΕΙΣΙΜΑΤΟΣ'!Z236/'2.ΤΙΜΕΣ ΚΛΕΙΣΙΜΑΤΟΣ'!Z235)</f>
        <v>-0.10536051565782628</v>
      </c>
      <c r="AA235" s="43">
        <f>LN('2.ΤΙΜΕΣ ΚΛΕΙΣΙΜΑΤΟΣ'!AA236/'2.ΤΙΜΕΣ ΚΛΕΙΣΙΜΑΤΟΣ'!AA235)</f>
        <v>-0.19918536284595942</v>
      </c>
      <c r="AB235" s="43">
        <f>LN('2.ΤΙΜΕΣ ΚΛΕΙΣΙΜΑΤΟΣ'!AB236/'2.ΤΙΜΕΣ ΚΛΕΙΣΙΜΑΤΟΣ'!AB235)</f>
        <v>-3.7364246744867935E-2</v>
      </c>
      <c r="AC235" s="43">
        <f>LN('2.ΤΙΜΕΣ ΚΛΕΙΣΙΜΑΤΟΣ'!AC236/'2.ΤΙΜΕΣ ΚΛΕΙΣΙΜΑΤΟΣ'!AC235)</f>
        <v>-1.5267472130788421E-2</v>
      </c>
      <c r="AD235" s="43">
        <f>LN('2.ΤΙΜΕΣ ΚΛΕΙΣΙΜΑΤΟΣ'!AD236/'2.ΤΙΜΕΣ ΚΛΕΙΣΙΜΑΤΟΣ'!AD235)</f>
        <v>-0.30918827767274448</v>
      </c>
      <c r="AE235" s="43">
        <f>LN('2.ΤΙΜΕΣ ΚΛΕΙΣΙΜΑΤΟΣ'!AE236/'2.ΤΙΜΕΣ ΚΛΕΙΣΙΜΑΤΟΣ'!AE235)</f>
        <v>-9.5980046972390237E-2</v>
      </c>
      <c r="AF235" s="43">
        <f>LN('2.ΤΙΜΕΣ ΚΛΕΙΣΙΜΑΤΟΣ'!AF236/'2.ΤΙΜΕΣ ΚΛΕΙΣΙΜΑΤΟΣ'!AF235)</f>
        <v>-0.21262690628928366</v>
      </c>
      <c r="AG235" s="43">
        <f>LN('2.ΤΙΜΕΣ ΚΛΕΙΣΙΜΑΤΟΣ'!AG236/'2.ΤΙΜΕΣ ΚΛΕΙΣΙΜΑΤΟΣ'!AG235)</f>
        <v>-0.21815600980317063</v>
      </c>
      <c r="AH235" s="43">
        <f>LN('2.ΤΙΜΕΣ ΚΛΕΙΣΙΜΑΤΟΣ'!AH236/'2.ΤΙΜΕΣ ΚΛΕΙΣΙΜΑΤΟΣ'!AH235)</f>
        <v>-0.35580951766230356</v>
      </c>
      <c r="AI235" s="43">
        <f>LN('2.ΤΙΜΕΣ ΚΛΕΙΣΙΜΑΤΟΣ'!AI236/'2.ΤΙΜΕΣ ΚΛΕΙΣΙΜΑΤΟΣ'!AI235)</f>
        <v>-2.9413885206293341E-2</v>
      </c>
      <c r="AJ235" s="43">
        <f>LN('2.ΤΙΜΕΣ ΚΛΕΙΣΙΜΑΤΟΣ'!AJ236/'2.ΤΙΜΕΣ ΚΛΕΙΣΙΜΑΤΟΣ'!AJ235)</f>
        <v>-0.24256163717131135</v>
      </c>
      <c r="AK235" s="43">
        <f>LN('2.ΤΙΜΕΣ ΚΛΕΙΣΙΜΑΤΟΣ'!AK236/'2.ΤΙΜΕΣ ΚΛΕΙΣΙΜΑΤΟΣ'!AK235)</f>
        <v>-9.1434205959631837E-2</v>
      </c>
      <c r="AL235" s="43">
        <f>LN('2.ΤΙΜΕΣ ΚΛΕΙΣΙΜΑΤΟΣ'!AL236/'2.ΤΙΜΕΣ ΚΛΕΙΣΙΜΑΤΟΣ'!AL235)</f>
        <v>-0.20661424936299916</v>
      </c>
      <c r="AM235" s="43">
        <f>LN('2.ΤΙΜΕΣ ΚΛΕΙΣΙΜΑΤΟΣ'!AM236/'2.ΤΙΜΕΣ ΚΛΕΙΣΙΜΑΤΟΣ'!AM235)</f>
        <v>-0.16795161651100199</v>
      </c>
      <c r="AN235" s="43">
        <f>LN('2.ΤΙΜΕΣ ΚΛΕΙΣΙΜΑΤΟΣ'!AN236/'2.ΤΙΜΕΣ ΚΛΕΙΣΙΜΑΤΟΣ'!AN235)</f>
        <v>-0.24791883927976796</v>
      </c>
      <c r="AO235" s="43">
        <f>LN('2.ΤΙΜΕΣ ΚΛΕΙΣΙΜΑΤΟΣ'!AO236/'2.ΤΙΜΕΣ ΚΛΕΙΣΙΜΑΤΟΣ'!AO235)</f>
        <v>-0.11163997114266942</v>
      </c>
      <c r="AP235" s="43">
        <f>LN('2.ΤΙΜΕΣ ΚΛΕΙΣΙΜΑΤΟΣ'!AP236/'2.ΤΙΜΕΣ ΚΛΕΙΣΙΜΑΤΟΣ'!AP235)</f>
        <v>-0.18924199963852842</v>
      </c>
      <c r="AQ235" s="43">
        <f>LN('2.ΤΙΜΕΣ ΚΛΕΙΣΙΜΑΤΟΣ'!AQ236/'2.ΤΙΜΕΣ ΚΛΕΙΣΙΜΑΤΟΣ'!AQ235)</f>
        <v>-0.2498117983963711</v>
      </c>
      <c r="AR235" s="43">
        <f>LN('2.ΤΙΜΕΣ ΚΛΕΙΣΙΜΑΤΟΣ'!AR236/'2.ΤΙΜΕΣ ΚΛΕΙΣΙΜΑΤΟΣ'!AR235)</f>
        <v>-0.27815406620012639</v>
      </c>
      <c r="AS235" s="43">
        <f>LN('2.ΤΙΜΕΣ ΚΛΕΙΣΙΜΑΤΟΣ'!AS236/'2.ΤΙΜΕΣ ΚΛΕΙΣΙΜΑΤΟΣ'!AS235)</f>
        <v>-0.17662353567931688</v>
      </c>
      <c r="AT235" s="43">
        <f>LN('2.ΤΙΜΕΣ ΚΛΕΙΣΙΜΑΤΟΣ'!AT236/'2.ΤΙΜΕΣ ΚΛΕΙΣΙΜΑΤΟΣ'!AT235)</f>
        <v>-0.20854475189305707</v>
      </c>
      <c r="AU235" s="43">
        <f>LN('2.ΤΙΜΕΣ ΚΛΕΙΣΙΜΑΤΟΣ'!AU236/'2.ΤΙΜΕΣ ΚΛΕΙΣΙΜΑΤΟΣ'!AU235)</f>
        <v>-0.14372676829056868</v>
      </c>
    </row>
    <row r="236" spans="1:47">
      <c r="A236" s="41">
        <v>43900</v>
      </c>
      <c r="B236" s="43">
        <f>LN('2.ΤΙΜΕΣ ΚΛΕΙΣΙΜΑΤΟΣ'!B237/'2.ΤΙΜΕΣ ΚΛΕΙΣΙΜΑΤΟΣ'!B236)</f>
        <v>-2.5647489844283992E-2</v>
      </c>
      <c r="C236" s="43">
        <f>LN('2.ΤΙΜΕΣ ΚΛΕΙΣΙΜΑΤΟΣ'!C237/'2.ΤΙΜΕΣ ΚΛΕΙΣΙΜΑΤΟΣ'!C236)</f>
        <v>1.3245226750020723E-2</v>
      </c>
      <c r="D236" s="43">
        <f>LN('2.ΤΙΜΕΣ ΚΛΕΙΣΙΜΑΤΟΣ'!D237/'2.ΤΙΜΕΣ ΚΛΕΙΣΙΜΑΤΟΣ'!D236)</f>
        <v>1.5575740326557778E-2</v>
      </c>
      <c r="E236" s="43">
        <f>LN('2.ΤΙΜΕΣ ΚΛΕΙΣΙΜΑΤΟΣ'!E237/'2.ΤΙΜΕΣ ΚΛΕΙΣΙΜΑΤΟΣ'!E236)</f>
        <v>6.2733585691255353E-2</v>
      </c>
      <c r="F236" s="43">
        <f>LN('2.ΤΙΜΕΣ ΚΛΕΙΣΙΜΑΤΟΣ'!F237/'2.ΤΙΜΕΣ ΚΛΕΙΣΙΜΑΤΟΣ'!F236)</f>
        <v>7.5690820171079046E-2</v>
      </c>
      <c r="G236" s="43">
        <f>LN('2.ΤΙΜΕΣ ΚΛΕΙΣΙΜΑΤΟΣ'!G237/'2.ΤΙΜΕΣ ΚΛΕΙΣΙΜΑΤΟΣ'!G236)</f>
        <v>0.12556322297534575</v>
      </c>
      <c r="H236" s="43">
        <f>LN('2.ΤΙΜΕΣ ΚΛΕΙΣΙΜΑΤΟΣ'!H237/'2.ΤΙΜΕΣ ΚΛΕΙΣΙΜΑΤΟΣ'!H236)</f>
        <v>0.10453780890636284</v>
      </c>
      <c r="I236" s="43">
        <f>LN('2.ΤΙΜΕΣ ΚΛΕΙΣΙΜΑΤΟΣ'!I237/'2.ΤΙΜΕΣ ΚΛΕΙΣΙΜΑΤΟΣ'!I236)</f>
        <v>0.12937913752375532</v>
      </c>
      <c r="J236" s="43">
        <f>LN('2.ΤΙΜΕΣ ΚΛΕΙΣΙΜΑΤΟΣ'!J237/'2.ΤΙΜΕΣ ΚΛΕΙΣΙΜΑΤΟΣ'!J236)</f>
        <v>0.10613486366033564</v>
      </c>
      <c r="K236" s="43">
        <f>LN('2.ΤΙΜΕΣ ΚΛΕΙΣΙΜΑΤΟΣ'!K237/'2.ΤΙΜΕΣ ΚΛΕΙΣΙΜΑΤΟΣ'!K236)</f>
        <v>0.14479023706769459</v>
      </c>
      <c r="L236" s="43">
        <f>LN('2.ΤΙΜΕΣ ΚΛΕΙΣΙΜΑΤΟΣ'!L237/'2.ΤΙΜΕΣ ΚΛΕΙΣΙΜΑΤΟΣ'!L236)</f>
        <v>5.9592097202245599E-2</v>
      </c>
      <c r="M236" s="43">
        <f>LN('2.ΤΙΜΕΣ ΚΛΕΙΣΙΜΑΤΟΣ'!M237/'2.ΤΙΜΕΣ ΚΛΕΙΣΙΜΑΤΟΣ'!M236)</f>
        <v>7.0013800621058664E-2</v>
      </c>
      <c r="N236" s="43">
        <f>LN('2.ΤΙΜΕΣ ΚΛΕΙΣΙΜΑΤΟΣ'!N237/'2.ΤΙΜΕΣ ΚΛΕΙΣΙΜΑΤΟΣ'!N236)</f>
        <v>3.933500539867673E-2</v>
      </c>
      <c r="O236" s="43">
        <f>LN('2.ΤΙΜΕΣ ΚΛΕΙΣΙΜΑΤΟΣ'!O237/'2.ΤΙΜΕΣ ΚΛΕΙΣΙΜΑΤΟΣ'!O236)</f>
        <v>7.020425867324856E-2</v>
      </c>
      <c r="P236" s="43">
        <f>LN('2.ΤΙΜΕΣ ΚΛΕΙΣΙΜΑΤΟΣ'!P237/'2.ΤΙΜΕΣ ΚΛΕΙΣΙΜΑΤΟΣ'!P236)</f>
        <v>0.13976194237515882</v>
      </c>
      <c r="Q236" s="43">
        <f>LN('2.ΤΙΜΕΣ ΚΛΕΙΣΙΜΑΤΟΣ'!Q237/'2.ΤΙΜΕΣ ΚΛΕΙΣΙΜΑΤΟΣ'!Q236)</f>
        <v>3.6663984371591525E-2</v>
      </c>
      <c r="R236" s="43">
        <f>LN('2.ΤΙΜΕΣ ΚΛΕΙΣΙΜΑΤΟΣ'!R237/'2.ΤΙΜΕΣ ΚΛΕΙΣΙΜΑΤΟΣ'!R236)</f>
        <v>9.5310179804324935E-2</v>
      </c>
      <c r="S236" s="43">
        <f>LN('2.ΤΙΜΕΣ ΚΛΕΙΣΙΜΑΤΟΣ'!S237/'2.ΤΙΜΕΣ ΚΛΕΙΣΙΜΑΤΟΣ'!S236)</f>
        <v>0.14351228162220256</v>
      </c>
      <c r="T236" s="43">
        <f>LN('2.ΤΙΜΕΣ ΚΛΕΙΣΙΜΑΤΟΣ'!T237/'2.ΤΙΜΕΣ ΚΛΕΙΣΙΜΑΤΟΣ'!T236)</f>
        <v>9.5755713338092671E-2</v>
      </c>
      <c r="U236" s="43">
        <f>LN('2.ΤΙΜΕΣ ΚΛΕΙΣΙΜΑΤΟΣ'!U237/'2.ΤΙΜΕΣ ΚΛΕΙΣΙΜΑΤΟΣ'!U236)</f>
        <v>7.2948999646167481E-2</v>
      </c>
      <c r="V236" s="43">
        <f>LN('2.ΤΙΜΕΣ ΚΛΕΙΣΙΜΑΤΟΣ'!V237/'2.ΤΙΜΕΣ ΚΛΕΙΣΙΜΑΤΟΣ'!V236)</f>
        <v>4.3620622475890353E-2</v>
      </c>
      <c r="W236" s="43">
        <f>LN('2.ΤΙΜΕΣ ΚΛΕΙΣΙΜΑΤΟΣ'!W237/'2.ΤΙΜΕΣ ΚΛΕΙΣΙΜΑΤΟΣ'!W236)</f>
        <v>9.4889215790530848E-2</v>
      </c>
      <c r="X236" s="43">
        <f>LN('2.ΤΙΜΕΣ ΚΛΕΙΣΙΜΑΤΟΣ'!X237/'2.ΤΙΜΕΣ ΚΛΕΙΣΙΜΑΤΟΣ'!X236)</f>
        <v>0.17095779814363948</v>
      </c>
      <c r="Y236" s="43">
        <f>LN('2.ΤΙΜΕΣ ΚΛΕΙΣΙΜΑΤΟΣ'!Y237/'2.ΤΙΜΕΣ ΚΛΕΙΣΙΜΑΤΟΣ'!Y236)</f>
        <v>0.12516314295400599</v>
      </c>
      <c r="Z236" s="43">
        <f>LN('2.ΤΙΜΕΣ ΚΛΕΙΣΙΜΑΤΟΣ'!Z237/'2.ΤΙΜΕΣ ΚΛΕΙΣΙΜΑΤΟΣ'!Z236)</f>
        <v>-9.7088141269608269E-3</v>
      </c>
      <c r="AA236" s="43">
        <f>LN('2.ΤΙΜΕΣ ΚΛΕΙΣΙΜΑΤΟΣ'!AA237/'2.ΤΙΜΕΣ ΚΛΕΙΣΙΜΑΤΟΣ'!AA236)</f>
        <v>2.0202707317519469E-2</v>
      </c>
      <c r="AB236" s="43">
        <f>LN('2.ΤΙΜΕΣ ΚΛΕΙΣΙΜΑΤΟΣ'!AB237/'2.ΤΙΜΕΣ ΚΛΕΙΣΙΜΑΤΟΣ'!AB236)</f>
        <v>4.1025019594549246E-2</v>
      </c>
      <c r="AC236" s="43">
        <f>LN('2.ΤΙΜΕΣ ΚΛΕΙΣΙΜΑΤΟΣ'!AC237/'2.ΤΙΜΕΣ ΚΛΕΙΣΙΜΑΤΟΣ'!AC236)</f>
        <v>0</v>
      </c>
      <c r="AD236" s="43">
        <f>LN('2.ΤΙΜΕΣ ΚΛΕΙΣΙΜΑΤΟΣ'!AD237/'2.ΤΙΜΕΣ ΚΛΕΙΣΙΜΑΤΟΣ'!AD236)</f>
        <v>8.0711380383172271E-2</v>
      </c>
      <c r="AE236" s="43">
        <f>LN('2.ΤΙΜΕΣ ΚΛΕΙΣΙΜΑΤΟΣ'!AE237/'2.ΤΙΜΕΣ ΚΛΕΙΣΙΜΑΤΟΣ'!AE236)</f>
        <v>3.6192128593416632E-2</v>
      </c>
      <c r="AF236" s="43">
        <f>LN('2.ΤΙΜΕΣ ΚΛΕΙΣΙΜΑΤΟΣ'!AF237/'2.ΤΙΜΕΣ ΚΛΕΙΣΙΜΑΤΟΣ'!AF236)</f>
        <v>3.9220713153281329E-2</v>
      </c>
      <c r="AG236" s="43">
        <f>LN('2.ΤΙΜΕΣ ΚΛΕΙΣΙΜΑΤΟΣ'!AG237/'2.ΤΙΜΕΣ ΚΛΕΙΣΙΜΑΤΟΣ'!AG236)</f>
        <v>0.11279549414534429</v>
      </c>
      <c r="AH236" s="43">
        <f>LN('2.ΤΙΜΕΣ ΚΛΕΙΣΙΜΑΤΟΣ'!AH237/'2.ΤΙΜΕΣ ΚΛΕΙΣΙΜΑΤΟΣ'!AH236)</f>
        <v>8.6145950713200942E-2</v>
      </c>
      <c r="AI236" s="43">
        <f>LN('2.ΤΙΜΕΣ ΚΛΕΙΣΙΜΑΤΟΣ'!AI237/'2.ΤΙΜΕΣ ΚΛΕΙΣΙΜΑΤΟΣ'!AI236)</f>
        <v>7.4349784875179905E-3</v>
      </c>
      <c r="AJ236" s="43">
        <f>LN('2.ΤΙΜΕΣ ΚΛΕΙΣΙΜΑΤΟΣ'!AJ237/'2.ΤΙΜΕΣ ΚΛΕΙΣΙΜΑΤΟΣ'!AJ236)</f>
        <v>6.6375068944872592E-2</v>
      </c>
      <c r="AK236" s="43">
        <f>LN('2.ΤΙΜΕΣ ΚΛΕΙΣΙΜΑΤΟΣ'!AK237/'2.ΤΙΜΕΣ ΚΛΕΙΣΙΜΑΤΟΣ'!AK236)</f>
        <v>9.7885841241120625E-2</v>
      </c>
      <c r="AL236" s="43">
        <f>LN('2.ΤΙΜΕΣ ΚΛΕΙΣΙΜΑΤΟΣ'!AL237/'2.ΤΙΜΕΣ ΚΛΕΙΣΙΜΑΤΟΣ'!AL236)</f>
        <v>7.8780877853114384E-2</v>
      </c>
      <c r="AM236" s="43">
        <f>LN('2.ΤΙΜΕΣ ΚΛΕΙΣΙΜΑΤΟΣ'!AM237/'2.ΤΙΜΕΣ ΚΛΕΙΣΙΜΑΤΟΣ'!AM236)</f>
        <v>3.8172573505029811E-2</v>
      </c>
      <c r="AN236" s="43">
        <f>LN('2.ΤΙΜΕΣ ΚΛΕΙΣΙΜΑΤΟΣ'!AN237/'2.ΤΙΜΕΣ ΚΛΕΙΣΙΜΑΤΟΣ'!AN236)</f>
        <v>-1.0221554071538139E-2</v>
      </c>
      <c r="AO236" s="43">
        <f>LN('2.ΤΙΜΕΣ ΚΛΕΙΣΙΜΑΤΟΣ'!AO237/'2.ΤΙΜΕΣ ΚΛΕΙΣΙΜΑΤΟΣ'!AO236)</f>
        <v>-7.9051795071132611E-3</v>
      </c>
      <c r="AP236" s="43">
        <f>LN('2.ΤΙΜΕΣ ΚΛΕΙΣΙΜΑΤΟΣ'!AP237/'2.ΤΙΜΕΣ ΚΛΕΙΣΙΜΑΤΟΣ'!AP236)</f>
        <v>6.4538521137571164E-2</v>
      </c>
      <c r="AQ236" s="43">
        <f>LN('2.ΤΙΜΕΣ ΚΛΕΙΣΙΜΑΤΟΣ'!AQ237/'2.ΤΙΜΕΣ ΚΛΕΙΣΙΜΑΤΟΣ'!AQ236)</f>
        <v>-2.1858793812499073E-2</v>
      </c>
      <c r="AR236" s="43">
        <f>LN('2.ΤΙΜΕΣ ΚΛΕΙΣΙΜΑΤΟΣ'!AR237/'2.ΤΙΜΕΣ ΚΛΕΙΣΙΜΑΤΟΣ'!AR236)</f>
        <v>3.3901551675681416E-2</v>
      </c>
      <c r="AS236" s="43">
        <f>LN('2.ΤΙΜΕΣ ΚΛΕΙΣΙΜΑΤΟΣ'!AS237/'2.ΤΙΜΕΣ ΚΛΕΙΣΙΜΑΤΟΣ'!AS236)</f>
        <v>1.8018505502678431E-2</v>
      </c>
      <c r="AT236" s="43">
        <f>LN('2.ΤΙΜΕΣ ΚΛΕΙΣΙΜΑΤΟΣ'!AT237/'2.ΤΙΜΕΣ ΚΛΕΙΣΙΜΑΤΟΣ'!AT236)</f>
        <v>1.4388737452099671E-2</v>
      </c>
      <c r="AU236" s="43">
        <f>LN('2.ΤΙΜΕΣ ΚΛΕΙΣΙΜΑΤΟΣ'!AU237/'2.ΤΙΜΕΣ ΚΛΕΙΣΙΜΑΤΟΣ'!AU236)</f>
        <v>5.7625740547745705E-2</v>
      </c>
    </row>
    <row r="237" spans="1:47">
      <c r="A237" s="41">
        <v>43901</v>
      </c>
      <c r="B237" s="43">
        <f>LN('2.ΤΙΜΕΣ ΚΛΕΙΣΙΜΑΤΟΣ'!B238/'2.ΤΙΜΕΣ ΚΛΕΙΣΙΜΑΤΟΣ'!B237)</f>
        <v>-6.8650347078738724E-2</v>
      </c>
      <c r="C237" s="43">
        <f>LN('2.ΤΙΜΕΣ ΚΛΕΙΣΙΜΑΤΟΣ'!C238/'2.ΤΙΜΕΣ ΚΛΕΙΣΙΜΑΤΟΣ'!C237)</f>
        <v>-1.859283307661597E-2</v>
      </c>
      <c r="D237" s="43">
        <f>LN('2.ΤΙΜΕΣ ΚΛΕΙΣΙΜΑΤΟΣ'!D238/'2.ΤΙΜΕΣ ΚΛΕΙΣΙΜΑΤΟΣ'!D237)</f>
        <v>-1.7187056651314988E-3</v>
      </c>
      <c r="E237" s="43">
        <f>LN('2.ΤΙΜΕΣ ΚΛΕΙΣΙΜΑΤΟΣ'!E238/'2.ΤΙΜΕΣ ΚΛΕΙΣΙΜΑΤΟΣ'!E237)</f>
        <v>-8.6951293473524427E-2</v>
      </c>
      <c r="F237" s="43">
        <f>LN('2.ΤΙΜΕΣ ΚΛΕΙΣΙΜΑΤΟΣ'!F238/'2.ΤΙΜΕΣ ΚΛΕΙΣΙΜΑΤΟΣ'!F237)</f>
        <v>-2.8437935320533399E-2</v>
      </c>
      <c r="G237" s="43">
        <f>LN('2.ΤΙΜΕΣ ΚΛΕΙΣΙΜΑΤΟΣ'!G238/'2.ΤΙΜΕΣ ΚΛΕΙΣΙΜΑΤΟΣ'!G237)</f>
        <v>-4.4997365930735805E-2</v>
      </c>
      <c r="H237" s="43">
        <f>LN('2.ΤΙΜΕΣ ΚΛΕΙΣΙΜΑΤΟΣ'!H238/'2.ΤΙΜΕΣ ΚΛΕΙΣΙΜΑΤΟΣ'!H237)</f>
        <v>-5.9435539008479941E-3</v>
      </c>
      <c r="I237" s="43">
        <f>LN('2.ΤΙΜΕΣ ΚΛΕΙΣΙΜΑΤΟΣ'!I238/'2.ΤΙΜΕΣ ΚΛΕΙΣΙΜΑΤΟΣ'!I237)</f>
        <v>-6.0018009726253041E-2</v>
      </c>
      <c r="J237" s="43">
        <f>LN('2.ΤΙΜΕΣ ΚΛΕΙΣΙΜΑΤΟΣ'!J238/'2.ΤΙΜΕΣ ΚΛΕΙΣΙΜΑΤΟΣ'!J237)</f>
        <v>-8.591807193495965E-2</v>
      </c>
      <c r="K237" s="43">
        <f>LN('2.ΤΙΜΕΣ ΚΛΕΙΣΙΜΑΤΟΣ'!K238/'2.ΤΙΜΕΣ ΚΛΕΙΣΙΜΑΤΟΣ'!K237)</f>
        <v>-8.672643611293343E-2</v>
      </c>
      <c r="L237" s="43">
        <f>LN('2.ΤΙΜΕΣ ΚΛΕΙΣΙΜΑΤΟΣ'!L238/'2.ΤΙΜΕΣ ΚΛΕΙΣΙΜΑΤΟΣ'!L237)</f>
        <v>-5.6089466651043585E-2</v>
      </c>
      <c r="M237" s="43">
        <f>LN('2.ΤΙΜΕΣ ΚΛΕΙΣΙΜΑΤΟΣ'!M238/'2.ΤΙΜΕΣ ΚΛΕΙΣΙΜΑΤΟΣ'!M237)</f>
        <v>-5.6822335866696216E-2</v>
      </c>
      <c r="N237" s="43">
        <f>LN('2.ΤΙΜΕΣ ΚΛΕΙΣΙΜΑΤΟΣ'!N238/'2.ΤΙΜΕΣ ΚΛΕΙΣΙΜΑΤΟΣ'!N237)</f>
        <v>-2.8612322810321234E-3</v>
      </c>
      <c r="O237" s="43">
        <f>LN('2.ΤΙΜΕΣ ΚΛΕΙΣΙΜΑΤΟΣ'!O238/'2.ΤΙΜΕΣ ΚΛΕΙΣΙΜΑΤΟΣ'!O237)</f>
        <v>-5.2185753170570309E-2</v>
      </c>
      <c r="P237" s="43">
        <f>LN('2.ΤΙΜΕΣ ΚΛΕΙΣΙΜΑΤΟΣ'!P238/'2.ΤΙΜΕΣ ΚΛΕΙΣΙΜΑΤΟΣ'!P237)</f>
        <v>-2.8719922652419703E-2</v>
      </c>
      <c r="Q237" s="43">
        <f>LN('2.ΤΙΜΕΣ ΚΛΕΙΣΙΜΑΤΟΣ'!Q238/'2.ΤΙΜΕΣ ΚΛΕΙΣΙΜΑΤΟΣ'!Q237)</f>
        <v>-8.3381608939051138E-2</v>
      </c>
      <c r="R237" s="43">
        <f>LN('2.ΤΙΜΕΣ ΚΛΕΙΣΙΜΑΤΟΣ'!R238/'2.ΤΙΜΕΣ ΚΛΕΙΣΙΜΑΤΟΣ'!R237)</f>
        <v>-3.7041271680349097E-2</v>
      </c>
      <c r="S237" s="43">
        <f>LN('2.ΤΙΜΕΣ ΚΛΕΙΣΙΜΑΤΟΣ'!S238/'2.ΤΙΜΕΣ ΚΛΕΙΣΙΜΑΤΟΣ'!S237)</f>
        <v>-5.4958884280757472E-2</v>
      </c>
      <c r="T237" s="43">
        <f>LN('2.ΤΙΜΕΣ ΚΛΕΙΣΙΜΑΤΟΣ'!T238/'2.ΤΙΜΕΣ ΚΛΕΙΣΙΜΑΤΟΣ'!T237)</f>
        <v>-4.5565968814237308E-2</v>
      </c>
      <c r="U237" s="43">
        <f>LN('2.ΤΙΜΕΣ ΚΛΕΙΣΙΜΑΤΟΣ'!U238/'2.ΤΙΜΕΣ ΚΛΕΙΣΙΜΑΤΟΣ'!U237)</f>
        <v>3.0105391528712842E-3</v>
      </c>
      <c r="V237" s="43">
        <f>LN('2.ΤΙΜΕΣ ΚΛΕΙΣΙΜΑΤΟΣ'!V238/'2.ΤΙΜΕΣ ΚΛΕΙΣΙΜΑΤΟΣ'!V237)</f>
        <v>-2.844966146808367E-2</v>
      </c>
      <c r="W237" s="43">
        <f>LN('2.ΤΙΜΕΣ ΚΛΕΙΣΙΜΑΤΟΣ'!W238/'2.ΤΙΜΕΣ ΚΛΕΙΣΙΜΑΤΟΣ'!W237)</f>
        <v>-3.208831455150063E-2</v>
      </c>
      <c r="X237" s="43">
        <f>LN('2.ΤΙΜΕΣ ΚΛΕΙΣΙΜΑΤΟΣ'!X238/'2.ΤΙΜΕΣ ΚΛΕΙΣΙΜΑΤΟΣ'!X237)</f>
        <v>-5.8840500022933465E-2</v>
      </c>
      <c r="Y237" s="43">
        <f>LN('2.ΤΙΜΕΣ ΚΛΕΙΣΙΜΑΤΟΣ'!Y238/'2.ΤΙΜΕΣ ΚΛΕΙΣΙΜΑΤΟΣ'!Y237)</f>
        <v>-6.5323142597989034E-2</v>
      </c>
      <c r="Z237" s="43">
        <f>LN('2.ΤΙΜΕΣ ΚΛΕΙΣΙΜΑΤΟΣ'!Z238/'2.ΤΙΜΕΣ ΚΛΕΙΣΙΜΑΤΟΣ'!Z237)</f>
        <v>-9.8040000966208556E-3</v>
      </c>
      <c r="AA237" s="43">
        <f>LN('2.ΤΙΜΕΣ ΚΛΕΙΣΙΜΑΤΟΣ'!AA238/'2.ΤΙΜΕΣ ΚΛΕΙΣΙΜΑΤΟΣ'!AA237)</f>
        <v>0</v>
      </c>
      <c r="AB237" s="43">
        <f>LN('2.ΤΙΜΕΣ ΚΛΕΙΣΙΜΑΤΟΣ'!AB238/'2.ΤΙΜΕΣ ΚΛΕΙΣΙΜΑΤΟΣ'!AB237)</f>
        <v>1.3309331368780262E-2</v>
      </c>
      <c r="AC237" s="43">
        <f>LN('2.ΤΙΜΕΣ ΚΛΕΙΣΙΜΑΤΟΣ'!AC238/'2.ΤΙΜΕΣ ΚΛΕΙΣΙΜΑΤΟΣ'!AC237)</f>
        <v>-1.3995803544232435E-3</v>
      </c>
      <c r="AD237" s="43">
        <f>LN('2.ΤΙΜΕΣ ΚΛΕΙΣΙΜΑΤΟΣ'!AD238/'2.ΤΙΜΕΣ ΚΛΕΙΣΙΜΑΤΟΣ'!AD237)</f>
        <v>-1.6172859245601072E-2</v>
      </c>
      <c r="AE237" s="43">
        <f>LN('2.ΤΙΜΕΣ ΚΛΕΙΣΙΜΑΤΟΣ'!AE238/'2.ΤΙΜΕΣ ΚΛΕΙΣΙΜΑΤΟΣ'!AE237)</f>
        <v>-4.111824692947269E-2</v>
      </c>
      <c r="AF237" s="43">
        <f>LN('2.ΤΙΜΕΣ ΚΛΕΙΣΙΜΑΤΟΣ'!AF238/'2.ΤΙΜΕΣ ΚΛΕΙΣΙΜΑΤΟΣ'!AF237)</f>
        <v>7.2733401490555169E-2</v>
      </c>
      <c r="AG237" s="43">
        <f>LN('2.ΤΙΜΕΣ ΚΛΕΙΣΙΜΑΤΟΣ'!AG238/'2.ΤΙΜΕΣ ΚΛΕΙΣΙΜΑΤΟΣ'!AG237)</f>
        <v>-6.4242268728353702E-2</v>
      </c>
      <c r="AH237" s="43">
        <f>LN('2.ΤΙΜΕΣ ΚΛΕΙΣΙΜΑΤΟΣ'!AH238/'2.ΤΙΜΕΣ ΚΛΕΙΣΙΜΑΤΟΣ'!AH237)</f>
        <v>1.5748356968139112E-2</v>
      </c>
      <c r="AI237" s="43">
        <f>LN('2.ΤΙΜΕΣ ΚΛΕΙΣΙΜΑΤΟΣ'!AI238/'2.ΤΙΜΕΣ ΚΛΕΙΣΙΜΑΤΟΣ'!AI237)</f>
        <v>3.6367644170874791E-2</v>
      </c>
      <c r="AJ237" s="43">
        <f>LN('2.ΤΙΜΕΣ ΚΛΕΙΣΙΜΑΤΟΣ'!AJ238/'2.ΤΙΜΕΣ ΚΛΕΙΣΙΜΑΤΟΣ'!AJ237)</f>
        <v>-3.1058397019972855E-2</v>
      </c>
      <c r="AK237" s="43">
        <f>LN('2.ΤΙΜΕΣ ΚΛΕΙΣΙΜΑΤΟΣ'!AK238/'2.ΤΙΜΕΣ ΚΛΕΙΣΙΜΑΤΟΣ'!AK237)</f>
        <v>-3.6010437523033054E-2</v>
      </c>
      <c r="AL237" s="43">
        <f>LN('2.ΤΙΜΕΣ ΚΛΕΙΣΙΜΑΤΟΣ'!AL238/'2.ΤΙΜΕΣ ΚΛΕΙΣΙΜΑΤΟΣ'!AL237)</f>
        <v>-3.077165866675366E-2</v>
      </c>
      <c r="AM237" s="43">
        <f>LN('2.ΤΙΜΕΣ ΚΛΕΙΣΙΜΑΤΟΣ'!AM238/'2.ΤΙΜΕΣ ΚΛΕΙΣΙΜΑΤΟΣ'!AM237)</f>
        <v>-2.6567027384721751E-2</v>
      </c>
      <c r="AN237" s="43">
        <f>LN('2.ΤΙΜΕΣ ΚΛΕΙΣΙΜΑΤΟΣ'!AN238/'2.ΤΙΜΕΣ ΚΛΕΙΣΙΜΑΤΟΣ'!AN237)</f>
        <v>2.7028672387919419E-2</v>
      </c>
      <c r="AO237" s="43">
        <f>LN('2.ΤΙΜΕΣ ΚΛΕΙΣΙΜΑΤΟΣ'!AO238/'2.ΤΙΜΕΣ ΚΛΕΙΣΙΜΑΤΟΣ'!AO237)</f>
        <v>-2.0040750883446038E-2</v>
      </c>
      <c r="AP237" s="43">
        <f>LN('2.ΤΙΜΕΣ ΚΛΕΙΣΙΜΑΤΟΣ'!AP238/'2.ΤΙΜΕΣ ΚΛΕΙΣΙΜΑΤΟΣ'!AP237)</f>
        <v>-2.3716526617316044E-2</v>
      </c>
      <c r="AQ237" s="43">
        <f>LN('2.ΤΙΜΕΣ ΚΛΕΙΣΙΜΑΤΟΣ'!AQ238/'2.ΤΙΜΕΣ ΚΛΕΙΣΙΜΑΤΟΣ'!AQ237)</f>
        <v>2.7586224390796607E-3</v>
      </c>
      <c r="AR237" s="43">
        <f>LN('2.ΤΙΜΕΣ ΚΛΕΙΣΙΜΑΤΟΣ'!AR238/'2.ΤΙΜΕΣ ΚΛΕΙΣΙΜΑΤΟΣ'!AR237)</f>
        <v>1.4888612493750777E-2</v>
      </c>
      <c r="AS237" s="43">
        <f>LN('2.ΤΙΜΕΣ ΚΛΕΙΣΙΜΑΤΟΣ'!AS238/'2.ΤΙΜΕΣ ΚΛΕΙΣΙΜΑΤΟΣ'!AS237)</f>
        <v>0</v>
      </c>
      <c r="AT237" s="43">
        <f>LN('2.ΤΙΜΕΣ ΚΛΕΙΣΙΜΑΤΟΣ'!AT238/'2.ΤΙΜΕΣ ΚΛΕΙΣΙΜΑΤΟΣ'!AT237)</f>
        <v>-5.8840500022933465E-2</v>
      </c>
      <c r="AU237" s="43">
        <f>LN('2.ΤΙΜΕΣ ΚΛΕΙΣΙΜΑΤΟΣ'!AU238/'2.ΤΙΜΕΣ ΚΛΕΙΣΙΜΑΤΟΣ'!AU237)</f>
        <v>-4.18837066306052E-2</v>
      </c>
    </row>
    <row r="238" spans="1:47">
      <c r="A238" s="41">
        <v>43902</v>
      </c>
      <c r="B238" s="43">
        <f>LN('2.ΤΙΜΕΣ ΚΛΕΙΣΙΜΑΤΟΣ'!B239/'2.ΤΙΜΕΣ ΚΛΕΙΣΙΜΑΤΟΣ'!B238)</f>
        <v>-0.1633250561032995</v>
      </c>
      <c r="C238" s="43">
        <f>LN('2.ΤΙΜΕΣ ΚΛΕΙΣΙΜΑΤΟΣ'!C239/'2.ΤΙΜΕΣ ΚΛΕΙΣΙΜΑΤΟΣ'!C238)</f>
        <v>-0.11343592966337167</v>
      </c>
      <c r="D238" s="43">
        <f>LN('2.ΤΙΜΕΣ ΚΛΕΙΣΙΜΑΤΟΣ'!D239/'2.ΤΙΜΕΣ ΚΛΕΙΣΙΜΑΤΟΣ'!D238)</f>
        <v>-0.11921755031925256</v>
      </c>
      <c r="E238" s="43">
        <f>LN('2.ΤΙΜΕΣ ΚΛΕΙΣΙΜΑΤΟΣ'!E239/'2.ΤΙΜΕΣ ΚΛΕΙΣΙΜΑΤΟΣ'!E238)</f>
        <v>-8.8126240862194685E-2</v>
      </c>
      <c r="F238" s="43">
        <f>LN('2.ΤΙΜΕΣ ΚΛΕΙΣΙΜΑΤΟΣ'!F239/'2.ΤΙΜΕΣ ΚΛΕΙΣΙΜΑΤΟΣ'!F238)</f>
        <v>-7.5884697524872688E-2</v>
      </c>
      <c r="G238" s="43">
        <f>LN('2.ΤΙΜΕΣ ΚΛΕΙΣΙΜΑΤΟΣ'!G239/'2.ΤΙΜΕΣ ΚΛΕΙΣΙΜΑΤΟΣ'!G238)</f>
        <v>-0.19072496759033403</v>
      </c>
      <c r="H238" s="43">
        <f>LN('2.ΤΙΜΕΣ ΚΛΕΙΣΙΜΑΤΟΣ'!H239/'2.ΤΙΜΕΣ ΚΛΕΙΣΙΜΑΤΟΣ'!H238)</f>
        <v>-9.5310179804324893E-2</v>
      </c>
      <c r="I238" s="43">
        <f>LN('2.ΤΙΜΕΣ ΚΛΕΙΣΙΜΑΤΟΣ'!I239/'2.ΤΙΜΕΣ ΚΛΕΙΣΙΜΑΤΟΣ'!I238)</f>
        <v>-0.13205972201306637</v>
      </c>
      <c r="J238" s="43">
        <f>LN('2.ΤΙΜΕΣ ΚΛΕΙΣΙΜΑΤΟΣ'!J239/'2.ΤΙΜΕΣ ΚΛΕΙΣΙΜΑΤΟΣ'!J238)</f>
        <v>-0.23459604504599768</v>
      </c>
      <c r="K238" s="43">
        <f>LN('2.ΤΙΜΕΣ ΚΛΕΙΣΙΜΑΤΟΣ'!K239/'2.ΤΙΜΕΣ ΚΛΕΙΣΙΜΑΤΟΣ'!K238)</f>
        <v>-9.3090423066011854E-2</v>
      </c>
      <c r="L238" s="43">
        <f>LN('2.ΤΙΜΕΣ ΚΛΕΙΣΙΜΑΤΟΣ'!L239/'2.ΤΙΜΕΣ ΚΛΕΙΣΙΜΑΤΟΣ'!L238)</f>
        <v>-7.249550203815347E-2</v>
      </c>
      <c r="M238" s="43">
        <f>LN('2.ΤΙΜΕΣ ΚΛΕΙΣΙΜΑΤΟΣ'!M239/'2.ΤΙΜΕΣ ΚΛΕΙΣΙΜΑΤΟΣ'!M238)</f>
        <v>1.0075567602997706E-3</v>
      </c>
      <c r="N238" s="43">
        <f>LN('2.ΤΙΜΕΣ ΚΛΕΙΣΙΜΑΤΟΣ'!N239/'2.ΤΙΜΕΣ ΚΛΕΙΣΙΜΑΤΟΣ'!N238)</f>
        <v>-8.8314648384837727E-2</v>
      </c>
      <c r="O238" s="43">
        <f>LN('2.ΤΙΜΕΣ ΚΛΕΙΣΙΜΑΤΟΣ'!O239/'2.ΤΙΜΕΣ ΚΛΕΙΣΙΜΑΤΟΣ'!O238)</f>
        <v>-1.801850550267825E-2</v>
      </c>
      <c r="P238" s="43">
        <f>LN('2.ΤΙΜΕΣ ΚΛΕΙΣΙΜΑΤΟΣ'!P239/'2.ΤΙΜΕΣ ΚΛΕΙΣΙΜΑΤΟΣ'!P238)</f>
        <v>-0.12509377317838935</v>
      </c>
      <c r="Q238" s="43">
        <f>LN('2.ΤΙΜΕΣ ΚΛΕΙΣΙΜΑΤΟΣ'!Q239/'2.ΤΙΜΕΣ ΚΛΕΙΣΙΜΑΤΟΣ'!Q238)</f>
        <v>-0.18232155679395459</v>
      </c>
      <c r="R238" s="43">
        <f>LN('2.ΤΙΜΕΣ ΚΛΕΙΣΙΜΑΤΟΣ'!R239/'2.ΤΙΜΕΣ ΚΛΕΙΣΙΜΑΤΟΣ'!R238)</f>
        <v>-0.14710012183059154</v>
      </c>
      <c r="S238" s="43">
        <f>LN('2.ΤΙΜΕΣ ΚΛΕΙΣΙΜΑΤΟΣ'!S239/'2.ΤΙΜΕΣ ΚΛΕΙΣΙΜΑΤΟΣ'!S238)</f>
        <v>-6.869025384203345E-2</v>
      </c>
      <c r="T238" s="43">
        <f>LN('2.ΤΙΜΕΣ ΚΛΕΙΣΙΜΑΤΟΣ'!T239/'2.ΤΙΜΕΣ ΚΛΕΙΣΙΜΑΤΟΣ'!T238)</f>
        <v>-0.20925443915354269</v>
      </c>
      <c r="U238" s="43">
        <f>LN('2.ΤΙΜΕΣ ΚΛΕΙΣΙΜΑΤΟΣ'!U239/'2.ΤΙΜΕΣ ΚΛΕΙΣΙΜΑΤΟΣ'!U238)</f>
        <v>-0.11903632570638303</v>
      </c>
      <c r="V238" s="43">
        <f>LN('2.ΤΙΜΕΣ ΚΛΕΙΣΙΜΑΤΟΣ'!V239/'2.ΤΙΜΕΣ ΚΛΕΙΣΙΜΑΤΟΣ'!V238)</f>
        <v>-8.2345650175699489E-2</v>
      </c>
      <c r="W238" s="43">
        <f>LN('2.ΤΙΜΕΣ ΚΛΕΙΣΙΜΑΤΟΣ'!W239/'2.ΤΙΜΕΣ ΚΛΕΙΣΙΜΑΤΟΣ'!W238)</f>
        <v>-9.0971778205726633E-2</v>
      </c>
      <c r="X238" s="43">
        <f>LN('2.ΤΙΜΕΣ ΚΛΕΙΣΙΜΑΤΟΣ'!X239/'2.ΤΙΜΕΣ ΚΛΕΙΣΙΜΑΤΟΣ'!X238)</f>
        <v>-4.6520015634892817E-2</v>
      </c>
      <c r="Y238" s="43">
        <f>LN('2.ΤΙΜΕΣ ΚΛΕΙΣΙΜΑΤΟΣ'!Y239/'2.ΤΙΜΕΣ ΚΛΕΙΣΙΜΑΤΟΣ'!Y238)</f>
        <v>-9.0299207840725537E-2</v>
      </c>
      <c r="Z238" s="43">
        <f>LN('2.ΤΙΜΕΣ ΚΛΕΙΣΙΜΑΤΟΣ'!Z239/'2.ΤΙΜΕΣ ΚΛΕΙΣΙΜΑΤΟΣ'!Z238)</f>
        <v>-1.4888612493750637E-2</v>
      </c>
      <c r="AA238" s="43">
        <f>LN('2.ΤΙΜΕΣ ΚΛΕΙΣΙΜΑΤΟΣ'!AA239/'2.ΤΙΜΕΣ ΚΛΕΙΣΙΜΑΤΟΣ'!AA238)</f>
        <v>-6.1875403718087411E-2</v>
      </c>
      <c r="AB238" s="43">
        <f>LN('2.ΤΙΜΕΣ ΚΛΕΙΣΙΜΑΤΟΣ'!AB239/'2.ΤΙΜΕΣ ΚΛΕΙΣΙΜΑΤΟΣ'!AB238)</f>
        <v>-7.7441925973479014E-2</v>
      </c>
      <c r="AC238" s="43">
        <f>LN('2.ΤΙΜΕΣ ΚΛΕΙΣΙΜΑΤΟΣ'!AC239/'2.ΤΙΜΕΣ ΚΛΕΙΣΙΜΑΤΟΣ'!AC238)</f>
        <v>-1.9802627296179754E-2</v>
      </c>
      <c r="AD238" s="43">
        <f>LN('2.ΤΙΜΕΣ ΚΛΕΙΣΙΜΑΤΟΣ'!AD239/'2.ΤΙΜΕΣ ΚΛΕΙΣΙΜΑΤΟΣ'!AD238)</f>
        <v>-7.9137320558723745E-2</v>
      </c>
      <c r="AE238" s="43">
        <f>LN('2.ΤΙΜΕΣ ΚΛΕΙΣΙΜΑΤΟΣ'!AE239/'2.ΤΙΜΕΣ ΚΛΕΙΣΙΜΑΤΟΣ'!AE238)</f>
        <v>-9.3090423066011979E-2</v>
      </c>
      <c r="AF238" s="43">
        <f>LN('2.ΤΙΜΕΣ ΚΛΕΙΣΙΜΑΤΟΣ'!AF239/'2.ΤΙΜΕΣ ΚΛΕΙΣΙΜΑΤΟΣ'!AF238)</f>
        <v>-0.15920699949438213</v>
      </c>
      <c r="AG238" s="43">
        <f>LN('2.ΤΙΜΕΣ ΚΛΕΙΣΙΜΑΤΟΣ'!AG239/'2.ΤΙΜΕΣ ΚΛΕΙΣΙΜΑΤΟΣ'!AG238)</f>
        <v>-0.12611145976286525</v>
      </c>
      <c r="AH238" s="43">
        <f>LN('2.ΤΙΜΕΣ ΚΛΕΙΣΙΜΑΤΟΣ'!AH239/'2.ΤΙΜΕΣ ΚΛΕΙΣΙΜΑΤΟΣ'!AH238)</f>
        <v>-0.11583181552512183</v>
      </c>
      <c r="AI238" s="43">
        <f>LN('2.ΤΙΜΕΣ ΚΛΕΙΣΙΜΑΤΟΣ'!AI239/'2.ΤΙΜΕΣ ΚΛΕΙΣΙΜΑΤΟΣ'!AI238)</f>
        <v>-4.3802622658392888E-2</v>
      </c>
      <c r="AJ238" s="43">
        <f>LN('2.ΤΙΜΕΣ ΚΛΕΙΣΙΜΑΤΟΣ'!AJ239/'2.ΤΙΜΕΣ ΚΛΕΙΣΙΜΑΤΟΣ'!AJ238)</f>
        <v>-0.2374408560150342</v>
      </c>
      <c r="AK238" s="43">
        <f>LN('2.ΤΙΜΕΣ ΚΛΕΙΣΙΜΑΤΟΣ'!AK239/'2.ΤΙΜΕΣ ΚΛΕΙΣΙΜΑΤΟΣ'!AK238)</f>
        <v>-6.899287148695156E-2</v>
      </c>
      <c r="AL238" s="43">
        <f>LN('2.ΤΙΜΕΣ ΚΛΕΙΣΙΜΑΤΟΣ'!AL239/'2.ΤΙΜΕΣ ΚΛΕΙΣΙΜΑΤΟΣ'!AL238)</f>
        <v>-0.1158318155251217</v>
      </c>
      <c r="AM238" s="43">
        <f>LN('2.ΤΙΜΕΣ ΚΛΕΙΣΙΜΑΤΟΣ'!AM239/'2.ΤΙΜΕΣ ΚΛΕΙΣΙΜΑΤΟΣ'!AM238)</f>
        <v>-4.7252884850545615E-2</v>
      </c>
      <c r="AN238" s="43">
        <f>LN('2.ΤΙΜΕΣ ΚΛΕΙΣΙΜΑΤΟΣ'!AN239/'2.ΤΙΜΕΣ ΚΛΕΙΣΙΜΑΤΟΣ'!AN238)</f>
        <v>-0.12783337150988477</v>
      </c>
      <c r="AO238" s="43">
        <f>LN('2.ΤΙΜΕΣ ΚΛΕΙΣΙΜΑΤΟΣ'!AO239/'2.ΤΙΜΕΣ ΚΛΕΙΣΙΜΑΤΟΣ'!AO238)</f>
        <v>-8.0042707673536606E-2</v>
      </c>
      <c r="AP238" s="43">
        <f>LN('2.ΤΙΜΕΣ ΚΛΕΙΣΙΜΑΤΟΣ'!AP239/'2.ΤΙΜΕΣ ΚΛΕΙΣΙΜΑΤΟΣ'!AP238)</f>
        <v>-0.13238918804574562</v>
      </c>
      <c r="AQ238" s="43">
        <f>LN('2.ΤΙΜΕΣ ΚΛΕΙΣΙΜΑΤΟΣ'!AQ239/'2.ΤΙΜΕΣ ΚΛΕΙΣΙΜΑΤΟΣ'!AQ238)</f>
        <v>-0.14500984835659733</v>
      </c>
      <c r="AR238" s="43">
        <f>LN('2.ΤΙΜΕΣ ΚΛΕΙΣΙΜΑΤΟΣ'!AR239/'2.ΤΙΜΕΣ ΚΛΕΙΣΙΜΑΤΟΣ'!AR238)</f>
        <v>-0.23803216380796036</v>
      </c>
      <c r="AS238" s="43">
        <f>LN('2.ΤΙΜΕΣ ΚΛΕΙΣΙΜΑΤΟΣ'!AS239/'2.ΤΙΜΕΣ ΚΛΕΙΣΙΜΑΤΟΣ'!AS238)</f>
        <v>-0.19129022677671509</v>
      </c>
      <c r="AT238" s="43">
        <f>LN('2.ΤΙΜΕΣ ΚΛΕΙΣΙΜΑΤΟΣ'!AT239/'2.ΤΙΜΕΣ ΚΛΕΙΣΙΜΑΤΟΣ'!AT238)</f>
        <v>-0.12062798778861475</v>
      </c>
      <c r="AU238" s="43">
        <f>LN('2.ΤΙΜΕΣ ΚΛΕΙΣΙΜΑΤΟΣ'!AU239/'2.ΤΙΜΕΣ ΚΛΕΙΣΙΜΑΤΟΣ'!AU238)</f>
        <v>-0.11217412699631719</v>
      </c>
    </row>
    <row r="239" spans="1:47">
      <c r="A239" s="41">
        <v>43903</v>
      </c>
      <c r="B239" s="43">
        <f>LN('2.ΤΙΜΕΣ ΚΛΕΙΣΙΜΑΤΟΣ'!B240/'2.ΤΙΜΕΣ ΚΛΕΙΣΙΜΑΤΟΣ'!B239)</f>
        <v>5.8249887857881745E-2</v>
      </c>
      <c r="C239" s="43">
        <f>LN('2.ΤΙΜΕΣ ΚΛΕΙΣΙΜΑΤΟΣ'!C240/'2.ΤΙΜΕΣ ΚΛΕΙΣΙΜΑΤΟΣ'!C239)</f>
        <v>3.3467690471084929E-2</v>
      </c>
      <c r="D239" s="43">
        <f>LN('2.ΤΙΜΕΣ ΚΛΕΙΣΙΜΑΤΟΣ'!D240/'2.ΤΙΜΕΣ ΚΛΕΙΣΙΜΑΤΟΣ'!D239)</f>
        <v>-2.1548336206202948E-2</v>
      </c>
      <c r="E239" s="43">
        <f>LN('2.ΤΙΜΕΣ ΚΛΕΙΣΙΜΑΤΟΣ'!E240/'2.ΤΙΜΕΣ ΚΛΕΙΣΙΜΑΤΟΣ'!E239)</f>
        <v>-6.3191363514785463E-3</v>
      </c>
      <c r="F239" s="43">
        <f>LN('2.ΤΙΜΕΣ ΚΛΕΙΣΙΜΑΤΟΣ'!F240/'2.ΤΙΜΕΣ ΚΛΕΙΣΙΜΑΤΟΣ'!F239)</f>
        <v>3.2655962974052717E-2</v>
      </c>
      <c r="G239" s="43">
        <f>LN('2.ΤΙΜΕΣ ΚΛΕΙΣΙΜΑΤΟΣ'!G240/'2.ΤΙΜΕΣ ΚΛΕΙΣΙΜΑΤΟΣ'!G239)</f>
        <v>6.8486414145156035E-2</v>
      </c>
      <c r="H239" s="43">
        <f>LN('2.ΤΙΜΕΣ ΚΛΕΙΣΙΜΑΤΟΣ'!H240/'2.ΤΙΜΕΣ ΚΛΕΙΣΙΜΑΤΟΣ'!H239)</f>
        <v>0</v>
      </c>
      <c r="I239" s="43">
        <f>LN('2.ΤΙΜΕΣ ΚΛΕΙΣΙΜΑΤΟΣ'!I240/'2.ΤΙΜΕΣ ΚΛΕΙΣΙΜΑΤΟΣ'!I239)</f>
        <v>7.6961041136128394E-2</v>
      </c>
      <c r="J239" s="43">
        <f>LN('2.ΤΙΜΕΣ ΚΛΕΙΣΙΜΑΤΟΣ'!J240/'2.ΤΙΜΕΣ ΚΛΕΙΣΙΜΑΤΟΣ'!J239)</f>
        <v>2.2434072862273058E-2</v>
      </c>
      <c r="K239" s="43">
        <f>LN('2.ΤΙΜΕΣ ΚΛΕΙΣΙΜΑΤΟΣ'!K240/'2.ΤΙΜΕΣ ΚΛΕΙΣΙΜΑΤΟΣ'!K239)</f>
        <v>1.3047715392475675E-2</v>
      </c>
      <c r="L239" s="43">
        <f>LN('2.ΤΙΜΕΣ ΚΛΕΙΣΙΜΑΤΟΣ'!L240/'2.ΤΙΜΕΣ ΚΛΕΙΣΙΜΑΤΟΣ'!L239)</f>
        <v>1.4925650216675792E-2</v>
      </c>
      <c r="M239" s="43">
        <f>LN('2.ΤΙΜΕΣ ΚΛΕΙΣΙΜΑΤΟΣ'!M240/'2.ΤΙΜΕΣ ΚΛΕΙΣΙΜΑΤΟΣ'!M239)</f>
        <v>-2.2404195753847531E-2</v>
      </c>
      <c r="N239" s="43">
        <f>LN('2.ΤΙΜΕΣ ΚΛΕΙΣΙΜΑΤΟΣ'!N240/'2.ΤΙΜΕΣ ΚΛΕΙΣΙΜΑΤΟΣ'!N239)</f>
        <v>-4.1539518441323323E-2</v>
      </c>
      <c r="O239" s="43">
        <f>LN('2.ΤΙΜΕΣ ΚΛΕΙΣΙΜΑΤΟΣ'!O240/'2.ΤΙΜΕΣ ΚΛΕΙΣΙΜΑΤΟΣ'!O239)</f>
        <v>1.6231194928582552E-2</v>
      </c>
      <c r="P239" s="43">
        <f>LN('2.ΤΙΜΕΣ ΚΛΕΙΣΙΜΑΤΟΣ'!P240/'2.ΤΙΜΕΣ ΚΛΕΙΣΙΜΑΤΟΣ'!P239)</f>
        <v>3.2485455144488307E-2</v>
      </c>
      <c r="Q239" s="43">
        <f>LN('2.ΤΙΜΕΣ ΚΛΕΙΣΙΜΑΤΟΣ'!Q240/'2.ΤΙΜΕΣ ΚΛΕΙΣΙΜΑΤΟΣ'!Q239)</f>
        <v>6.3178901621531669E-2</v>
      </c>
      <c r="R239" s="43">
        <f>LN('2.ΤΙΜΕΣ ΚΛΕΙΣΙΜΑΤΟΣ'!R240/'2.ΤΙΜΕΣ ΚΛΕΙΣΙΜΑΤΟΣ'!R239)</f>
        <v>-1.6529301951210582E-2</v>
      </c>
      <c r="S239" s="43">
        <f>LN('2.ΤΙΜΕΣ ΚΛΕΙΣΙΜΑΤΟΣ'!S240/'2.ΤΙΜΕΣ ΚΛΕΙΣΙΜΑΤΟΣ'!S239)</f>
        <v>4.2937757739618769E-2</v>
      </c>
      <c r="T239" s="43">
        <f>LN('2.ΤΙΜΕΣ ΚΛΕΙΣΙΜΑΤΟΣ'!T240/'2.ΤΙΜΕΣ ΚΛΕΙΣΙΜΑΤΟΣ'!T239)</f>
        <v>3.9441732051296835E-2</v>
      </c>
      <c r="U239" s="43">
        <f>LN('2.ΤΙΜΕΣ ΚΛΕΙΣΙΜΑΤΟΣ'!U240/'2.ΤΙΜΕΣ ΚΛΕΙΣΙΜΑΤΟΣ'!U239)</f>
        <v>4.3076786907344365E-2</v>
      </c>
      <c r="V239" s="43">
        <f>LN('2.ΤΙΜΕΣ ΚΛΕΙΣΙΜΑΤΟΣ'!V240/'2.ΤΙΜΕΣ ΚΛΕΙΣΙΜΑΤΟΣ'!V239)</f>
        <v>4.7881486233214005E-2</v>
      </c>
      <c r="W239" s="43">
        <f>LN('2.ΤΙΜΕΣ ΚΛΕΙΣΙΜΑΤΟΣ'!W240/'2.ΤΙΜΕΣ ΚΛΕΙΣΙΜΑΤΟΣ'!W239)</f>
        <v>0.13353139262452257</v>
      </c>
      <c r="X239" s="43">
        <f>LN('2.ΤΙΜΕΣ ΚΛΕΙΣΙΜΑΤΟΣ'!X240/'2.ΤΙΜΕΣ ΚΛΕΙΣΙΜΑΤΟΣ'!X239)</f>
        <v>9.0971778205726786E-2</v>
      </c>
      <c r="Y239" s="43">
        <f>LN('2.ΤΙΜΕΣ ΚΛΕΙΣΙΜΑΤΟΣ'!Y240/'2.ΤΙΜΕΣ ΚΛΕΙΣΙΜΑΤΟΣ'!Y239)</f>
        <v>1.0256500167189061E-2</v>
      </c>
      <c r="Z239" s="43">
        <f>LN('2.ΤΙΜΕΣ ΚΛΕΙΣΙΜΑΤΟΣ'!Z240/'2.ΤΙΜΕΣ ΚΛΕΙΣΙΜΑΤΟΣ'!Z239)</f>
        <v>0</v>
      </c>
      <c r="AA239" s="43">
        <f>LN('2.ΤΙΜΕΣ ΚΛΕΙΣΙΜΑΤΟΣ'!AA240/'2.ΤΙΜΕΣ ΚΛΕΙΣΙΜΑΤΟΣ'!AA239)</f>
        <v>-6.4034370352070245E-3</v>
      </c>
      <c r="AB239" s="43">
        <f>LN('2.ΤΙΜΕΣ ΚΛΕΙΣΙΜΑΤΟΣ'!AB240/'2.ΤΙΜΕΣ ΚΛΕΙΣΙΜΑΤΟΣ'!AB239)</f>
        <v>0</v>
      </c>
      <c r="AC239" s="43">
        <f>LN('2.ΤΙΜΕΣ ΚΛΕΙΣΙΜΑΤΟΣ'!AC240/'2.ΤΙΜΕΣ ΚΛΕΙΣΙΜΑΤΟΣ'!AC239)</f>
        <v>-1.4388737452099669E-2</v>
      </c>
      <c r="AD239" s="43">
        <f>LN('2.ΤΙΜΕΣ ΚΛΕΙΣΙΜΑΤΟΣ'!AD240/'2.ΤΙΜΕΣ ΚΛΕΙΣΙΜΑΤΟΣ'!AD239)</f>
        <v>-2.985296314968116E-2</v>
      </c>
      <c r="AE239" s="43">
        <f>LN('2.ΤΙΜΕΣ ΚΛΕΙΣΙΜΑΤΟΣ'!AE240/'2.ΤΙΜΕΣ ΚΛΕΙΣΙΜΑΤΟΣ'!AE239)</f>
        <v>4.244669024725705E-2</v>
      </c>
      <c r="AF239" s="43">
        <f>LN('2.ΤΙΜΕΣ ΚΛΕΙΣΙΜΑΤΟΣ'!AF240/'2.ΤΙΜΕΣ ΚΛΕΙΣΙΜΑΤΟΣ'!AF239)</f>
        <v>5.0325083887515838E-2</v>
      </c>
      <c r="AG239" s="43">
        <f>LN('2.ΤΙΜΕΣ ΚΛΕΙΣΙΜΑΤΟΣ'!AG240/'2.ΤΙΜΕΣ ΚΛΕΙΣΙΜΑΤΟΣ'!AG239)</f>
        <v>0</v>
      </c>
      <c r="AH239" s="43">
        <f>LN('2.ΤΙΜΕΣ ΚΛΕΙΣΙΜΑΤΟΣ'!AH240/'2.ΤΙΜΕΣ ΚΛΕΙΣΙΜΑΤΟΣ'!AH239)</f>
        <v>5.1293294387550481E-2</v>
      </c>
      <c r="AI239" s="43">
        <f>LN('2.ΤΙΜΕΣ ΚΛΕΙΣΙΜΑΤΟΣ'!AI240/'2.ΤΙΜΕΣ ΚΛΕΙΣΙΜΑΤΟΣ'!AI239)</f>
        <v>-4.5809536031294222E-2</v>
      </c>
      <c r="AJ239" s="43">
        <f>LN('2.ΤΙΜΕΣ ΚΛΕΙΣΙΜΑΤΟΣ'!AJ240/'2.ΤΙΜΕΣ ΚΛΕΙΣΙΜΑΤΟΣ'!AJ239)</f>
        <v>6.2035390919452697E-2</v>
      </c>
      <c r="AK239" s="43">
        <f>LN('2.ΤΙΜΕΣ ΚΛΕΙΣΙΜΑΤΟΣ'!AK240/'2.ΤΙΜΕΣ ΚΛΕΙΣΙΜΑΤΟΣ'!AK239)</f>
        <v>2.8170876966696439E-2</v>
      </c>
      <c r="AL239" s="43">
        <f>LN('2.ΤΙΜΕΣ ΚΛΕΙΣΙΜΑΤΟΣ'!AL240/'2.ΤΙΜΕΣ ΚΛΕΙΣΙΜΑΤΟΣ'!AL239)</f>
        <v>-1.7699577099400975E-2</v>
      </c>
      <c r="AM239" s="43">
        <f>LN('2.ΤΙΜΕΣ ΚΛΕΙΣΙΜΑΤΟΣ'!AM240/'2.ΤΙΜΕΣ ΚΛΕΙΣΙΜΑΤΟΣ'!AM239)</f>
        <v>8.0321716972642527E-3</v>
      </c>
      <c r="AN239" s="43">
        <f>LN('2.ΤΙΜΕΣ ΚΛΕΙΣΙΜΑΤΟΣ'!AN240/'2.ΤΙΜΕΣ ΚΛΕΙΣΙΜΑΤΟΣ'!AN239)</f>
        <v>-1.5267472130788421E-2</v>
      </c>
      <c r="AO239" s="43">
        <f>LN('2.ΤΙΜΕΣ ΚΛΕΙΣΙΜΑΤΟΣ'!AO240/'2.ΤΙΜΕΣ ΚΛΕΙΣΙΜΑΤΟΣ'!AO239)</f>
        <v>8.8107267510266998E-2</v>
      </c>
      <c r="AP239" s="43">
        <f>LN('2.ΤΙΜΕΣ ΚΛΕΙΣΙΜΑΤΟΣ'!AP240/'2.ΤΙΜΕΣ ΚΛΕΙΣΙΜΑΤΟΣ'!AP239)</f>
        <v>5.7665641849809081E-2</v>
      </c>
      <c r="AQ239" s="43">
        <f>LN('2.ΤΙΜΕΣ ΚΛΕΙΣΙΜΑΤΟΣ'!AQ240/'2.ΤΙΜΕΣ ΚΛΕΙΣΙΜΑΤΟΣ'!AQ239)</f>
        <v>1.8928009885518859E-2</v>
      </c>
      <c r="AR239" s="43">
        <f>LN('2.ΤΙΜΕΣ ΚΛΕΙΣΙΜΑΤΟΣ'!AR240/'2.ΤΙΜΕΣ ΚΛΕΙΣΙΜΑΤΟΣ'!AR239)</f>
        <v>3.4803922194692097E-2</v>
      </c>
      <c r="AS239" s="43">
        <f>LN('2.ΤΙΜΕΣ ΚΛΕΙΣΙΜΑΤΟΣ'!AS240/'2.ΤΙΜΕΣ ΚΛΕΙΣΙΜΑΤΟΣ'!AS239)</f>
        <v>0</v>
      </c>
      <c r="AT239" s="43">
        <f>LN('2.ΤΙΜΕΣ ΚΛΕΙΣΙΜΑΤΟΣ'!AT240/'2.ΤΙΜΕΣ ΚΛΕΙΣΙΜΑΤΟΣ'!AT239)</f>
        <v>-6.1693569005339899E-2</v>
      </c>
      <c r="AU239" s="43">
        <f>LN('2.ΤΙΜΕΣ ΚΛΕΙΣΙΜΑΤΟΣ'!AU240/'2.ΤΙΜΕΣ ΚΛΕΙΣΙΜΑΤΟΣ'!AU239)</f>
        <v>2.461335417733275E-2</v>
      </c>
    </row>
    <row r="240" spans="1:47">
      <c r="A240" s="41">
        <v>43906</v>
      </c>
      <c r="B240" s="43">
        <f>LN('2.ΤΙΜΕΣ ΚΛΕΙΣΙΜΑΤΟΣ'!B241/'2.ΤΙΜΕΣ ΚΛΕΙΣΙΜΑΤΟΣ'!B240)</f>
        <v>-0.18546486556864331</v>
      </c>
      <c r="C240" s="43">
        <f>LN('2.ΤΙΜΕΣ ΚΛΕΙΣΙΜΑΤΟΣ'!C241/'2.ΤΙΜΕΣ ΚΛΕΙΣΙΜΑΤΟΣ'!C240)</f>
        <v>-0.10988833710608634</v>
      </c>
      <c r="D240" s="43">
        <f>LN('2.ΤΙΜΕΣ ΚΛΕΙΣΙΜΑΤΟΣ'!D241/'2.ΤΙΜΕΣ ΚΛΕΙΣΙΜΑΤΟΣ'!D240)</f>
        <v>-0.25670374780651151</v>
      </c>
      <c r="E240" s="43">
        <f>LN('2.ΤΙΜΕΣ ΚΛΕΙΣΙΜΑΤΟΣ'!E241/'2.ΤΙΜΕΣ ΚΛΕΙΣΙΜΑΤΟΣ'!E240)</f>
        <v>-0.10166950171261722</v>
      </c>
      <c r="F240" s="43">
        <f>LN('2.ΤΙΜΕΣ ΚΛΕΙΣΙΜΑΤΟΣ'!F241/'2.ΤΙΜΕΣ ΚΛΕΙΣΙΜΑΤΟΣ'!F240)</f>
        <v>-6.8562671437296663E-2</v>
      </c>
      <c r="G240" s="43">
        <f>LN('2.ΤΙΜΕΣ ΚΛΕΙΣΙΜΑΤΟΣ'!G241/'2.ΤΙΜΕΣ ΚΛΕΙΣΙΜΑΤΟΣ'!G240)</f>
        <v>-0.10720092632584644</v>
      </c>
      <c r="H240" s="43">
        <f>LN('2.ΤΙΜΕΣ ΚΛΕΙΣΙΜΑΤΟΣ'!H241/'2.ΤΙΜΕΣ ΚΛΕΙΣΙΜΑΤΟΣ'!H240)</f>
        <v>-0.12003967832087532</v>
      </c>
      <c r="I240" s="43">
        <f>LN('2.ΤΙΜΕΣ ΚΛΕΙΣΙΜΑΤΟΣ'!I241/'2.ΤΙΜΕΣ ΚΛΕΙΣΙΜΑΤΟΣ'!I240)</f>
        <v>-0.20212418409013436</v>
      </c>
      <c r="J240" s="43">
        <f>LN('2.ΤΙΜΕΣ ΚΛΕΙΣΙΜΑΤΟΣ'!J241/'2.ΤΙΜΕΣ ΚΛΕΙΣΙΜΑΤΟΣ'!J240)</f>
        <v>-0.23128238398965625</v>
      </c>
      <c r="K240" s="43">
        <f>LN('2.ΤΙΜΕΣ ΚΛΕΙΣΙΜΑΤΟΣ'!K241/'2.ΤΙΜΕΣ ΚΛΕΙΣΙΜΑΤΟΣ'!K240)</f>
        <v>-0.19237189264745613</v>
      </c>
      <c r="L240" s="43">
        <f>LN('2.ΤΙΜΕΣ ΚΛΕΙΣΙΜΑΤΟΣ'!L241/'2.ΤΙΜΕΣ ΚΛΕΙΣΙΜΑΤΟΣ'!L240)</f>
        <v>-7.4963038473455354E-2</v>
      </c>
      <c r="M240" s="43">
        <f>LN('2.ΤΙΜΕΣ ΚΛΕΙΣΙΜΑΤΟΣ'!M241/'2.ΤΙΜΕΣ ΚΛΕΙΣΙΜΑΤΟΣ'!M240)</f>
        <v>-8.4860335711315654E-2</v>
      </c>
      <c r="N240" s="43">
        <f>LN('2.ΤΙΜΕΣ ΚΛΕΙΣΙΜΑΤΟΣ'!N241/'2.ΤΙΜΕΣ ΚΛΕΙΣΙΜΑΤΟΣ'!N240)</f>
        <v>-5.879106726383386E-2</v>
      </c>
      <c r="O240" s="43">
        <f>LN('2.ΤΙΜΕΣ ΚΛΕΙΣΙΜΑΤΟΣ'!O241/'2.ΤΙΜΕΣ ΚΛΕΙΣΙΜΑΤΟΣ'!O240)</f>
        <v>-5.7053189448837603E-2</v>
      </c>
      <c r="P240" s="43">
        <f>LN('2.ΤΙΜΕΣ ΚΛΕΙΣΙΜΑΤΟΣ'!P241/'2.ΤΙΜΕΣ ΚΛΕΙΣΙΜΑΤΟΣ'!P240)</f>
        <v>-0.13941953524974512</v>
      </c>
      <c r="Q240" s="43">
        <f>LN('2.ΤΙΜΕΣ ΚΛΕΙΣΙΜΑΤΟΣ'!Q241/'2.ΤΙΜΕΣ ΚΛΕΙΣΙΜΑΤΟΣ'!Q240)</f>
        <v>-0.19695877231914288</v>
      </c>
      <c r="R240" s="43">
        <f>LN('2.ΤΙΜΕΣ ΚΛΕΙΣΙΜΑΤΟΣ'!R241/'2.ΤΙΜΕΣ ΚΛΕΙΣΙΜΑΤΟΣ'!R240)</f>
        <v>-0.1495317339709637</v>
      </c>
      <c r="S240" s="43">
        <f>LN('2.ΤΙΜΕΣ ΚΛΕΙΣΙΜΑΤΟΣ'!S241/'2.ΤΙΜΕΣ ΚΛΕΙΣΙΜΑΤΟΣ'!S240)</f>
        <v>-5.9719234701622312E-2</v>
      </c>
      <c r="T240" s="43">
        <f>LN('2.ΤΙΜΕΣ ΚΛΕΙΣΙΜΑΤΟΣ'!T241/'2.ΤΙΜΕΣ ΚΛΕΙΣΙΜΑΤΟΣ'!T240)</f>
        <v>-0.10474683045906349</v>
      </c>
      <c r="U240" s="43">
        <f>LN('2.ΤΙΜΕΣ ΚΛΕΙΣΙΜΑΤΟΣ'!U241/'2.ΤΙΜΕΣ ΚΛΕΙΣΙΜΑΤΟΣ'!U240)</f>
        <v>-0.12048939725412647</v>
      </c>
      <c r="V240" s="43">
        <f>LN('2.ΤΙΜΕΣ ΚΛΕΙΣΙΜΑΤΟΣ'!V241/'2.ΤΙΜΕΣ ΚΛΕΙΣΙΜΑΤΟΣ'!V240)</f>
        <v>-6.1599122462013191E-2</v>
      </c>
      <c r="W240" s="43">
        <f>LN('2.ΤΙΜΕΣ ΚΛΕΙΣΙΜΑΤΟΣ'!W241/'2.ΤΙΜΕΣ ΚΛΕΙΣΙΜΑΤΟΣ'!W240)</f>
        <v>-0.18232155679395459</v>
      </c>
      <c r="X240" s="43">
        <f>LN('2.ΤΙΜΕΣ ΚΛΕΙΣΙΜΑΤΟΣ'!X241/'2.ΤΙΜΕΣ ΚΛΕΙΣΙΜΑΤΟΣ'!X240)</f>
        <v>-0.10375150485212568</v>
      </c>
      <c r="Y240" s="43">
        <f>LN('2.ΤΙΜΕΣ ΚΛΕΙΣΙΜΑΤΟΣ'!Y241/'2.ΤΙΜΕΣ ΚΛΕΙΣΙΜΑΤΟΣ'!Y240)</f>
        <v>-0.11905936001598821</v>
      </c>
      <c r="Z240" s="43">
        <f>LN('2.ΤΙΜΕΣ ΚΛΕΙΣΙΜΑΤΟΣ'!Z241/'2.ΤΙΜΕΣ ΚΛΕΙΣΙΜΑΤΟΣ'!Z240)</f>
        <v>-5.1293294387550578E-2</v>
      </c>
      <c r="AA240" s="43">
        <f>LN('2.ΤΙΜΕΣ ΚΛΕΙΣΙΜΑΤΟΣ'!AA241/'2.ΤΙΜΕΣ ΚΛΕΙΣΙΜΑΤΟΣ'!AA240)</f>
        <v>-0.18532391804562393</v>
      </c>
      <c r="AB240" s="43">
        <f>LN('2.ΤΙΜΕΣ ΚΛΕΙΣΙΜΑΤΟΣ'!AB241/'2.ΤΙΜΕΣ ΚΛΕΙΣΙΜΑΤΟΣ'!AB240)</f>
        <v>-1.0443959161083262E-2</v>
      </c>
      <c r="AC240" s="43">
        <f>LN('2.ΤΙΜΕΣ ΚΛΕΙΣΙΜΑΤΟΣ'!AC241/'2.ΤΙΜΕΣ ΚΛΕΙΣΙΜΑΤΟΣ'!AC240)</f>
        <v>-0.12981161152199058</v>
      </c>
      <c r="AD240" s="43">
        <f>LN('2.ΤΙΜΕΣ ΚΛΕΙΣΙΜΑΤΟΣ'!AD241/'2.ΤΙΜΕΣ ΚΛΕΙΣΙΜΑΤΟΣ'!AD240)</f>
        <v>-7.550755250814517E-2</v>
      </c>
      <c r="AE240" s="43">
        <f>LN('2.ΤΙΜΕΣ ΚΛΕΙΣΙΜΑΤΟΣ'!AE241/'2.ΤΙΜΕΣ ΚΛΕΙΣΙΜΑΤΟΣ'!AE240)</f>
        <v>-9.5310179804324893E-2</v>
      </c>
      <c r="AF240" s="43">
        <f>LN('2.ΤΙΜΕΣ ΚΛΕΙΣΙΜΑΤΟΣ'!AF241/'2.ΤΙΜΕΣ ΚΛΕΙΣΙΜΑΤΟΣ'!AF240)</f>
        <v>-0.13090557054685514</v>
      </c>
      <c r="AG240" s="43">
        <f>LN('2.ΤΙΜΕΣ ΚΛΕΙΣΙΜΑΤΟΣ'!AG241/'2.ΤΙΜΕΣ ΚΛΕΙΣΙΜΑΤΟΣ'!AG240)</f>
        <v>-0.13199647290643893</v>
      </c>
      <c r="AH240" s="43">
        <f>LN('2.ΤΙΜΕΣ ΚΛΕΙΣΙΜΑΤΟΣ'!AH241/'2.ΤΙΜΕΣ ΚΛΕΙΣΙΜΑΤΟΣ'!AH240)</f>
        <v>-2.0202707317519466E-2</v>
      </c>
      <c r="AI240" s="43">
        <f>LN('2.ΤΙΜΕΣ ΚΛΕΙΣΙΜΑΤΟΣ'!AI241/'2.ΤΙΜΕΣ ΚΛΕΙΣΙΜΑΤΟΣ'!AI240)</f>
        <v>-4.8009219186360724E-2</v>
      </c>
      <c r="AJ240" s="43">
        <f>LN('2.ΤΙΜΕΣ ΚΛΕΙΣΙΜΑΤΟΣ'!AJ241/'2.ΤΙΜΕΣ ΚΛΕΙΣΙΜΑΤΟΣ'!AJ240)</f>
        <v>-8.6328083488497256E-2</v>
      </c>
      <c r="AK240" s="43">
        <f>LN('2.ΤΙΜΕΣ ΚΛΕΙΣΙΜΑΤΟΣ'!AK241/'2.ΤΙΜΕΣ ΚΛΕΙΣΙΜΑΤΟΣ'!AK240)</f>
        <v>-7.1973499625089102E-2</v>
      </c>
      <c r="AL240" s="43">
        <f>LN('2.ΤΙΜΕΣ ΚΛΕΙΣΙΜΑΤΟΣ'!AL241/'2.ΤΙΜΕΣ ΚΛΕΙΣΙΜΑΤΟΣ'!AL240)</f>
        <v>-0.13353139262452263</v>
      </c>
      <c r="AM240" s="43">
        <f>LN('2.ΤΙΜΕΣ ΚΛΕΙΣΙΜΑΤΟΣ'!AM241/'2.ΤΙΜΕΣ ΚΛΕΙΣΙΜΑΤΟΣ'!AM240)</f>
        <v>-0.22314355131420971</v>
      </c>
      <c r="AN240" s="43">
        <f>LN('2.ΤΙΜΕΣ ΚΛΕΙΣΙΜΑΤΟΣ'!AN241/'2.ΤΙΜΕΣ ΚΛΕΙΣΙΜΑΤΟΣ'!AN240)</f>
        <v>-9.6849825989917787E-2</v>
      </c>
      <c r="AO240" s="43">
        <f>LN('2.ΤΙΜΕΣ ΚΛΕΙΣΙΜΑΤΟΣ'!AO241/'2.ΤΙΜΕΣ ΚΛΕΙΣΙΜΑΤΟΣ'!AO240)</f>
        <v>-0.1058068446096678</v>
      </c>
      <c r="AP240" s="43">
        <f>LN('2.ΤΙΜΕΣ ΚΛΕΙΣΙΜΑΤΟΣ'!AP241/'2.ΤΙΜΕΣ ΚΛΕΙΣΙΜΑΤΟΣ'!AP240)</f>
        <v>-5.310982531394829E-2</v>
      </c>
      <c r="AQ240" s="43">
        <f>LN('2.ΤΙΜΕΣ ΚΛΕΙΣΙΜΑΤΟΣ'!AQ241/'2.ΤΙΜΕΣ ΚΛΕΙΣΙΜΑΤΟΣ'!AQ240)</f>
        <v>-1.5748356968139168E-2</v>
      </c>
      <c r="AR240" s="43">
        <f>LN('2.ΤΙΜΕΣ ΚΛΕΙΣΙΜΑΤΟΣ'!AR241/'2.ΤΙΜΕΣ ΚΛΕΙΣΙΜΑΤΟΣ'!AR240)</f>
        <v>-4.0025866175843881E-2</v>
      </c>
      <c r="AS240" s="43">
        <f>LN('2.ΤΙΜΕΣ ΚΛΕΙΣΙΜΑΤΟΣ'!AS241/'2.ΤΙΜΕΣ ΚΛΕΙΣΙΜΑΤΟΣ'!AS240)</f>
        <v>-0.14518200984449783</v>
      </c>
      <c r="AT240" s="43">
        <f>LN('2.ΤΙΜΕΣ ΚΛΕΙΣΙΜΑΤΟΣ'!AT241/'2.ΤΙΜΕΣ ΚΛΕΙΣΙΜΑΤΟΣ'!AT240)</f>
        <v>-0.2118439960602764</v>
      </c>
      <c r="AU240" s="43">
        <f>LN('2.ΤΙΜΕΣ ΚΛΕΙΣΙΜΑΤΟΣ'!AU241/'2.ΤΙΜΕΣ ΚΛΕΙΣΙΜΑΤΟΣ'!AU240)</f>
        <v>-0.13058268529517469</v>
      </c>
    </row>
    <row r="241" spans="1:47">
      <c r="A241" s="41">
        <v>43907</v>
      </c>
      <c r="B241" s="43">
        <f>LN('2.ΤΙΜΕΣ ΚΛΕΙΣΙΜΑΤΟΣ'!B242/'2.ΤΙΜΕΣ ΚΛΕΙΣΙΜΑΤΟΣ'!B241)</f>
        <v>-2.7860188462124607E-2</v>
      </c>
      <c r="C241" s="43">
        <f>LN('2.ΤΙΜΕΣ ΚΛΕΙΣΙΜΑΤΟΣ'!C242/'2.ΤΙΜΕΣ ΚΛΕΙΣΙΜΑΤΟΣ'!C241)</f>
        <v>9.1423062152902346E-3</v>
      </c>
      <c r="D241" s="43">
        <f>LN('2.ΤΙΜΕΣ ΚΛΕΙΣΙΜΑΤΟΣ'!D242/'2.ΤΙΜΕΣ ΚΛΕΙΣΙΜΑΤΟΣ'!D241)</f>
        <v>3.1908668453828774E-2</v>
      </c>
      <c r="E241" s="43">
        <f>LN('2.ΤΙΜΕΣ ΚΛΕΙΣΙΜΑΤΟΣ'!E242/'2.ΤΙΜΕΣ ΚΛΕΙΣΙΜΑΤΟΣ'!E241)</f>
        <v>-1.9486887673496735E-2</v>
      </c>
      <c r="F241" s="43">
        <f>LN('2.ΤΙΜΕΣ ΚΛΕΙΣΙΜΑΤΟΣ'!F242/'2.ΤΙΜΕΣ ΚΛΕΙΣΙΜΑΤΟΣ'!F241)</f>
        <v>9.6308930609613659E-3</v>
      </c>
      <c r="G241" s="43">
        <f>LN('2.ΤΙΜΕΣ ΚΛΕΙΣΙΜΑΤΟΣ'!G242/'2.ΤΙΜΕΣ ΚΛΕΙΣΙΜΑΤΟΣ'!G241)</f>
        <v>-0.11122563511022437</v>
      </c>
      <c r="H241" s="43">
        <f>LN('2.ΤΙΜΕΣ ΚΛΕΙΣΙΜΑΤΟΣ'!H242/'2.ΤΙΜΕΣ ΚΛΕΙΣΙΜΑΤΟΣ'!H241)</f>
        <v>-7.3823638913250722E-2</v>
      </c>
      <c r="I241" s="43">
        <f>LN('2.ΤΙΜΕΣ ΚΛΕΙΣΙΜΑΤΟΣ'!I242/'2.ΤΙΜΕΣ ΚΛΕΙΣΙΜΑΤΟΣ'!I241)</f>
        <v>-0.13391241758626704</v>
      </c>
      <c r="J241" s="43">
        <f>LN('2.ΤΙΜΕΣ ΚΛΕΙΣΙΜΑΤΟΣ'!J242/'2.ΤΙΜΕΣ ΚΛΕΙΣΙΜΑΤΟΣ'!J241)</f>
        <v>7.2570692834835374E-2</v>
      </c>
      <c r="K241" s="43">
        <f>LN('2.ΤΙΜΕΣ ΚΛΕΙΣΙΜΑΤΟΣ'!K242/'2.ΤΙΜΕΣ ΚΛΕΙΣΙΜΑΤΟΣ'!K241)</f>
        <v>9.2142224571973436E-2</v>
      </c>
      <c r="L241" s="43">
        <f>LN('2.ΤΙΜΕΣ ΚΛΕΙΣΙΜΑΤΟΣ'!L242/'2.ΤΙΜΕΣ ΚΛΕΙΣΙΜΑΤΟΣ'!L241)</f>
        <v>5.0594447456497563E-2</v>
      </c>
      <c r="M241" s="43">
        <f>LN('2.ΤΙΜΕΣ ΚΛΕΙΣΙΜΑΤΟΣ'!M242/'2.ΤΙΜΕΣ ΚΛΕΙΣΙΜΑΤΟΣ'!M241)</f>
        <v>-2.2446698538238618E-3</v>
      </c>
      <c r="N241" s="43">
        <f>LN('2.ΤΙΜΕΣ ΚΛΕΙΣΙΜΑΤΟΣ'!N242/'2.ΤΙΜΕΣ ΚΛΕΙΣΙΜΑΤΟΣ'!N241)</f>
        <v>9.4051130220314041E-2</v>
      </c>
      <c r="O241" s="43">
        <f>LN('2.ΤΙΜΕΣ ΚΛΕΙΣΙΜΑΤΟΣ'!O242/'2.ΤΙΜΕΣ ΚΛΕΙΣΙΜΑΤΟΣ'!O241)</f>
        <v>0.10251556352559499</v>
      </c>
      <c r="P241" s="43">
        <f>LN('2.ΤΙΜΕΣ ΚΛΕΙΣΙΜΑΤΟΣ'!P242/'2.ΤΙΜΕΣ ΚΛΕΙΣΙΜΑΤΟΣ'!P241)</f>
        <v>0.16422351261555337</v>
      </c>
      <c r="Q241" s="43">
        <f>LN('2.ΤΙΜΕΣ ΚΛΕΙΣΙΜΑΤΟΣ'!Q242/'2.ΤΙΜΕΣ ΚΛΕΙΣΙΜΑΤΟΣ'!Q241)</f>
        <v>-5.982071677547429E-3</v>
      </c>
      <c r="R241" s="43">
        <f>LN('2.ΤΙΜΕΣ ΚΛΕΙΣΙΜΑΤΟΣ'!R242/'2.ΤΙΜΕΣ ΚΛΕΙΣΙΜΑΤΟΣ'!R241)</f>
        <v>8.6473598003826854E-2</v>
      </c>
      <c r="S241" s="43">
        <f>LN('2.ΤΙΜΕΣ ΚΛΕΙΣΙΜΑΤΟΣ'!S242/'2.ΤΙΜΕΣ ΚΛΕΙΣΙΜΑΤΟΣ'!S241)</f>
        <v>1.5267472130788381E-2</v>
      </c>
      <c r="T241" s="43">
        <f>LN('2.ΤΙΜΕΣ ΚΛΕΙΣΙΜΑΤΟΣ'!T242/'2.ΤΙΜΕΣ ΚΛΕΙΣΙΜΑΤΟΣ'!T241)</f>
        <v>3.0213778596496633E-2</v>
      </c>
      <c r="U241" s="43">
        <f>LN('2.ΤΙΜΕΣ ΚΛΕΙΣΙΜΑΤΟΣ'!U242/'2.ΤΙΜΕΣ ΚΛΕΙΣΙΜΑΤΟΣ'!U241)</f>
        <v>9.3090423066012035E-2</v>
      </c>
      <c r="V241" s="43">
        <f>LN('2.ΤΙΜΕΣ ΚΛΕΙΣΙΜΑΤΟΣ'!V242/'2.ΤΙΜΕΣ ΚΛΕΙΣΙΜΑΤΟΣ'!V241)</f>
        <v>0.13663430840492727</v>
      </c>
      <c r="W241" s="43">
        <f>LN('2.ΤΙΜΕΣ ΚΛΕΙΣΙΜΑΤΟΣ'!W242/'2.ΤΙΜΕΣ ΚΛΕΙΣΙΜΑΤΟΣ'!W241)</f>
        <v>-6.4538521137571178E-2</v>
      </c>
      <c r="X241" s="43">
        <f>LN('2.ΤΙΜΕΣ ΚΛΕΙΣΙΜΑΤΟΣ'!X242/'2.ΤΙΜΕΣ ΚΛΕΙΣΙΜΑΤΟΣ'!X241)</f>
        <v>4.4032270150503344E-2</v>
      </c>
      <c r="Y241" s="43">
        <f>LN('2.ΤΙΜΕΣ ΚΛΕΙΣΙΜΑΤΟΣ'!Y242/'2.ΤΙΜΕΣ ΚΛΕΙΣΙΜΑΤΟΣ'!Y241)</f>
        <v>4.4951387862266268E-2</v>
      </c>
      <c r="Z241" s="43">
        <f>LN('2.ΤΙΜΕΣ ΚΛΕΙΣΙΜΑΤΟΣ'!Z242/'2.ΤΙΜΕΣ ΚΛΕΙΣΙΜΑΤΟΣ'!Z241)</f>
        <v>-2.6668247082161294E-2</v>
      </c>
      <c r="AA241" s="43">
        <f>LN('2.ΤΙΜΕΣ ΚΛΕΙΣΙΜΑΤΟΣ'!AA242/'2.ΤΙΜΕΣ ΚΛΕΙΣΙΜΑΤΟΣ'!AA241)</f>
        <v>5.5151820075080064E-2</v>
      </c>
      <c r="AB241" s="43">
        <f>LN('2.ΤΙΜΕΣ ΚΛΕΙΣΙΜΑΤΟΣ'!AB242/'2.ΤΙΜΕΣ ΚΛΕΙΣΙΜΑΤΟΣ'!AB241)</f>
        <v>2.6212334798740656E-3</v>
      </c>
      <c r="AC241" s="43">
        <f>LN('2.ΤΙΜΕΣ ΚΛΕΙΣΙΜΑΤΟΣ'!AC242/'2.ΤΙΜΕΣ ΚΛΕΙΣΙΜΑΤΟΣ'!AC241)</f>
        <v>7.0092376820368341E-2</v>
      </c>
      <c r="AD241" s="43">
        <f>LN('2.ΤΙΜΕΣ ΚΛΕΙΣΙΜΑΤΟΣ'!AD242/'2.ΤΙΜΕΣ ΚΛΕΙΣΙΜΑΤΟΣ'!AD241)</f>
        <v>3.2157111634531443E-2</v>
      </c>
      <c r="AE241" s="43">
        <f>LN('2.ΤΙΜΕΣ ΚΛΕΙΣΙΜΑΤΟΣ'!AE242/'2.ΤΙΜΕΣ ΚΛΕΙΣΙΜΑΤΟΣ'!AE241)</f>
        <v>7.6961041136128186E-2</v>
      </c>
      <c r="AF241" s="43">
        <f>LN('2.ΤΙΜΕΣ ΚΛΕΙΣΙΜΑΤΟΣ'!AF242/'2.ΤΙΜΕΣ ΚΛΕΙΣΙΜΑΤΟΣ'!AF241)</f>
        <v>9.6580828005780536E-2</v>
      </c>
      <c r="AG241" s="43">
        <f>LN('2.ΤΙΜΕΣ ΚΛΕΙΣΙΜΑΤΟΣ'!AG242/'2.ΤΙΜΕΣ ΚΛΕΙΣΙΜΑΤΟΣ'!AG241)</f>
        <v>1.2195273093818206E-2</v>
      </c>
      <c r="AH241" s="43">
        <f>LN('2.ΤΙΜΕΣ ΚΛΕΙΣΙΜΑΤΟΣ'!AH242/'2.ΤΙΜΕΣ ΚΛΕΙΣΙΜΑΤΟΣ'!AH241)</f>
        <v>1.0152371464017908E-2</v>
      </c>
      <c r="AI241" s="43">
        <f>LN('2.ΤΙΜΕΣ ΚΛΕΙΣΙΜΑΤΟΣ'!AI242/'2.ΤΙΜΕΣ ΚΛΕΙΣΙΜΑΤΟΣ'!AI241)</f>
        <v>8.6328083488497395E-2</v>
      </c>
      <c r="AJ241" s="43">
        <f>LN('2.ΤΙΜΕΣ ΚΛΕΙΣΙΜΑΤΟΣ'!AJ242/'2.ΤΙΜΕΣ ΚΛΕΙΣΙΜΑΤΟΣ'!AJ241)</f>
        <v>4.4095319865224164E-2</v>
      </c>
      <c r="AK241" s="43">
        <f>LN('2.ΤΙΜΕΣ ΚΛΕΙΣΙΜΑΤΟΣ'!AK242/'2.ΤΙΜΕΣ ΚΛΕΙΣΙΜΑΤΟΣ'!AK241)</f>
        <v>7.4349784875179905E-3</v>
      </c>
      <c r="AL241" s="43">
        <f>LN('2.ΤΙΜΕΣ ΚΛΕΙΣΙΜΑΤΟΣ'!AL242/'2.ΤΙΜΕΣ ΚΛΕΙΣΙΜΑΤΟΣ'!AL241)</f>
        <v>4.0005334613698991E-2</v>
      </c>
      <c r="AM241" s="43">
        <f>LN('2.ΤΙΜΕΣ ΚΛΕΙΣΙΜΑΤΟΣ'!AM242/'2.ΤΙΜΕΣ ΚΛΕΙΣΙΜΑΤΟΣ'!AM241)</f>
        <v>1.980262729617973E-2</v>
      </c>
      <c r="AN241" s="43">
        <f>LN('2.ΤΙΜΕΣ ΚΛΕΙΣΙΜΑΤΟΣ'!AN242/'2.ΤΙΜΕΣ ΚΛΕΙΣΙΜΑΤΟΣ'!AN241)</f>
        <v>5.3621091439097615E-2</v>
      </c>
      <c r="AO241" s="43">
        <f>LN('2.ΤΙΜΕΣ ΚΛΕΙΣΙΜΑΤΟΣ'!AO242/'2.ΤΙΜΕΣ ΚΛΕΙΣΙΜΑΤΟΣ'!AO241)</f>
        <v>-1.8018505502678365E-2</v>
      </c>
      <c r="AP241" s="43">
        <f>LN('2.ΤΙΜΕΣ ΚΛΕΙΣΙΜΑΤΟΣ'!AP242/'2.ΤΙΜΕΣ ΚΛΕΙΣΙΜΑΤΟΣ'!AP241)</f>
        <v>8.7011376989629699E-2</v>
      </c>
      <c r="AQ241" s="43">
        <f>LN('2.ΤΙΜΕΣ ΚΛΕΙΣΙΜΑΤΟΣ'!AQ242/'2.ΤΙΜΕΣ ΚΛΕΙΣΙΜΑΤΟΣ'!AQ241)</f>
        <v>7.9309838457883863E-2</v>
      </c>
      <c r="AR241" s="43">
        <f>LN('2.ΤΙΜΕΣ ΚΛΕΙΣΙΜΑΤΟΣ'!AR242/'2.ΤΙΜΕΣ ΚΛΕΙΣΙΜΑΤΟΣ'!AR241)</f>
        <v>5.5994269354575001E-2</v>
      </c>
      <c r="AS241" s="43">
        <f>LN('2.ΤΙΜΕΣ ΚΛΕΙΣΙΜΑΤΟΣ'!AS242/'2.ΤΙΜΕΣ ΚΛΕΙΣΙΜΑΤΟΣ'!AS241)</f>
        <v>2.4692612590371414E-2</v>
      </c>
      <c r="AT241" s="43">
        <f>LN('2.ΤΙΜΕΣ ΚΛΕΙΣΙΜΑΤΟΣ'!AT242/'2.ΤΙΜΕΣ ΚΛΕΙΣΙΜΑΤΟΣ'!AT241)</f>
        <v>6.5240521868401152E-2</v>
      </c>
      <c r="AU241" s="43">
        <f>LN('2.ΤΙΜΕΣ ΚΛΕΙΣΙΜΑΤΟΣ'!AU242/'2.ΤΙΜΕΣ ΚΛΕΙΣΙΜΑΤΟΣ'!AU241)</f>
        <v>1.5445746157204206E-2</v>
      </c>
    </row>
    <row r="242" spans="1:47">
      <c r="A242" s="41">
        <v>43908</v>
      </c>
      <c r="B242" s="43">
        <f>LN('2.ΤΙΜΕΣ ΚΛΕΙΣΙΜΑΤΟΣ'!B243/'2.ΤΙΜΕΣ ΚΛΕΙΣΙΜΑΤΟΣ'!B242)</f>
        <v>0</v>
      </c>
      <c r="C242" s="43">
        <f>LN('2.ΤΙΜΕΣ ΚΛΕΙΣΙΜΑΤΟΣ'!C243/'2.ΤΙΜΕΣ ΚΛΕΙΣΙΜΑΤΟΣ'!C242)</f>
        <v>7.2270862022831797E-2</v>
      </c>
      <c r="D242" s="43">
        <f>LN('2.ΤΙΜΕΣ ΚΛΕΙΣΙΜΑΤΟΣ'!D243/'2.ΤΙΜΕΣ ΚΛΕΙΣΙΜΑΤΟΣ'!D242)</f>
        <v>-2.7651531330510008E-2</v>
      </c>
      <c r="E242" s="43">
        <f>LN('2.ΤΙΜΕΣ ΚΛΕΙΣΙΜΑΤΟΣ'!E243/'2.ΤΙΜΕΣ ΚΛΕΙΣΙΜΑΤΟΣ'!E242)</f>
        <v>8.9405459688071415E-4</v>
      </c>
      <c r="F242" s="43">
        <f>LN('2.ΤΙΜΕΣ ΚΛΕΙΣΙΜΑΤΟΣ'!F243/'2.ΤΙΜΕΣ ΚΛΕΙΣΙΜΑΤΟΣ'!F242)</f>
        <v>-3.0272581948304681E-2</v>
      </c>
      <c r="G242" s="43">
        <f>LN('2.ΤΙΜΕΣ ΚΛΕΙΣΙΜΑΤΟΣ'!G243/'2.ΤΙΜΕΣ ΚΛΕΙΣΙΜΑΤΟΣ'!G242)</f>
        <v>-5.1293294387550578E-2</v>
      </c>
      <c r="H242" s="43">
        <f>LN('2.ΤΙΜΕΣ ΚΛΕΙΣΙΜΑΤΟΣ'!H243/'2.ΤΙΜΕΣ ΚΛΕΙΣΙΜΑΤΟΣ'!H242)</f>
        <v>-0.15581043124562285</v>
      </c>
      <c r="I242" s="43">
        <f>LN('2.ΤΙΜΕΣ ΚΛΕΙΣΙΜΑΤΟΣ'!I243/'2.ΤΙΜΕΣ ΚΛΕΙΣΙΜΑΤΟΣ'!I242)</f>
        <v>-0.106038252044324</v>
      </c>
      <c r="J242" s="43">
        <f>LN('2.ΤΙΜΕΣ ΚΛΕΙΣΙΜΑΤΟΣ'!J243/'2.ΤΙΜΕΣ ΚΛΕΙΣΙΜΑΤΟΣ'!J242)</f>
        <v>-0.1210383283770561</v>
      </c>
      <c r="K242" s="43">
        <f>LN('2.ΤΙΜΕΣ ΚΛΕΙΣΙΜΑΤΟΣ'!K243/'2.ΤΙΜΕΣ ΚΛΕΙΣΙΜΑΤΟΣ'!K242)</f>
        <v>3.0659196218349827E-3</v>
      </c>
      <c r="L242" s="43">
        <f>LN('2.ΤΙΜΕΣ ΚΛΕΙΣΙΜΑΤΟΣ'!L243/'2.ΤΙΜΕΣ ΚΛΕΙΣΙΜΑΤΟΣ'!L242)</f>
        <v>-2.4004993267257992E-2</v>
      </c>
      <c r="M242" s="43">
        <f>LN('2.ΤΙΜΕΣ ΚΛΕΙΣΙΜΑΤΟΣ'!M243/'2.ΤΙΜΕΣ ΚΛΕΙΣΙΜΑΤΟΣ'!M242)</f>
        <v>4.9325066562501491E-2</v>
      </c>
      <c r="N242" s="43">
        <f>LN('2.ΤΙΜΕΣ ΚΛΕΙΣΙΜΑΤΟΣ'!N243/'2.ΤΙΜΕΣ ΚΛΕΙΣΙΜΑΤΟΣ'!N242)</f>
        <v>2.0265697459583142E-2</v>
      </c>
      <c r="O242" s="43">
        <f>LN('2.ΤΙΜΕΣ ΚΛΕΙΣΙΜΑΤΟΣ'!O243/'2.ΤΙΜΕΣ ΚΛΕΙΣΙΜΑΤΟΣ'!O242)</f>
        <v>4.0206420478040607E-2</v>
      </c>
      <c r="P242" s="43">
        <f>LN('2.ΤΙΜΕΣ ΚΛΕΙΣΙΜΑΤΟΣ'!P243/'2.ΤΙΜΕΣ ΚΛΕΙΣΙΜΑΤΟΣ'!P242)</f>
        <v>-6.7039357221903295E-3</v>
      </c>
      <c r="Q242" s="43">
        <f>LN('2.ΤΙΜΕΣ ΚΛΕΙΣΙΜΑΤΟΣ'!Q243/'2.ΤΙΜΕΣ ΚΛΕΙΣΙΜΑΤΟΣ'!Q242)</f>
        <v>-5.024121643674679E-2</v>
      </c>
      <c r="R242" s="43">
        <f>LN('2.ΤΙΜΕΣ ΚΛΕΙΣΙΜΑΤΟΣ'!R243/'2.ΤΙΜΕΣ ΚΛΕΙΣΙΜΑΤΟΣ'!R242)</f>
        <v>4.0585280115078302E-2</v>
      </c>
      <c r="S242" s="43">
        <f>LN('2.ΤΙΜΕΣ ΚΛΕΙΣΙΜΑΤΟΣ'!S243/'2.ΤΙΜΕΣ ΚΛΕΙΣΙΜΑΤΟΣ'!S242)</f>
        <v>-3.8614836127779543E-2</v>
      </c>
      <c r="T242" s="43">
        <f>LN('2.ΤΙΜΕΣ ΚΛΕΙΣΙΜΑΤΟΣ'!T243/'2.ΤΙΜΕΣ ΚΛΕΙΣΙΜΑΤΟΣ'!T242)</f>
        <v>1.0657294473987979E-2</v>
      </c>
      <c r="U242" s="43">
        <f>LN('2.ΤΙΜΕΣ ΚΛΕΙΣΙΜΑΤΟΣ'!U243/'2.ΤΙΜΕΣ ΚΛΕΙΣΙΜΑΤΟΣ'!U242)</f>
        <v>-3.3389012655145986E-3</v>
      </c>
      <c r="V242" s="43">
        <f>LN('2.ΤΙΜΕΣ ΚΛΕΙΣΙΜΑΤΟΣ'!V243/'2.ΤΙΜΕΣ ΚΛΕΙΣΙΜΑΤΟΣ'!V242)</f>
        <v>-4.057102200042869E-2</v>
      </c>
      <c r="W242" s="43">
        <f>LN('2.ΤΙΜΕΣ ΚΛΕΙΣΙΜΑΤΟΣ'!W243/'2.ΤΙΜΕΣ ΚΛΕΙΣΙΜΑΤΟΣ'!W242)</f>
        <v>-6.8992871486951435E-2</v>
      </c>
      <c r="X242" s="43">
        <f>LN('2.ΤΙΜΕΣ ΚΛΕΙΣΙΜΑΤΟΣ'!X243/'2.ΤΙΜΕΣ ΚΛΕΙΣΙΜΑΤΟΣ'!X242)</f>
        <v>-5.0483905431992097E-2</v>
      </c>
      <c r="Y242" s="43">
        <f>LN('2.ΤΙΜΕΣ ΚΛΕΙΣΙΜΑΤΟΣ'!Y243/'2.ΤΙΜΕΣ ΚΛΕΙΣΙΜΑΤΟΣ'!Y242)</f>
        <v>-1.1049836186584935E-2</v>
      </c>
      <c r="Z242" s="43">
        <f>LN('2.ΤΙΜΕΣ ΚΛΕΙΣΙΜΑΤΟΣ'!Z243/'2.ΤΙΜΕΣ ΚΛΕΙΣΙΜΑΤΟΣ'!Z242)</f>
        <v>2.139118998131756E-2</v>
      </c>
      <c r="AA242" s="43">
        <f>LN('2.ΤΙΜΕΣ ΚΛΕΙΣΙΜΑΤΟΣ'!AA243/'2.ΤΙΜΕΣ ΚΛΕΙΣΙΜΑΤΟΣ'!AA242)</f>
        <v>-2.9705154413915694E-2</v>
      </c>
      <c r="AB242" s="43">
        <f>LN('2.ΤΙΜΕΣ ΚΛΕΙΣΙΜΑΤΟΣ'!AB243/'2.ΤΙΜΕΣ ΚΛΕΙΣΙΜΑΤΟΣ'!AB242)</f>
        <v>-3.8697289953683843E-2</v>
      </c>
      <c r="AC242" s="43">
        <f>LN('2.ΤΙΜΕΣ ΚΛΕΙΣΙΜΑΤΟΣ'!AC243/'2.ΤΙΜΕΣ ΚΛΕΙΣΙΜΑΤΟΣ'!AC242)</f>
        <v>-5.5350095083164956E-2</v>
      </c>
      <c r="AD242" s="43">
        <f>LN('2.ΤΙΜΕΣ ΚΛΕΙΣΙΜΑΤΟΣ'!AD243/'2.ΤΙΜΕΣ ΚΛΕΙΣΙΜΑΤΟΣ'!AD242)</f>
        <v>7.0257893793538306E-2</v>
      </c>
      <c r="AE242" s="43">
        <f>LN('2.ΤΙΜΕΣ ΚΛΕΙΣΙΜΑΤΟΣ'!AE243/'2.ΤΙΜΕΣ ΚΛΕΙΣΙΜΑΤΟΣ'!AE242)</f>
        <v>5.4067221270275793E-2</v>
      </c>
      <c r="AF242" s="43">
        <f>LN('2.ΤΙΜΕΣ ΚΛΕΙΣΙΜΑΤΟΣ'!AF243/'2.ΤΙΜΕΣ ΚΛΕΙΣΙΜΑΤΟΣ'!AF242)</f>
        <v>-8.2691715845113409E-2</v>
      </c>
      <c r="AG242" s="43">
        <f>LN('2.ΤΙΜΕΣ ΚΛΕΙΣΙΜΑΤΟΣ'!AG243/'2.ΤΙΜΕΣ ΚΛΕΙΣΙΜΑΤΟΣ'!AG242)</f>
        <v>2.9852963149681128E-2</v>
      </c>
      <c r="AH242" s="43">
        <f>LN('2.ΤΙΜΕΣ ΚΛΕΙΣΙΜΑΤΟΣ'!AH243/'2.ΤΙΜΕΣ ΚΛΕΙΣΙΜΑΤΟΣ'!AH242)</f>
        <v>0.10536051565782635</v>
      </c>
      <c r="AI242" s="43">
        <f>LN('2.ΤΙΜΕΣ ΚΛΕΙΣΙΜΑΤΟΣ'!AI243/'2.ΤΙΜΕΣ ΚΛΕΙΣΙΜΑΤΟΣ'!AI242)</f>
        <v>-6.2035390919452635E-2</v>
      </c>
      <c r="AJ242" s="43">
        <f>LN('2.ΤΙΜΕΣ ΚΛΕΙΣΙΜΑΤΟΣ'!AJ243/'2.ΤΙΜΕΣ ΚΛΕΙΣΙΜΑΤΟΣ'!AJ242)</f>
        <v>3.8466280827796143E-2</v>
      </c>
      <c r="AK242" s="43">
        <f>LN('2.ΤΙΜΕΣ ΚΛΕΙΣΙΜΑΤΟΣ'!AK243/'2.ΤΙΜΕΣ ΚΛΕΙΣΙΜΑΤΟΣ'!AK242)</f>
        <v>1.8349138668196398E-2</v>
      </c>
      <c r="AL242" s="43">
        <f>LN('2.ΤΙΜΕΣ ΚΛΕΙΣΙΜΑΤΟΣ'!AL243/'2.ΤΙΜΕΣ ΚΛΕΙΣΙΜΑΤΟΣ'!AL242)</f>
        <v>1.9418085857101516E-2</v>
      </c>
      <c r="AM242" s="43">
        <f>LN('2.ΤΙΜΕΣ ΚΛΕΙΣΙΜΑΤΟΣ'!AM243/'2.ΤΙΜΕΣ ΚΛΕΙΣΙΜΑΤΟΣ'!AM242)</f>
        <v>4.8899852941917702E-3</v>
      </c>
      <c r="AN242" s="43">
        <f>LN('2.ΤΙΜΕΣ ΚΛΕΙΣΙΜΑΤΟΣ'!AN243/'2.ΤΙΜΕΣ ΚΛΕΙΣΙΜΑΤΟΣ'!AN242)</f>
        <v>3.9375165234830187E-2</v>
      </c>
      <c r="AO242" s="43">
        <f>LN('2.ΤΙΜΕΣ ΚΛΕΙΣΙΜΑΤΟΣ'!AO243/'2.ΤΙΜΕΣ ΚΛΕΙΣΙΜΑΤΟΣ'!AO242)</f>
        <v>0.10354067894084017</v>
      </c>
      <c r="AP242" s="43">
        <f>LN('2.ΤΙΜΕΣ ΚΛΕΙΣΙΜΑΤΟΣ'!AP243/'2.ΤΙΜΕΣ ΚΛΕΙΣΙΜΑΤΟΣ'!AP242)</f>
        <v>4.1580101486638982E-3</v>
      </c>
      <c r="AQ242" s="43">
        <f>LN('2.ΤΙΜΕΣ ΚΛΕΙΣΙΜΑΤΟΣ'!AQ243/'2.ΤΙΜΕΣ ΚΛΕΙΣΙΜΑΤΟΣ'!AQ242)</f>
        <v>8.7591800898813334E-3</v>
      </c>
      <c r="AR242" s="43">
        <f>LN('2.ΤΙΜΕΣ ΚΛΕΙΣΙΜΑΤΟΣ'!AR243/'2.ΤΙΜΕΣ ΚΛΕΙΣΙΜΑΤΟΣ'!AR242)</f>
        <v>4.8318577270807732E-2</v>
      </c>
      <c r="AS242" s="43">
        <f>LN('2.ΤΙΜΕΣ ΚΛΕΙΣΙΜΑΤΟΣ'!AS243/'2.ΤΙΜΕΣ ΚΛΕΙΣΙΜΑΤΟΣ'!AS242)</f>
        <v>-4.6810417843990558E-2</v>
      </c>
      <c r="AT242" s="43">
        <f>LN('2.ΤΙΜΕΣ ΚΛΕΙΣΙΜΑΤΟΣ'!AT243/'2.ΤΙΜΕΣ ΚΛΕΙΣΙΜΑΤΟΣ'!AT242)</f>
        <v>1.0471299867295437E-2</v>
      </c>
      <c r="AU242" s="43">
        <f>LN('2.ΤΙΜΕΣ ΚΛΕΙΣΙΜΑΤΟΣ'!AU243/'2.ΤΙΜΕΣ ΚΛΕΙΣΙΜΑΤΟΣ'!AU242)</f>
        <v>-9.3742070529222454E-3</v>
      </c>
    </row>
    <row r="243" spans="1:47">
      <c r="A243" s="41">
        <v>43909</v>
      </c>
      <c r="B243" s="43">
        <f>LN('2.ΤΙΜΕΣ ΚΛΕΙΣΙΜΑΤΟΣ'!B244/'2.ΤΙΜΕΣ ΚΛΕΙΣΙΜΑΤΟΣ'!B243)</f>
        <v>7.8638181243700395E-2</v>
      </c>
      <c r="C243" s="43">
        <f>LN('2.ΤΙΜΕΣ ΚΛΕΙΣΙΜΑΤΟΣ'!C244/'2.ΤΙΜΕΣ ΚΛΕΙΣΙΜΑΤΟΣ'!C243)</f>
        <v>0.12703624113686673</v>
      </c>
      <c r="D243" s="43">
        <f>LN('2.ΤΙΜΕΣ ΚΛΕΙΣΙΜΑΤΟΣ'!D244/'2.ΤΙΜΕΣ ΚΛΕΙΣΙΜΑΤΟΣ'!D243)</f>
        <v>5.5363166038848069E-2</v>
      </c>
      <c r="E243" s="43">
        <f>LN('2.ΤΙΜΕΣ ΚΛΕΙΣΙΜΑΤΟΣ'!E244/'2.ΤΙΜΕΣ ΚΛΕΙΣΙΜΑΤΟΣ'!E243)</f>
        <v>5.9835791610665046E-2</v>
      </c>
      <c r="F243" s="43">
        <f>LN('2.ΤΙΜΕΣ ΚΛΕΙΣΙΜΑΤΟΣ'!F244/'2.ΤΙΜΕΣ ΚΛΕΙΣΙΜΑΤΟΣ'!F243)</f>
        <v>5.1348177623480006E-2</v>
      </c>
      <c r="G243" s="43">
        <f>LN('2.ΤΙΜΕΣ ΚΛΕΙΣΙΜΑΤΟΣ'!G244/'2.ΤΙΜΕΣ ΚΛΕΙΣΙΜΑΤΟΣ'!G243)</f>
        <v>5.1293294387550481E-2</v>
      </c>
      <c r="H243" s="43">
        <f>LN('2.ΤΙΜΕΣ ΚΛΕΙΣΙΜΑΤΟΣ'!H244/'2.ΤΙΜΕΣ ΚΛΕΙΣΙΜΑΤΟΣ'!H243)</f>
        <v>0.13976194237515882</v>
      </c>
      <c r="I243" s="43">
        <f>LN('2.ΤΙΜΕΣ ΚΛΕΙΣΙΜΑΤΟΣ'!I244/'2.ΤΙΜΕΣ ΚΛΕΙΣΙΜΑΤΟΣ'!I243)</f>
        <v>1.0118130165584686E-2</v>
      </c>
      <c r="J243" s="43">
        <f>LN('2.ΤΙΜΕΣ ΚΛΕΙΣΙΜΑΤΟΣ'!J244/'2.ΤΙΜΕΣ ΚΛΕΙΣΙΜΑΤΟΣ'!J243)</f>
        <v>2.6727648905814819E-2</v>
      </c>
      <c r="K243" s="43">
        <f>LN('2.ΤΙΜΕΣ ΚΛΕΙΣΙΜΑΤΟΣ'!K244/'2.ΤΙΜΕΣ ΚΛΕΙΣΙΜΑΤΟΣ'!K243)</f>
        <v>-1.4388737452099669E-2</v>
      </c>
      <c r="L243" s="43">
        <f>LN('2.ΤΙΜΕΣ ΚΛΕΙΣΙΜΑΤΟΣ'!L244/'2.ΤΙΜΕΣ ΚΛΕΙΣΙΜΑΤΟΣ'!L243)</f>
        <v>0.11117448552324631</v>
      </c>
      <c r="M243" s="43">
        <f>LN('2.ΤΙΜΕΣ ΚΛΕΙΣΙΜΑΤΟΣ'!M244/'2.ΤΙΜΕΣ ΚΛΕΙΣΙΜΑΤΟΣ'!M243)</f>
        <v>0.14970997120519366</v>
      </c>
      <c r="N243" s="43">
        <f>LN('2.ΤΙΜΕΣ ΚΛΕΙΣΙΜΑΤΟΣ'!N244/'2.ΤΙΜΕΣ ΚΛΕΙΣΙΜΑΤΟΣ'!N243)</f>
        <v>3.9339414560032294E-2</v>
      </c>
      <c r="O243" s="43">
        <f>LN('2.ΤΙΜΕΣ ΚΛΕΙΣΙΜΑΤΟΣ'!O244/'2.ΤΙΜΕΣ ΚΛΕΙΣΙΜΑΤΟΣ'!O243)</f>
        <v>0.12051602451245237</v>
      </c>
      <c r="P243" s="43">
        <f>LN('2.ΤΙΜΕΣ ΚΛΕΙΣΙΜΑΤΟΣ'!P244/'2.ΤΙΜΕΣ ΚΛΕΙΣΙΜΑΤΟΣ'!P243)</f>
        <v>5.4539141996353728E-2</v>
      </c>
      <c r="Q243" s="43">
        <f>LN('2.ΤΙΜΕΣ ΚΛΕΙΣΙΜΑΤΟΣ'!Q244/'2.ΤΙΜΕΣ ΚΛΕΙΣΙΜΑΤΟΣ'!Q243)</f>
        <v>1.5649771667127815E-2</v>
      </c>
      <c r="R243" s="43">
        <f>LN('2.ΤΙΜΕΣ ΚΛΕΙΣΙΜΑΤΟΣ'!R244/'2.ΤΙΜΕΣ ΚΛΕΙΣΙΜΑΤΟΣ'!R243)</f>
        <v>0.25005100423413401</v>
      </c>
      <c r="S243" s="43">
        <f>LN('2.ΤΙΜΕΣ ΚΛΕΙΣΙΜΑΤΟΣ'!S244/'2.ΤΙΜΕΣ ΚΛΕΙΣΙΜΑΤΟΣ'!S243)</f>
        <v>3.8614836127779516E-2</v>
      </c>
      <c r="T243" s="43">
        <f>LN('2.ΤΙΜΕΣ ΚΛΕΙΣΙΜΑΤΟΣ'!T244/'2.ΤΙΜΕΣ ΚΛΕΙΣΙΜΑΤΟΣ'!T243)</f>
        <v>9.1125399835954315E-2</v>
      </c>
      <c r="U243" s="43">
        <f>LN('2.ΤΙΜΕΣ ΚΛΕΙΣΙΜΑΤΟΣ'!U244/'2.ΤΙΜΕΣ ΚΛΕΙΣΙΜΑΤΟΣ'!U243)</f>
        <v>5.7406122535790291E-2</v>
      </c>
      <c r="V243" s="43">
        <f>LN('2.ΤΙΜΕΣ ΚΛΕΙΣΙΜΑΤΟΣ'!V244/'2.ΤΙΜΕΣ ΚΛΕΙΣΙΜΑΤΟΣ'!V243)</f>
        <v>5.2547213047144305E-2</v>
      </c>
      <c r="W243" s="43">
        <f>LN('2.ΤΙΜΕΣ ΚΛΕΙΣΙΜΑΤΟΣ'!W244/'2.ΤΙΜΕΣ ΚΛΕΙΣΙΜΑΤΟΣ'!W243)</f>
        <v>-4.3802622658392888E-2</v>
      </c>
      <c r="X243" s="43">
        <f>LN('2.ΤΙΜΕΣ ΚΛΕΙΣΙΜΑΤΟΣ'!X244/'2.ΤΙΜΕΣ ΚΛΕΙΣΙΜΑΤΟΣ'!X243)</f>
        <v>1.9231361927887592E-2</v>
      </c>
      <c r="Y243" s="43">
        <f>LN('2.ΤΙΜΕΣ ΚΛΕΙΣΙΜΑΤΟΣ'!Y244/'2.ΤΙΜΕΣ ΚΛΕΙΣΙΜΑΤΟΣ'!Y243)</f>
        <v>4.3485111939738676E-2</v>
      </c>
      <c r="Z243" s="43">
        <f>LN('2.ΤΙΜΕΣ ΚΛΕΙΣΙΜΑΤΟΣ'!Z244/'2.ΤΙΜΕΣ ΚΛΕΙΣΙΜΑΤΟΣ'!Z243)</f>
        <v>4.1456713678346128E-2</v>
      </c>
      <c r="AA243" s="43">
        <f>LN('2.ΤΙΜΕΣ ΚΛΕΙΣΙΜΑΤΟΣ'!AA244/'2.ΤΙΜΕΣ ΚΛΕΙΣΙΜΑΤΟΣ'!AA243)</f>
        <v>-4.3652630157736759E-2</v>
      </c>
      <c r="AB243" s="43">
        <f>LN('2.ΤΙΜΕΣ ΚΛΕΙΣΙΜΑΤΟΣ'!AB244/'2.ΤΙΜΕΣ ΚΛΕΙΣΙΜΑΤΟΣ'!AB243)</f>
        <v>-4.8790164169431945E-2</v>
      </c>
      <c r="AC243" s="43">
        <f>LN('2.ΤΙΜΕΣ ΚΛΕΙΣΙΜΑΤΟΣ'!AC244/'2.ΤΙΜΕΣ ΚΛΕΙΣΙΜΑΤΟΣ'!AC243)</f>
        <v>1.6129381929883717E-2</v>
      </c>
      <c r="AD243" s="43">
        <f>LN('2.ΤΙΜΕΣ ΚΛΕΙΣΙΜΑΤΟΣ'!AD244/'2.ΤΙΜΕΣ ΚΛΕΙΣΙΜΑΤΟΣ'!AD243)</f>
        <v>0.26191033799578384</v>
      </c>
      <c r="AE243" s="43">
        <f>LN('2.ΤΙΜΕΣ ΚΛΕΙΣΙΜΑΤΟΣ'!AE244/'2.ΤΙΜΕΣ ΚΛΕΙΣΙΜΑΤΟΣ'!AE243)</f>
        <v>2.7195742808489867E-2</v>
      </c>
      <c r="AF243" s="43">
        <f>LN('2.ΤΙΜΕΣ ΚΛΕΙΣΙΜΑΤΟΣ'!AF244/'2.ΤΙΜΕΣ ΚΛΕΙΣΙΜΑΤΟΣ'!AF243)</f>
        <v>7.6322267559633547E-2</v>
      </c>
      <c r="AG243" s="43">
        <f>LN('2.ΤΙΜΕΣ ΚΛΕΙΣΙΜΑΤΟΣ'!AG244/'2.ΤΙΜΕΣ ΚΛΕΙΣΙΜΑΤΟΣ'!AG243)</f>
        <v>0.1006435257796873</v>
      </c>
      <c r="AH243" s="43">
        <f>LN('2.ΤΙΜΕΣ ΚΛΕΙΣΙΜΑΤΟΣ'!AH244/'2.ΤΙΜΕΣ ΚΛΕΙΣΙΜΑΤΟΣ'!AH243)</f>
        <v>2.9852963149681128E-2</v>
      </c>
      <c r="AI243" s="43">
        <f>LN('2.ΤΙΜΕΣ ΚΛΕΙΣΙΜΑΤΟΣ'!AI244/'2.ΤΙΜΕΣ ΚΛΕΙΣΙΜΑΤΟΣ'!AI243)</f>
        <v>0</v>
      </c>
      <c r="AJ243" s="43">
        <f>LN('2.ΤΙΜΕΣ ΚΛΕΙΣΙΜΑΤΟΣ'!AJ244/'2.ΤΙΜΕΣ ΚΛΕΙΣΙΜΑΤΟΣ'!AJ243)</f>
        <v>-1.9048194970694363E-2</v>
      </c>
      <c r="AK243" s="43">
        <f>LN('2.ΤΙΜΕΣ ΚΛΕΙΣΙΜΑΤΟΣ'!AK244/'2.ΤΙΜΕΣ ΚΛΕΙΣΙΜΑΤΟΣ'!AK243)</f>
        <v>-1.4652276786870375E-2</v>
      </c>
      <c r="AL243" s="43">
        <f>LN('2.ΤΙΜΕΣ ΚΛΕΙΣΙΜΑΤΟΣ'!AL244/'2.ΤΙΜΕΣ ΚΛΕΙΣΙΜΑΤΟΣ'!AL243)</f>
        <v>1.9048194970694411E-2</v>
      </c>
      <c r="AM243" s="43">
        <f>LN('2.ΤΙΜΕΣ ΚΛΕΙΣΙΜΑΤΟΣ'!AM244/'2.ΤΙΜΕΣ ΚΛΕΙΣΙΜΑΤΟΣ'!AM243)</f>
        <v>2.4097551579060524E-2</v>
      </c>
      <c r="AN243" s="43">
        <f>LN('2.ΤΙΜΕΣ ΚΛΕΙΣΙΜΑΤΟΣ'!AN244/'2.ΤΙΜΕΣ ΚΛΕΙΣΙΜΑΤΟΣ'!AN243)</f>
        <v>7.7961541469711917E-2</v>
      </c>
      <c r="AO243" s="43">
        <f>LN('2.ΤΙΜΕΣ ΚΛΕΙΣΙΜΑΤΟΣ'!AO244/'2.ΤΙΜΕΣ ΚΛΕΙΣΙΜΑΤΟΣ'!AO243)</f>
        <v>-8.23049913651548E-3</v>
      </c>
      <c r="AP243" s="43">
        <f>LN('2.ΤΙΜΕΣ ΚΛΕΙΣΙΜΑΤΟΣ'!AP244/'2.ΤΙΜΕΣ ΚΛΕΙΣΙΜΑΤΟΣ'!AP243)</f>
        <v>7.9723473832038344E-2</v>
      </c>
      <c r="AQ243" s="43">
        <f>LN('2.ΤΙΜΕΣ ΚΛΕΙΣΙΜΑΤΟΣ'!AQ244/'2.ΤΙΜΕΣ ΚΛΕΙΣΙΜΑΤΟΣ'!AQ243)</f>
        <v>5.6512210263342404E-2</v>
      </c>
      <c r="AR243" s="43">
        <f>LN('2.ΤΙΜΕΣ ΚΛΕΙΣΙΜΑΤΟΣ'!AR244/'2.ΤΙΜΕΣ ΚΛΕΙΣΙΜΑΤΟΣ'!AR243)</f>
        <v>3.7664827954768648E-3</v>
      </c>
      <c r="AS243" s="43">
        <f>LN('2.ΤΙΜΕΣ ΚΛΕΙΣΙΜΑΤΟΣ'!AS244/'2.ΤΙΜΕΣ ΚΛΕΙΣΙΜΑΤΟΣ'!AS243)</f>
        <v>6.4937802436547287E-2</v>
      </c>
      <c r="AT243" s="43">
        <f>LN('2.ΤΙΜΕΣ ΚΛΕΙΣΙΜΑΤΟΣ'!AT244/'2.ΤΙΜΕΣ ΚΛΕΙΣΙΜΑΤΟΣ'!AT243)</f>
        <v>0.13613217432457991</v>
      </c>
      <c r="AU243" s="43">
        <f>LN('2.ΤΙΜΕΣ ΚΛΕΙΣΙΜΑΤΟΣ'!AU244/'2.ΤΙΜΕΣ ΚΛΕΙΣΙΜΑΤΟΣ'!AU243)</f>
        <v>7.4967940254585808E-2</v>
      </c>
    </row>
    <row r="244" spans="1:47">
      <c r="A244" s="41">
        <v>43910</v>
      </c>
      <c r="B244" s="43">
        <f>LN('2.ΤΙΜΕΣ ΚΛΕΙΣΙΜΑΤΟΣ'!B245/'2.ΤΙΜΕΣ ΚΛΕΙΣΙΜΑΤΟΣ'!B244)</f>
        <v>6.4266449308930787E-2</v>
      </c>
      <c r="C244" s="43">
        <f>LN('2.ΤΙΜΕΣ ΚΛΕΙΣΙΜΑΤΟΣ'!C245/'2.ΤΙΜΕΣ ΚΛΕΙΣΙΜΑΤΟΣ'!C244)</f>
        <v>3.2789822822990755E-2</v>
      </c>
      <c r="D244" s="43">
        <f>LN('2.ΤΙΜΕΣ ΚΛΕΙΣΙΜΑΤΟΣ'!D245/'2.ΤΙΜΕΣ ΚΛΕΙΣΙΜΑΤΟΣ'!D244)</f>
        <v>5.6264838586137844E-2</v>
      </c>
      <c r="E244" s="43">
        <f>LN('2.ΤΙΜΕΣ ΚΛΕΙΣΙΜΑΤΟΣ'!E245/'2.ΤΙΜΕΣ ΚΛΕΙΣΙΜΑΤΟΣ'!E244)</f>
        <v>-4.6520015634892928E-2</v>
      </c>
      <c r="F244" s="43">
        <f>LN('2.ΤΙΜΕΣ ΚΛΕΙΣΙΜΑΤΟΣ'!F245/'2.ΤΙΜΕΣ ΚΛΕΙΣΙΜΑΤΟΣ'!F244)</f>
        <v>0.10952285257251361</v>
      </c>
      <c r="G244" s="43">
        <f>LN('2.ΤΙΜΕΣ ΚΛΕΙΣΙΜΑΤΟΣ'!G245/'2.ΤΙΜΕΣ ΚΛΕΙΣΙΜΑΤΟΣ'!G244)</f>
        <v>7.0951735972284394E-2</v>
      </c>
      <c r="H244" s="43">
        <f>LN('2.ΤΙΜΕΣ ΚΛΕΙΣΙΜΑΤΟΣ'!H245/'2.ΤΙΜΕΣ ΚΛΕΙΣΙΜΑΤΟΣ'!H244)</f>
        <v>0.18164724793495851</v>
      </c>
      <c r="I244" s="43">
        <f>LN('2.ΤΙΜΕΣ ΚΛΕΙΣΙΜΑΤΟΣ'!I245/'2.ΤΙΜΕΣ ΚΛΕΙΣΙΜΑΤΟΣ'!I244)</f>
        <v>5.8648727081507687E-2</v>
      </c>
      <c r="J244" s="43">
        <f>LN('2.ΤΙΜΕΣ ΚΛΕΙΣΙΜΑΤΟΣ'!J245/'2.ΤΙΜΕΣ ΚΛΕΙΣΙΜΑΤΟΣ'!J244)</f>
        <v>9.0302658073702399E-2</v>
      </c>
      <c r="K244" s="43">
        <f>LN('2.ΤΙΜΕΣ ΚΛΕΙΣΙΜΑΤΟΣ'!K245/'2.ΤΙΜΕΣ ΚΛΕΙΣΙΜΑΤΟΣ'!K244)</f>
        <v>5.0464793925909121E-2</v>
      </c>
      <c r="L244" s="43">
        <f>LN('2.ΤΙΜΕΣ ΚΛΕΙΣΙΜΑΤΟΣ'!L245/'2.ΤΙΜΕΣ ΚΛΕΙΣΙΜΑΤΟΣ'!L244)</f>
        <v>8.3381608939051E-2</v>
      </c>
      <c r="M244" s="43">
        <f>LN('2.ΤΙΜΕΣ ΚΛΕΙΣΙΜΑΤΟΣ'!M245/'2.ΤΙΜΕΣ ΚΛΕΙΣΙΜΑΤΟΣ'!M244)</f>
        <v>5.3776396780804203E-2</v>
      </c>
      <c r="N244" s="43">
        <f>LN('2.ΤΙΜΕΣ ΚΛΕΙΣΙΜΑΤΟΣ'!N245/'2.ΤΙΜΕΣ ΚΛΕΙΣΙΜΑΤΟΣ'!N244)</f>
        <v>6.3239458135917179E-2</v>
      </c>
      <c r="O244" s="43">
        <f>LN('2.ΤΙΜΕΣ ΚΛΕΙΣΙΜΑΤΟΣ'!O245/'2.ΤΙΜΕΣ ΚΛΕΙΣΙΜΑΤΟΣ'!O244)</f>
        <v>-1.1713164663653203E-2</v>
      </c>
      <c r="P244" s="43">
        <f>LN('2.ΤΙΜΕΣ ΚΛΕΙΣΙΜΑΤΟΣ'!P245/'2.ΤΙΜΕΣ ΚΛΕΙΣΙΜΑΤΟΣ'!P244)</f>
        <v>6.3742025675311439E-2</v>
      </c>
      <c r="Q244" s="43">
        <f>LN('2.ΤΙΜΕΣ ΚΛΕΙΣΙΜΑΤΟΣ'!Q245/'2.ΤΙΜΕΣ ΚΛΕΙΣΙΜΑΤΟΣ'!Q244)</f>
        <v>7.3812157922900315E-2</v>
      </c>
      <c r="R244" s="43">
        <f>LN('2.ΤΙΜΕΣ ΚΛΕΙΣΙΜΑΤΟΣ'!R245/'2.ΤΙΜΕΣ ΚΛΕΙΣΙΜΑΤΟΣ'!R244)</f>
        <v>-1.7857617400006236E-2</v>
      </c>
      <c r="S244" s="43">
        <f>LN('2.ΤΙΜΕΣ ΚΛΕΙΣΙΜΑΤΟΣ'!S245/'2.ΤΙΜΕΣ ΚΛΕΙΣΙΜΑΤΟΣ'!S244)</f>
        <v>0.11441035117774431</v>
      </c>
      <c r="T244" s="43">
        <f>LN('2.ΤΙΜΕΣ ΚΛΕΙΣΙΜΑΤΟΣ'!T245/'2.ΤΙΜΕΣ ΚΛΕΙΣΙΜΑΤΟΣ'!T244)</f>
        <v>6.755815101129109E-2</v>
      </c>
      <c r="U244" s="43">
        <f>LN('2.ΤΙΜΕΣ ΚΛΕΙΣΙΜΑΤΟΣ'!U245/'2.ΤΙΜΕΣ ΚΛΕΙΣΙΜΑΤΟΣ'!U244)</f>
        <v>1.8770102681990468E-2</v>
      </c>
      <c r="V244" s="43">
        <f>LN('2.ΤΙΜΕΣ ΚΛΕΙΣΙΜΑΤΟΣ'!V245/'2.ΤΙΜΕΣ ΚΛΕΙΣΙΜΑΤΟΣ'!V244)</f>
        <v>-1.438873745209978E-2</v>
      </c>
      <c r="W244" s="43">
        <f>LN('2.ΤΙΜΕΣ ΚΛΕΙΣΙΜΑΤΟΣ'!W245/'2.ΤΙΜΕΣ ΚΛΕΙΣΙΜΑΤΟΣ'!W244)</f>
        <v>0.13911280246271779</v>
      </c>
      <c r="X244" s="43">
        <f>LN('2.ΤΙΜΕΣ ΚΛΕΙΣΙΜΑΤΟΣ'!X245/'2.ΤΙΜΕΣ ΚΛΕΙΣΙΜΑΤΟΣ'!X244)</f>
        <v>4.6520015634892907E-2</v>
      </c>
      <c r="Y244" s="43">
        <f>LN('2.ΤΙΜΕΣ ΚΛΕΙΣΙΜΑΤΟΣ'!Y245/'2.ΤΙΜΕΣ ΚΛΕΙΣΙΜΑΤΟΣ'!Y244)</f>
        <v>5.1825067864586155E-2</v>
      </c>
      <c r="Z244" s="43">
        <f>LN('2.ΤΙΜΕΣ ΚΛΕΙΣΙΜΑΤΟΣ'!Z245/'2.ΤΙΜΕΣ ΚΛΕΙΣΙΜΑΤΟΣ'!Z244)</f>
        <v>5.4334350963329517E-2</v>
      </c>
      <c r="AA244" s="43">
        <f>LN('2.ΤΙΜΕΣ ΚΛΕΙΣΙΜΑΤΟΣ'!AA245/'2.ΤΙΜΕΣ ΚΛΕΙΣΙΜΑΤΟΣ'!AA244)</f>
        <v>0.18406980898748401</v>
      </c>
      <c r="AB244" s="43">
        <f>LN('2.ΤΙΜΕΣ ΚΛΕΙΣΙΜΑΤΟΣ'!AB245/'2.ΤΙΜΕΣ ΚΛΕΙΣΙΜΑΤΟΣ'!AB244)</f>
        <v>3.3711057342311661E-2</v>
      </c>
      <c r="AC244" s="43">
        <f>LN('2.ΤΙΜΕΣ ΚΛΕΙΣΙΜΑΤΟΣ'!AC245/'2.ΤΙΜΕΣ ΚΛΕΙΣΙΜΑΤΟΣ'!AC244)</f>
        <v>0</v>
      </c>
      <c r="AD244" s="43">
        <f>LN('2.ΤΙΜΕΣ ΚΛΕΙΣΙΜΑΤΟΣ'!AD245/'2.ΤΙΜΕΣ ΚΛΕΙΣΙΜΑΤΟΣ'!AD244)</f>
        <v>4.3316044106906461E-2</v>
      </c>
      <c r="AE244" s="43">
        <f>LN('2.ΤΙΜΕΣ ΚΛΕΙΣΙΜΑΤΟΣ'!AE245/'2.ΤΙΜΕΣ ΚΛΕΙΣΙΜΑΤΟΣ'!AE244)</f>
        <v>0.10414025925259701</v>
      </c>
      <c r="AF244" s="43">
        <f>LN('2.ΤΙΜΕΣ ΚΛΕΙΣΙΜΑΤΟΣ'!AF245/'2.ΤΙΜΕΣ ΚΛΕΙΣΙΜΑΤΟΣ'!AF244)</f>
        <v>7.9554914411146798E-3</v>
      </c>
      <c r="AG244" s="43">
        <f>LN('2.ΤΙΜΕΣ ΚΛΕΙΣΙΜΑΤΟΣ'!AG245/'2.ΤΙΜΕΣ ΚΛΕΙΣΙΜΑΤΟΣ'!AG244)</f>
        <v>1.5831465216680662E-2</v>
      </c>
      <c r="AH244" s="43">
        <f>LN('2.ΤΙΜΕΣ ΚΛΕΙΣΙΜΑΤΟΣ'!AH245/'2.ΤΙΜΕΣ ΚΛΕΙΣΙΜΑΤΟΣ'!AH244)</f>
        <v>1.469507979359978E-3</v>
      </c>
      <c r="AI244" s="43">
        <f>LN('2.ΤΙΜΕΣ ΚΛΕΙΣΙΜΑΤΟΣ'!AI245/'2.ΤΙΜΕΣ ΚΛΕΙΣΙΜΑΤΟΣ'!AI244)</f>
        <v>3.1498667059371016E-2</v>
      </c>
      <c r="AJ244" s="43">
        <f>LN('2.ΤΙΜΕΣ ΚΛΕΙΣΙΜΑΤΟΣ'!AJ245/'2.ΤΙΜΕΣ ΚΛΕΙΣΙΜΑΤΟΣ'!AJ244)</f>
        <v>1.5267472130788381E-2</v>
      </c>
      <c r="AK244" s="43">
        <f>LN('2.ΤΙΜΕΣ ΚΛΕΙΣΙΜΑΤΟΣ'!AK245/'2.ΤΙΜΕΣ ΚΛΕΙΣΙΜΑΤΟΣ'!AK244)</f>
        <v>0</v>
      </c>
      <c r="AL244" s="43">
        <f>LN('2.ΤΙΜΕΣ ΚΛΕΙΣΙΜΑΤΟΣ'!AL245/'2.ΤΙΜΕΣ ΚΛΕΙΣΙΜΑΤΟΣ'!AL244)</f>
        <v>7.2759354282428301E-2</v>
      </c>
      <c r="AM244" s="43">
        <f>LN('2.ΤΙΜΕΣ ΚΛΕΙΣΙΜΑΤΟΣ'!AM245/'2.ΤΙΜΕΣ ΚΛΕΙΣΙΜΑΤΟΣ'!AM244)</f>
        <v>4.1964199099031992E-2</v>
      </c>
      <c r="AN244" s="43">
        <f>LN('2.ΤΙΜΕΣ ΚΛΕΙΣΙΜΑΤΟΣ'!AN245/'2.ΤΙΜΕΣ ΚΛΕΙΣΙΜΑΤΟΣ'!AN244)</f>
        <v>5.8942535633449804E-2</v>
      </c>
      <c r="AO244" s="43">
        <f>LN('2.ΤΙΜΕΣ ΚΛΕΙΣΙΜΑΤΟΣ'!AO245/'2.ΤΙΜΕΣ ΚΛΕΙΣΙΜΑΤΟΣ'!AO244)</f>
        <v>0</v>
      </c>
      <c r="AP244" s="43">
        <f>LN('2.ΤΙΜΕΣ ΚΛΕΙΣΙΜΑΤΟΣ'!AP245/'2.ΤΙΜΕΣ ΚΛΕΙΣΙΜΑΤΟΣ'!AP244)</f>
        <v>7.3834262011052337E-2</v>
      </c>
      <c r="AQ244" s="43">
        <f>LN('2.ΤΙΜΕΣ ΚΛΕΙΣΙΜΑΤΟΣ'!AQ245/'2.ΤΙΜΕΣ ΚΛΕΙΣΙΜΑΤΟΣ'!AQ244)</f>
        <v>2.173998663640582E-2</v>
      </c>
      <c r="AR244" s="43">
        <f>LN('2.ΤΙΜΕΣ ΚΛΕΙΣΙΜΑΤΟΣ'!AR245/'2.ΤΙΜΕΣ ΚΛΕΙΣΙΜΑΤΟΣ'!AR244)</f>
        <v>9.4968357890211921E-2</v>
      </c>
      <c r="AS244" s="43">
        <f>LN('2.ΤΙΜΕΣ ΚΛΕΙΣΙΜΑΤΟΣ'!AS245/'2.ΤΙΜΕΣ ΚΛΕΙΣΙΜΑΤΟΣ'!AS244)</f>
        <v>6.6594788802938593E-2</v>
      </c>
      <c r="AT244" s="43">
        <f>LN('2.ΤΙΜΕΣ ΚΛΕΙΣΙΜΑΤΟΣ'!AT245/'2.ΤΙΜΕΣ ΚΛΕΙΣΙΜΑΤΟΣ'!AT244)</f>
        <v>0.20479441264601322</v>
      </c>
      <c r="AU244" s="43">
        <f>LN('2.ΤΙΜΕΣ ΚΛΕΙΣΙΜΑΤΟΣ'!AU245/'2.ΤΙΜΕΣ ΚΛΕΙΣΙΜΑΤΟΣ'!AU244)</f>
        <v>5.5251829514308799E-2</v>
      </c>
    </row>
    <row r="245" spans="1:47">
      <c r="A245" s="41">
        <v>43913</v>
      </c>
      <c r="B245" s="43">
        <f>LN('2.ΤΙΜΕΣ ΚΛΕΙΣΙΜΑΤΟΣ'!B246/'2.ΤΙΜΕΣ ΚΛΕΙΣΙΜΑΤΟΣ'!B245)</f>
        <v>-8.5157808340306951E-2</v>
      </c>
      <c r="C245" s="43">
        <f>LN('2.ΤΙΜΕΣ ΚΛΕΙΣΙΜΑΤΟΣ'!C246/'2.ΤΙΜΕΣ ΚΛΕΙΣΙΜΑΤΟΣ'!C245)</f>
        <v>-3.2789822822990838E-2</v>
      </c>
      <c r="D245" s="43">
        <f>LN('2.ΤΙΜΕΣ ΚΛΕΙΣΙΜΑΤΟΣ'!D246/'2.ΤΙΜΕΣ ΚΛΕΙΣΙΜΑΤΟΣ'!D245)</f>
        <v>-7.5745974157960277E-2</v>
      </c>
      <c r="E245" s="43">
        <f>LN('2.ΤΙΜΕΣ ΚΛΕΙΣΙΜΑΤΟΣ'!E246/'2.ΤΙΜΕΣ ΚΛΕΙΣΙΜΑΤΟΣ'!E245)</f>
        <v>-0.13176927763112334</v>
      </c>
      <c r="F245" s="43">
        <f>LN('2.ΤΙΜΕΣ ΚΛΕΙΣΙΜΑΤΟΣ'!F246/'2.ΤΙΜΕΣ ΚΛΕΙΣΙΜΑΤΟΣ'!F245)</f>
        <v>-7.1666669871353436E-2</v>
      </c>
      <c r="G245" s="43">
        <f>LN('2.ΤΙΜΕΣ ΚΛΕΙΣΙΜΑΤΟΣ'!G246/'2.ΤΙΜΕΣ ΚΛΕΙΣΙΜΑΤΟΣ'!G245)</f>
        <v>-0.14732471475685843</v>
      </c>
      <c r="H245" s="43">
        <f>LN('2.ΤΙΜΕΣ ΚΛΕΙΣΙΜΑΤΟΣ'!H246/'2.ΤΙΜΕΣ ΚΛΕΙΣΙΜΑΤΟΣ'!H245)</f>
        <v>-8.4408604334481288E-2</v>
      </c>
      <c r="I245" s="43">
        <f>LN('2.ΤΙΜΕΣ ΚΛΕΙΣΙΜΑΤΟΣ'!I246/'2.ΤΙΜΕΣ ΚΛΕΙΣΙΜΑΤΟΣ'!I245)</f>
        <v>-0.17601238760068988</v>
      </c>
      <c r="J245" s="43">
        <f>LN('2.ΤΙΜΕΣ ΚΛΕΙΣΙΜΑΤΟΣ'!J246/'2.ΤΙΜΕΣ ΚΛΕΙΣΙΜΑΤΟΣ'!J245)</f>
        <v>-0.15851090810023616</v>
      </c>
      <c r="K245" s="43">
        <f>LN('2.ΤΙΜΕΣ ΚΛΕΙΣΙΜΑΤΟΣ'!K246/'2.ΤΙΜΕΣ ΚΛΕΙΣΙΜΑΤΟΣ'!K245)</f>
        <v>-5.6695343676545294E-2</v>
      </c>
      <c r="L245" s="43">
        <f>LN('2.ΤΙΜΕΣ ΚΛΕΙΣΙΜΑΤΟΣ'!L246/'2.ΤΙΜΕΣ ΚΛΕΙΣΙΜΑΤΟΣ'!L245)</f>
        <v>-7.3861848598455349E-2</v>
      </c>
      <c r="M245" s="43">
        <f>LN('2.ΤΙΜΕΣ ΚΛΕΙΣΙΜΑΤΟΣ'!M246/'2.ΤΙΜΕΣ ΚΛΕΙΣΙΜΑΤΟΣ'!M245)</f>
        <v>-7.800871016857211E-2</v>
      </c>
      <c r="N245" s="43">
        <f>LN('2.ΤΙΜΕΣ ΚΛΕΙΣΙΜΑΤΟΣ'!N246/'2.ΤΙΜΕΣ ΚΛΕΙΣΙΜΑΤΟΣ'!N245)</f>
        <v>-2.96841582877003E-2</v>
      </c>
      <c r="O245" s="43">
        <f>LN('2.ΤΙΜΕΣ ΚΛΕΙΣΙΜΑΤΟΣ'!O246/'2.ΤΙΜΕΣ ΚΛΕΙΣΙΜΑΤΟΣ'!O245)</f>
        <v>-5.9152951204978488E-2</v>
      </c>
      <c r="P245" s="43">
        <f>LN('2.ΤΙΜΕΣ ΚΛΕΙΣΙΜΑΤΟΣ'!P246/'2.ΤΙΜΕΣ ΚΛΕΙΣΙΜΑΤΟΣ'!P245)</f>
        <v>-8.9549909631183963E-2</v>
      </c>
      <c r="Q245" s="43">
        <f>LN('2.ΤΙΜΕΣ ΚΛΕΙΣΙΜΑΤΟΣ'!Q246/'2.ΤΙΜΕΣ ΚΛΕΙΣΙΜΑΤΟΣ'!Q245)</f>
        <v>-7.6922580337292865E-2</v>
      </c>
      <c r="R245" s="43">
        <f>LN('2.ΤΙΜΕΣ ΚΛΕΙΣΙΜΑΤΟΣ'!R246/'2.ΤΙΜΕΣ ΚΛΕΙΣΙΜΑΤΟΣ'!R245)</f>
        <v>-0.1394691924378107</v>
      </c>
      <c r="S245" s="43">
        <f>LN('2.ΤΙΜΕΣ ΚΛΕΙΣΙΜΑΤΟΣ'!S246/'2.ΤΙΜΕΣ ΚΛΕΙΣΙΜΑΤΟΣ'!S245)</f>
        <v>-7.2861348264871839E-2</v>
      </c>
      <c r="T245" s="43">
        <f>LN('2.ΤΙΜΕΣ ΚΛΕΙΣΙΜΑΤΟΣ'!T246/'2.ΤΙΜΕΣ ΚΛΕΙΣΙΜΑΤΟΣ'!T245)</f>
        <v>-0.15633060858521869</v>
      </c>
      <c r="U245" s="43">
        <f>LN('2.ΤΙΜΕΣ ΚΛΕΙΣΙΜΑΤΟΣ'!U246/'2.ΤΙΜΕΣ ΚΛΕΙΣΙΜΑΤΟΣ'!U245)</f>
        <v>-7.6176225217780905E-2</v>
      </c>
      <c r="V245" s="43">
        <f>LN('2.ΤΙΜΕΣ ΚΛΕΙΣΙΜΑΤΟΣ'!V246/'2.ΤΙΜΕΣ ΚΛΕΙΣΙΜΑΤΟΣ'!V245)</f>
        <v>-8.8329768742887962E-2</v>
      </c>
      <c r="W245" s="43">
        <f>LN('2.ΤΙΜΕΣ ΚΛΕΙΣΙΜΑΤΟΣ'!W246/'2.ΤΙΜΕΣ ΚΛΕΙΣΙΜΑΤΟΣ'!W245)</f>
        <v>3.8221212820197671E-2</v>
      </c>
      <c r="X245" s="43">
        <f>LN('2.ΤΙΜΕΣ ΚΛΕΙΣΙΜΑΤΟΣ'!X246/'2.ΤΙΜΕΣ ΚΛΕΙΣΙΜΑΤΟΣ'!X245)</f>
        <v>-4.6520015634892817E-2</v>
      </c>
      <c r="Y245" s="43">
        <f>LN('2.ΤΙΜΕΣ ΚΛΕΙΣΙΜΑΤΟΣ'!Y246/'2.ΤΙΜΕΣ ΚΛΕΙΣΙΜΑΤΟΣ'!Y245)</f>
        <v>-3.7740327982847086E-2</v>
      </c>
      <c r="Z245" s="43">
        <f>LN('2.ΤΙΜΕΣ ΚΛΕΙΣΙΜΑΤΟΣ'!Z246/'2.ΤΙΜΕΣ ΚΛΕΙΣΙΜΑΤΟΣ'!Z245)</f>
        <v>-7.7441925973479139E-2</v>
      </c>
      <c r="AA245" s="43">
        <f>LN('2.ΤΙΜΕΣ ΚΛΕΙΣΙΜΑΤΟΣ'!AA246/'2.ΤΙΜΕΣ ΚΛΕΙΣΙΜΑΤΟΣ'!AA245)</f>
        <v>-0.17362584982640072</v>
      </c>
      <c r="AB245" s="43">
        <f>LN('2.ΤΙΜΕΣ ΚΛΕΙΣΙΜΑΤΟΣ'!AB246/'2.ΤΙΜΕΣ ΚΛΕΙΣΙΜΑΤΟΣ'!AB245)</f>
        <v>-0.12959282904559424</v>
      </c>
      <c r="AC245" s="43">
        <f>LN('2.ΤΙΜΕΣ ΚΛΕΙΣΙΜΑΤΟΣ'!AC246/'2.ΤΙΜΕΣ ΚΛΕΙΣΙΜΑΤΟΣ'!AC245)</f>
        <v>0</v>
      </c>
      <c r="AD245" s="43">
        <f>LN('2.ΤΙΜΕΣ ΚΛΕΙΣΙΜΑΤΟΣ'!AD246/'2.ΤΙΜΕΣ ΚΛΕΙΣΙΜΑΤΟΣ'!AD245)</f>
        <v>-0.12118555680222336</v>
      </c>
      <c r="AE245" s="43">
        <f>LN('2.ΤΙΜΕΣ ΚΛΕΙΣΙΜΑΤΟΣ'!AE246/'2.ΤΙΜΕΣ ΚΛΕΙΣΙΜΑΤΟΣ'!AE245)</f>
        <v>-5.6512210263342334E-2</v>
      </c>
      <c r="AF245" s="43">
        <f>LN('2.ΤΙΜΕΣ ΚΛΕΙΣΙΜΑΤΟΣ'!AF246/'2.ΤΙΜΕΣ ΚΛΕΙΣΙΜΑΤΟΣ'!AF245)</f>
        <v>-0.13738758431469644</v>
      </c>
      <c r="AG245" s="43">
        <f>LN('2.ΤΙΜΕΣ ΚΛΕΙΣΙΜΑΤΟΣ'!AG246/'2.ΤΙΜΕΣ ΚΛΕΙΣΙΜΑΤΟΣ'!AG245)</f>
        <v>-2.1164811192043272E-2</v>
      </c>
      <c r="AH245" s="43">
        <f>LN('2.ΤΙΜΕΣ ΚΛΕΙΣΙΜΑΤΟΣ'!AH246/'2.ΤΙΜΕΣ ΚΛΕΙΣΙΜΑΤΟΣ'!AH245)</f>
        <v>-0.22277651148626829</v>
      </c>
      <c r="AI245" s="43">
        <f>LN('2.ΤΙΜΕΣ ΚΛΕΙΣΙΜΑΤΟΣ'!AI246/'2.ΤΙΜΕΣ ΚΛΕΙΣΙΜΑΤΟΣ'!AI245)</f>
        <v>-5.5791359628415658E-2</v>
      </c>
      <c r="AJ245" s="43">
        <f>LN('2.ΤΙΜΕΣ ΚΛΕΙΣΙΜΑΤΟΣ'!AJ246/'2.ΤΙΜΕΣ ΚΛΕΙΣΙΜΑΤΟΣ'!AJ245)</f>
        <v>-0.1378697942231209</v>
      </c>
      <c r="AK245" s="43">
        <f>LN('2.ΤΙΜΕΣ ΚΛΕΙΣΙΜΑΤΟΣ'!AK246/'2.ΤΙΜΕΣ ΚΛΕΙΣΙΜΑΤΟΣ'!AK245)</f>
        <v>-3.6968618813260916E-3</v>
      </c>
      <c r="AL245" s="43">
        <f>LN('2.ΤΙΜΕΣ ΚΛΕΙΣΙΜΑΤΟΣ'!AL246/'2.ΤΙΜΕΣ ΚΛΕΙΣΙΜΑΤΟΣ'!AL245)</f>
        <v>-0.1112256351102245</v>
      </c>
      <c r="AM245" s="43">
        <f>LN('2.ΤΙΜΕΣ ΚΛΕΙΣΙΜΑΤΟΣ'!AM246/'2.ΤΙΜΕΣ ΚΛΕΙΣΙΜΑΤΟΣ'!AM245)</f>
        <v>-2.7779564107075706E-2</v>
      </c>
      <c r="AN245" s="43">
        <f>LN('2.ΤΙΜΕΣ ΚΛΕΙΣΙΜΑΤΟΣ'!AN246/'2.ΤΙΜΕΣ ΚΛΕΙΣΙΜΑΤΟΣ'!AN245)</f>
        <v>-0.13690407710316183</v>
      </c>
      <c r="AO245" s="43">
        <f>LN('2.ΤΙΜΕΣ ΚΛΕΙΣΙΜΑΤΟΣ'!AO246/'2.ΤΙΜΕΣ ΚΛΕΙΣΙΜΑΤΟΣ'!AO245)</f>
        <v>-8.2988028146950658E-3</v>
      </c>
      <c r="AP245" s="43">
        <f>LN('2.ΤΙΜΕΣ ΚΛΕΙΣΙΜΑΤΟΣ'!AP246/'2.ΤΙΜΕΣ ΚΛΕΙΣΙΜΑΤΟΣ'!AP245)</f>
        <v>-8.53950844121283E-2</v>
      </c>
      <c r="AQ245" s="43">
        <f>LN('2.ΤΙΜΕΣ ΚΛΕΙΣΙΜΑΤΟΣ'!AQ246/'2.ΤΙΜΕΣ ΚΛΕΙΣΙΜΑΤΟΣ'!AQ245)</f>
        <v>2.6845653706689828E-3</v>
      </c>
      <c r="AR245" s="43">
        <f>LN('2.ΤΙΜΕΣ ΚΛΕΙΣΙΜΑΤΟΣ'!AR246/'2.ΤΙΜΕΣ ΚΛΕΙΣΙΜΑΤΟΣ'!AR245)</f>
        <v>-0.18746295629437323</v>
      </c>
      <c r="AS245" s="43">
        <f>LN('2.ΤΙΜΕΣ ΚΛΕΙΣΙΜΑΤΟΣ'!AS246/'2.ΤΙΜΕΣ ΚΛΕΙΣΙΜΑΤΟΣ'!AS245)</f>
        <v>-6.6594788802938537E-2</v>
      </c>
      <c r="AT245" s="43">
        <f>LN('2.ΤΙΜΕΣ ΚΛΕΙΣΙΜΑΤΟΣ'!AT246/'2.ΤΙΜΕΣ ΚΛΕΙΣΙΜΑΤΟΣ'!AT245)</f>
        <v>-0.10125373370517292</v>
      </c>
      <c r="AU245" s="43">
        <f>LN('2.ΤΙΜΕΣ ΚΛΕΙΣΙΜΑΤΟΣ'!AU246/'2.ΤΙΜΕΣ ΚΛΕΙΣΙΜΑΤΟΣ'!AU245)</f>
        <v>-7.8790032448388878E-2</v>
      </c>
    </row>
    <row r="246" spans="1:47">
      <c r="A246" s="41">
        <v>43914</v>
      </c>
      <c r="B246" s="43">
        <f>LN('2.ΤΙΜΕΣ ΚΛΕΙΣΙΜΑΤΟΣ'!B247/'2.ΤΙΜΕΣ ΚΛΕΙΣΙΜΑΤΟΣ'!B246)</f>
        <v>8.770558041910545E-2</v>
      </c>
      <c r="C246" s="43">
        <f>LN('2.ΤΙΜΕΣ ΚΛΕΙΣΙΜΑΤΟΣ'!C247/'2.ΤΙΜΕΣ ΚΛΕΙΣΙΜΑΤΟΣ'!C246)</f>
        <v>4.0400853221126694E-2</v>
      </c>
      <c r="D246" s="43">
        <f>LN('2.ΤΙΜΕΣ ΚΛΕΙΣΙΜΑΤΟΣ'!D247/'2.ΤΙΜΕΣ ΚΛΕΙΣΙΜΑΤΟΣ'!D246)</f>
        <v>7.4985806884562814E-2</v>
      </c>
      <c r="E246" s="43">
        <f>LN('2.ΤΙΜΕΣ ΚΛΕΙΣΙΜΑΤΟΣ'!E247/'2.ΤΙΜΕΣ ΚΛΕΙΣΙΜΑΤΟΣ'!E246)</f>
        <v>0.13967445713823656</v>
      </c>
      <c r="F246" s="43">
        <f>LN('2.ΤΙΜΕΣ ΚΛΕΙΣΙΜΑΤΟΣ'!F247/'2.ΤΙΜΕΣ ΚΛΕΙΣΙΜΑΤΟΣ'!F246)</f>
        <v>5.8496206681608418E-2</v>
      </c>
      <c r="G246" s="43">
        <f>LN('2.ΤΙΜΕΣ ΚΛΕΙΣΙΜΑΤΟΣ'!G247/'2.ΤΙΜΕΣ ΚΛΕΙΣΙΜΑΤΟΣ'!G246)</f>
        <v>8.2238098236972215E-2</v>
      </c>
      <c r="H246" s="43">
        <f>LN('2.ΤΙΜΕΣ ΚΛΕΙΣΙΜΑΤΟΣ'!H247/'2.ΤΙΜΕΣ ΚΛΕΙΣΙΜΑΤΟΣ'!H246)</f>
        <v>5.8788074009133343E-2</v>
      </c>
      <c r="I246" s="43">
        <f>LN('2.ΤΙΜΕΣ ΚΛΕΙΣΙΜΑΤΟΣ'!I247/'2.ΤΙΜΕΣ ΚΛΕΙΣΙΜΑΤΟΣ'!I246)</f>
        <v>0.12738043876265348</v>
      </c>
      <c r="J246" s="43">
        <f>LN('2.ΤΙΜΕΣ ΚΛΕΙΣΙΜΑΤΟΣ'!J247/'2.ΤΙΜΕΣ ΚΛΕΙΣΙΜΑΤΟΣ'!J246)</f>
        <v>8.4557388028063174E-2</v>
      </c>
      <c r="K246" s="43">
        <f>LN('2.ΤΙΜΕΣ ΚΛΕΙΣΙΜΑΤΟΣ'!K247/'2.ΤΙΜΕΣ ΚΛΕΙΣΙΜΑΤΟΣ'!K246)</f>
        <v>0.11592946700706044</v>
      </c>
      <c r="L246" s="43">
        <f>LN('2.ΤΙΜΕΣ ΚΛΕΙΣΙΜΑΤΟΣ'!L247/'2.ΤΙΜΕΣ ΚΛΕΙΣΙΜΑΤΟΣ'!L246)</f>
        <v>9.2879854434217299E-2</v>
      </c>
      <c r="M246" s="43">
        <f>LN('2.ΤΙΜΕΣ ΚΛΕΙΣΙΜΑΤΟΣ'!M247/'2.ΤΙΜΕΣ ΚΛΕΙΣΙΜΑΤΟΣ'!M246)</f>
        <v>3.7041271680349076E-2</v>
      </c>
      <c r="N246" s="43">
        <f>LN('2.ΤΙΜΕΣ ΚΛΕΙΣΙΜΑΤΟΣ'!N247/'2.ΤΙΜΕΣ ΚΛΕΙΣΙΜΑΤΟΣ'!N246)</f>
        <v>5.5802481428812709E-2</v>
      </c>
      <c r="O246" s="43">
        <f>LN('2.ΤΙΜΕΣ ΚΛΕΙΣΙΜΑΤΟΣ'!O247/'2.ΤΙΜΕΣ ΚΛΕΙΣΙΜΑΤΟΣ'!O246)</f>
        <v>3.8318864302136602E-2</v>
      </c>
      <c r="P246" s="43">
        <f>LN('2.ΤΙΜΕΣ ΚΛΕΙΣΙΜΑΤΟΣ'!P247/'2.ΤΙΜΕΣ ΚΛΕΙΣΙΜΑΤΟΣ'!P246)</f>
        <v>0.1131730553946199</v>
      </c>
      <c r="Q246" s="43">
        <f>LN('2.ΤΙΜΕΣ ΚΛΕΙΣΙΜΑΤΟΣ'!Q247/'2.ΤΙΜΕΣ ΚΛΕΙΣΙΜΑΤΟΣ'!Q246)</f>
        <v>0.13392072492455442</v>
      </c>
      <c r="R246" s="43">
        <f>LN('2.ΤΙΜΕΣ ΚΛΕΙΣΙΜΑΤΟΣ'!R247/'2.ΤΙΜΕΣ ΚΛΕΙΣΙΜΑΤΟΣ'!R246)</f>
        <v>0.14306631861866023</v>
      </c>
      <c r="S246" s="43">
        <f>LN('2.ΤΙΜΕΣ ΚΛΕΙΣΙΜΑΤΟΣ'!S247/'2.ΤΙΜΕΣ ΚΛΕΙΣΙΜΑΤΟΣ'!S246)</f>
        <v>2.9027596579614102E-3</v>
      </c>
      <c r="T246" s="43">
        <f>LN('2.ΤΙΜΕΣ ΚΛΕΙΣΙΜΑΤΟΣ'!T247/'2.ΤΙΜΕΣ ΚΛΕΙΣΙΜΑΤΟΣ'!T246)</f>
        <v>8.6619604212826565E-2</v>
      </c>
      <c r="U246" s="43">
        <f>LN('2.ΤΙΜΕΣ ΚΛΕΙΣΙΜΑΤΟΣ'!U247/'2.ΤΙΜΕΣ ΚΛΕΙΣΙΜΑΤΟΣ'!U246)</f>
        <v>7.8240209438632399E-2</v>
      </c>
      <c r="V246" s="43">
        <f>LN('2.ΤΙΜΕΣ ΚΛΕΙΣΙΜΑΤΟΣ'!V247/'2.ΤΙΜΕΣ ΚΛΕΙΣΙΜΑΤΟΣ'!V246)</f>
        <v>7.2504727598491164E-2</v>
      </c>
      <c r="W246" s="43">
        <f>LN('2.ΤΙΜΕΣ ΚΛΕΙΣΙΜΑΤΟΣ'!W247/'2.ΤΙΜΕΣ ΚΛΕΙΣΙΜΑΤΟΣ'!W246)</f>
        <v>6.9992371820034996E-2</v>
      </c>
      <c r="X246" s="43">
        <f>LN('2.ΤΙΜΕΣ ΚΛΕΙΣΙΜΑΤΟΣ'!X247/'2.ΤΙΜΕΣ ΚΛΕΙΣΙΜΑΤΟΣ'!X246)</f>
        <v>9.0971778205726786E-2</v>
      </c>
      <c r="Y246" s="43">
        <f>LN('2.ΤΙΜΕΣ ΚΛΕΙΣΙΜΑΤΟΣ'!Y247/'2.ΤΙΜΕΣ ΚΛΕΙΣΙΜΑΤΟΣ'!Y246)</f>
        <v>8.7011376989629893E-2</v>
      </c>
      <c r="Z246" s="43">
        <f>LN('2.ΤΙΜΕΣ ΚΛΕΙΣΙΜΑΤΟΣ'!Z247/'2.ΤΙΜΕΣ ΚΛΕΙΣΙΜΑΤΟΣ'!Z246)</f>
        <v>8.7011376989629699E-2</v>
      </c>
      <c r="AA246" s="43">
        <f>LN('2.ΤΙΜΕΣ ΚΛΕΙΣΙΜΑΤΟΣ'!AA247/'2.ΤΙΜΕΣ ΚΛΕΙΣΙΜΑΤΟΣ'!AA246)</f>
        <v>3.8221212820197671E-2</v>
      </c>
      <c r="AB246" s="43">
        <f>LN('2.ΤΙΜΕΣ ΚΛΕΙΣΙΜΑΤΟΣ'!AB247/'2.ΤΙΜΕΣ ΚΛΕΙΣΙΜΑΤΟΣ'!AB246)</f>
        <v>4.7591482575501616E-2</v>
      </c>
      <c r="AC246" s="43">
        <f>LN('2.ΤΙΜΕΣ ΚΛΕΙΣΙΜΑΤΟΣ'!AC247/'2.ΤΙΜΕΣ ΚΛΕΙΣΙΜΑΤΟΣ'!AC246)</f>
        <v>2.3716526617316065E-2</v>
      </c>
      <c r="AD246" s="43">
        <f>LN('2.ΤΙΜΕΣ ΚΛΕΙΣΙΜΑΤΟΣ'!AD247/'2.ΤΙΜΕΣ ΚΛΕΙΣΙΜΑΤΟΣ'!AD246)</f>
        <v>5.2580808743392791E-2</v>
      </c>
      <c r="AE246" s="43">
        <f>LN('2.ΤΙΜΕΣ ΚΛΕΙΣΙΜΑΤΟΣ'!AE247/'2.ΤΙΜΕΣ ΚΛΕΙΣΙΜΑΤΟΣ'!AE246)</f>
        <v>2.0714204387563235E-2</v>
      </c>
      <c r="AF246" s="43">
        <f>LN('2.ΤΙΜΕΣ ΚΛΕΙΣΙΜΑΤΟΣ'!AF247/'2.ΤΙΜΕΣ ΚΛΕΙΣΙΜΑΤΟΣ'!AF246)</f>
        <v>7.5276120771208807E-2</v>
      </c>
      <c r="AG246" s="43">
        <f>LN('2.ΤΙΜΕΣ ΚΛΕΙΣΙΜΑΤΟΣ'!AG247/'2.ΤΙΜΕΣ ΚΛΕΙΣΙΜΑΤΟΣ'!AG246)</f>
        <v>4.7006042375930576E-2</v>
      </c>
      <c r="AH246" s="43">
        <f>LN('2.ΤΙΜΕΣ ΚΛΕΙΣΙΜΑΤΟΣ'!AH247/'2.ΤΙΜΕΣ ΚΛΕΙΣΙΜΑΤΟΣ'!AH246)</f>
        <v>0.12893368337589303</v>
      </c>
      <c r="AI246" s="43">
        <f>LN('2.ΤΙΜΕΣ ΚΛΕΙΣΙΜΑΤΟΣ'!AI247/'2.ΤΙΜΕΣ ΚΛΕΙΣΙΜΑΤΟΣ'!AI246)</f>
        <v>4.8009219186360662E-2</v>
      </c>
      <c r="AJ246" s="43">
        <f>LN('2.ΤΙΜΕΣ ΚΛΕΙΣΙΜΑΤΟΣ'!AJ247/'2.ΤΙΜΕΣ ΚΛΕΙΣΙΜΑΤΟΣ'!AJ246)</f>
        <v>0.11099677597202441</v>
      </c>
      <c r="AK246" s="43">
        <f>LN('2.ΤΙΜΕΣ ΚΛΕΙΣΙΜΑΤΟΣ'!AK247/'2.ΤΙΜΕΣ ΚΛΕΙΣΙΜΑΤΟΣ'!AK246)</f>
        <v>3.2789822822990755E-2</v>
      </c>
      <c r="AL246" s="43">
        <f>LN('2.ΤΙΜΕΣ ΚΛΕΙΣΙΜΑΤΟΣ'!AL247/'2.ΤΙΜΕΣ ΚΛΕΙΣΙΜΑΤΟΣ'!AL246)</f>
        <v>9.3526058010823546E-2</v>
      </c>
      <c r="AM246" s="43">
        <f>LN('2.ΤΙΜΕΣ ΚΛΕΙΣΙΜΑΤΟΣ'!AM247/'2.ΤΙΜΕΣ ΚΛΕΙΣΙΜΑΤΟΣ'!AM246)</f>
        <v>-1.41846349919563E-2</v>
      </c>
      <c r="AN246" s="43">
        <f>LN('2.ΤΙΜΕΣ ΚΛΕΙΣΙΜΑΤΟΣ'!AN247/'2.ΤΙΜΕΣ ΚΛΕΙΣΙΜΑΤΟΣ'!AN246)</f>
        <v>0.10265415406008316</v>
      </c>
      <c r="AO246" s="43">
        <f>LN('2.ΤΙΜΕΣ ΚΛΕΙΣΙΜΑΤΟΣ'!AO247/'2.ΤΙΜΕΣ ΚΛΕΙΣΙΜΑΤΟΣ'!AO246)</f>
        <v>5.6695343676545294E-2</v>
      </c>
      <c r="AP246" s="43">
        <f>LN('2.ΤΙΜΕΣ ΚΛΕΙΣΙΜΑΤΟΣ'!AP247/'2.ΤΙΜΕΣ ΚΛΕΙΣΙΜΑΤΟΣ'!AP246)</f>
        <v>4.5462374076757413E-2</v>
      </c>
      <c r="AQ246" s="43">
        <f>LN('2.ΤΙΜΕΣ ΚΛΕΙΣΙΜΑΤΟΣ'!AQ247/'2.ΤΙΜΕΣ ΚΛΕΙΣΙΜΑΤΟΣ'!AQ246)</f>
        <v>5.9835791610665046E-2</v>
      </c>
      <c r="AR246" s="43">
        <f>LN('2.ΤΙΜΕΣ ΚΛΕΙΣΙΜΑΤΟΣ'!AR247/'2.ΤΙΜΕΣ ΚΛΕΙΣΙΜΑΤΟΣ'!AR246)</f>
        <v>0.10370966922430126</v>
      </c>
      <c r="AS246" s="43">
        <f>LN('2.ΤΙΜΕΣ ΚΛΕΙΣΙΜΑΤΟΣ'!AS247/'2.ΤΙΜΕΣ ΚΛΕΙΣΙΜΑΤΟΣ'!AS246)</f>
        <v>6.9391993423999793E-2</v>
      </c>
      <c r="AT246" s="43">
        <f>LN('2.ΤΙΜΕΣ ΚΛΕΙΣΙΜΑΤΟΣ'!AT247/'2.ΤΙΜΕΣ ΚΛΕΙΣΙΜΑΤΟΣ'!AT246)</f>
        <v>0.16579225484274404</v>
      </c>
      <c r="AU246" s="43">
        <f>LN('2.ΤΙΜΕΣ ΚΛΕΙΣΙΜΑΤΟΣ'!AU247/'2.ΤΙΜΕΣ ΚΛΕΙΣΙΜΑΤΟΣ'!AU246)</f>
        <v>7.3950643455459292E-2</v>
      </c>
    </row>
    <row r="247" spans="1:47">
      <c r="A247" s="41">
        <v>43916</v>
      </c>
      <c r="B247" s="43">
        <f>LN('2.ΤΙΜΕΣ ΚΛΕΙΣΙΜΑΤΟΣ'!B248/'2.ΤΙΜΕΣ ΚΛΕΙΣΙΜΑΤΟΣ'!B247)</f>
        <v>-2.3167059281534303E-2</v>
      </c>
      <c r="C247" s="43">
        <f>LN('2.ΤΙΜΕΣ ΚΛΕΙΣΙΜΑΤΟΣ'!C248/'2.ΤΙΜΕΣ ΚΛΕΙΣΙΜΑΤΟΣ'!C247)</f>
        <v>1.0892441166423754E-2</v>
      </c>
      <c r="D247" s="43">
        <f>LN('2.ΤΙΜΕΣ ΚΛΕΙΣΙΜΑΤΟΣ'!D248/'2.ΤΙΜΕΣ ΚΛΕΙΣΙΜΑΤΟΣ'!D247)</f>
        <v>7.3292865465473062E-2</v>
      </c>
      <c r="E247" s="43">
        <f>LN('2.ΤΙΜΕΣ ΚΛΕΙΣΙΜΑΤΟΣ'!E248/'2.ΤΙΜΕΣ ΚΛΕΙΣΙΜΑΤΟΣ'!E247)</f>
        <v>8.4675609504313992E-2</v>
      </c>
      <c r="F247" s="43">
        <f>LN('2.ΤΙΜΕΣ ΚΛΕΙΣΙΜΑΤΟΣ'!F248/'2.ΤΙΜΕΣ ΚΛΕΙΣΙΜΑΤΟΣ'!F247)</f>
        <v>2.2472855852058576E-2</v>
      </c>
      <c r="G247" s="43">
        <f>LN('2.ΤΙΜΕΣ ΚΛΕΙΣΙΜΑΤΟΣ'!G248/'2.ΤΙΜΕΣ ΚΛΕΙΣΙΜΑΤΟΣ'!G247)</f>
        <v>0.20067069546215105</v>
      </c>
      <c r="H247" s="43">
        <f>LN('2.ΤΙΜΕΣ ΚΛΕΙΣΙΜΑΤΟΣ'!H248/'2.ΤΙΜΕΣ ΚΛΕΙΣΙΜΑΤΟΣ'!H247)</f>
        <v>-2.2748137525936539E-2</v>
      </c>
      <c r="I247" s="43">
        <f>LN('2.ΤΙΜΕΣ ΚΛΕΙΣΙΜΑΤΟΣ'!I248/'2.ΤΙΜΕΣ ΚΛΕΙΣΙΜΑΤΟΣ'!I247)</f>
        <v>0.13932851030884852</v>
      </c>
      <c r="J247" s="43">
        <f>LN('2.ΤΙΜΕΣ ΚΛΕΙΣΙΜΑΤΟΣ'!J248/'2.ΤΙΜΕΣ ΚΛΕΙΣΙΜΑΤΟΣ'!J247)</f>
        <v>0.17327172127403678</v>
      </c>
      <c r="K247" s="43">
        <f>LN('2.ΤΙΜΕΣ ΚΛΕΙΣΙΜΑΤΟΣ'!K248/'2.ΤΙΜΕΣ ΚΛΕΙΣΙΜΑΤΟΣ'!K247)</f>
        <v>5.5920789919598687E-2</v>
      </c>
      <c r="L247" s="43">
        <f>LN('2.ΤΙΜΕΣ ΚΛΕΙΣΙΜΑΤΟΣ'!L248/'2.ΤΙΜΕΣ ΚΛΕΙΣΙΜΑΤΟΣ'!L247)</f>
        <v>2.6337695885035418E-2</v>
      </c>
      <c r="M247" s="43">
        <f>LN('2.ΤΙΜΕΣ ΚΛΕΙΣΙΜΑΤΟΣ'!M248/'2.ΤΙΜΕΣ ΚΛΕΙΣΙΜΑΤΟΣ'!M247)</f>
        <v>-5.4168236473149695E-2</v>
      </c>
      <c r="N247" s="43">
        <f>LN('2.ΤΙΜΕΣ ΚΛΕΙΣΙΜΑΤΟΣ'!N248/'2.ΤΙΜΕΣ ΚΛΕΙΣΙΜΑΤΟΣ'!N247)</f>
        <v>-2.7173929765000266E-3</v>
      </c>
      <c r="O247" s="43">
        <f>LN('2.ΤΙΜΕΣ ΚΛΕΙΣΙΜΑΤΟΣ'!O248/'2.ΤΙΜΕΣ ΚΛΕΙΣΙΜΑΤΟΣ'!O247)</f>
        <v>1.1958288988873576E-2</v>
      </c>
      <c r="P247" s="43">
        <f>LN('2.ΤΙΜΕΣ ΚΛΕΙΣΙΜΑΤΟΣ'!P248/'2.ΤΙΜΕΣ ΚΛΕΙΣΙΜΑΤΟΣ'!P247)</f>
        <v>6.9511543697749353E-2</v>
      </c>
      <c r="Q247" s="43">
        <f>LN('2.ΤΙΜΕΣ ΚΛΕΙΣΙΜΑΤΟΣ'!Q248/'2.ΤΙΜΕΣ ΚΛΕΙΣΙΜΑΤΟΣ'!Q247)</f>
        <v>0.11889252187640256</v>
      </c>
      <c r="R247" s="43">
        <f>LN('2.ΤΙΜΕΣ ΚΛΕΙΣΙΜΑΤΟΣ'!R248/'2.ΤΙΜΕΣ ΚΛΕΙΣΙΜΑΤΟΣ'!R247)</f>
        <v>7.4364415288862132E-2</v>
      </c>
      <c r="S247" s="43">
        <f>LN('2.ΤΙΜΕΣ ΚΛΕΙΣΙΜΑΤΟΣ'!S248/'2.ΤΙΜΕΣ ΚΛΕΙΣΙΜΑΤΟΣ'!S247)</f>
        <v>2.0086758566737292E-2</v>
      </c>
      <c r="T247" s="43">
        <f>LN('2.ΤΙΜΕΣ ΚΛΕΙΣΙΜΑΤΟΣ'!T248/'2.ΤΙΜΕΣ ΚΛΕΙΣΙΜΑΤΟΣ'!T247)</f>
        <v>5.9609908385888283E-2</v>
      </c>
      <c r="U247" s="43">
        <f>LN('2.ΤΙΜΕΣ ΚΛΕΙΣΙΜΑΤΟΣ'!U248/'2.ΤΙΜΕΣ ΚΛΕΙΣΙΜΑΤΟΣ'!U247)</f>
        <v>3.0459207484708654E-2</v>
      </c>
      <c r="V247" s="43">
        <f>LN('2.ΤΙΜΕΣ ΚΛΕΙΣΙΜΑΤΟΣ'!V248/'2.ΤΙΜΕΣ ΚΛΕΙΣΙΜΑΤΟΣ'!V247)</f>
        <v>1.2195273093818206E-2</v>
      </c>
      <c r="W247" s="43">
        <f>LN('2.ΤΙΜΕΣ ΚΛΕΙΣΙΜΑΤΟΣ'!W248/'2.ΤΙΜΕΣ ΚΛΕΙΣΙΜΑΤΟΣ'!W247)</f>
        <v>7.6270135158217081E-2</v>
      </c>
      <c r="X247" s="43">
        <f>LN('2.ΤΙΜΕΣ ΚΛΕΙΣΙΜΑΤΟΣ'!X248/'2.ΤΙΜΕΣ ΚΛΕΙΣΙΜΑΤΟΣ'!X247)</f>
        <v>-8.7336799687546662E-3</v>
      </c>
      <c r="Y247" s="43">
        <f>LN('2.ΤΙΜΕΣ ΚΛΕΙΣΙΜΑΤΟΣ'!Y248/'2.ΤΙΜΕΣ ΚΛΕΙΣΙΜΑΤΟΣ'!Y247)</f>
        <v>6.5139302170961449E-2</v>
      </c>
      <c r="Z247" s="43">
        <f>LN('2.ΤΙΜΕΣ ΚΛΕΙΣΙΜΑΤΟΣ'!Z248/'2.ΤΙΜΕΣ ΚΛΕΙΣΙΜΑΤΟΣ'!Z247)</f>
        <v>9.4787439545437387E-3</v>
      </c>
      <c r="AA247" s="43">
        <f>LN('2.ΤΙΜΕΣ ΚΛΕΙΣΙΜΑΤΟΣ'!AA248/'2.ΤΙΜΕΣ ΚΛΕΙΣΙΜΑΤΟΣ'!AA247)</f>
        <v>3.9220713153281329E-2</v>
      </c>
      <c r="AB247" s="43">
        <f>LN('2.ΤΙΜΕΣ ΚΛΕΙΣΙΜΑΤΟΣ'!AB248/'2.ΤΙΜΕΣ ΚΛΕΙΣΙΜΑΤΟΣ'!AB247)</f>
        <v>1.9302752254528675E-2</v>
      </c>
      <c r="AC247" s="43">
        <f>LN('2.ΤΙΜΕΣ ΚΛΕΙΣΙΜΑΤΟΣ'!AC248/'2.ΤΙΜΕΣ ΚΛΕΙΣΙΜΑΤΟΣ'!AC247)</f>
        <v>1.5504186535965254E-2</v>
      </c>
      <c r="AD247" s="43">
        <f>LN('2.ΤΙΜΕΣ ΚΛΕΙΣΙΜΑΤΟΣ'!AD248/'2.ΤΙΜΕΣ ΚΛΕΙΣΙΜΑΤΟΣ'!AD247)</f>
        <v>-8.1823951549396673E-3</v>
      </c>
      <c r="AE247" s="43">
        <f>LN('2.ΤΙΜΕΣ ΚΛΕΙΣΙΜΑΤΟΣ'!AE248/'2.ΤΙΜΕΣ ΚΛΕΙΣΙΜΑΤΟΣ'!AE247)</f>
        <v>-1.3761685072681377E-2</v>
      </c>
      <c r="AF247" s="43">
        <f>LN('2.ΤΙΜΕΣ ΚΛΕΙΣΙΜΑΤΟΣ'!AF248/'2.ΤΙΜΕΣ ΚΛΕΙΣΙΜΑΤΟΣ'!AF247)</f>
        <v>4.4525079041411869E-2</v>
      </c>
      <c r="AG247" s="43">
        <f>LN('2.ΤΙΜΕΣ ΚΛΕΙΣΙΜΑΤΟΣ'!AG248/'2.ΤΙΜΕΣ ΚΛΕΙΣΙΜΑΤΟΣ'!AG247)</f>
        <v>6.8992871486951421E-2</v>
      </c>
      <c r="AH247" s="43">
        <f>LN('2.ΤΙΜΕΣ ΚΛΕΙΣΙΜΑΤΟΣ'!AH248/'2.ΤΙΜΕΣ ΚΛΕΙΣΙΜΑΤΟΣ'!AH247)</f>
        <v>1.9169916107720123E-2</v>
      </c>
      <c r="AI247" s="43">
        <f>LN('2.ΤΙΜΕΣ ΚΛΕΙΣΙΜΑΤΟΣ'!AI248/'2.ΤΙΜΕΣ ΚΛΕΙΣΙΜΑΤΟΣ'!AI247)</f>
        <v>-2.3716526617316044E-2</v>
      </c>
      <c r="AJ247" s="43">
        <f>LN('2.ΤΙΜΕΣ ΚΛΕΙΣΙΜΑΤΟΣ'!AJ248/'2.ΤΙΜΕΣ ΚΛΕΙΣΙΜΑΤΟΣ'!AJ247)</f>
        <v>8.5713518274029718E-2</v>
      </c>
      <c r="AK247" s="43">
        <f>LN('2.ΤΙΜΕΣ ΚΛΕΙΣΙΜΑΤΟΣ'!AK248/'2.ΤΙΜΕΣ ΚΛΕΙΣΙΜΑΤΟΣ'!AK247)</f>
        <v>-2.5409715525368214E-2</v>
      </c>
      <c r="AL247" s="43">
        <f>LN('2.ΤΙΜΕΣ ΚΛΕΙΣΙΜΑΤΟΣ'!AL248/'2.ΤΙΜΕΣ ΚΛΕΙΣΙΜΑΤΟΣ'!AL247)</f>
        <v>5.2185753170570247E-2</v>
      </c>
      <c r="AM247" s="43">
        <f>LN('2.ΤΙΜΕΣ ΚΛΕΙΣΙΜΑΤΟΣ'!AM248/'2.ΤΙΜΕΣ ΚΛΕΙΣΙΜΑΤΟΣ'!AM247)</f>
        <v>-2.8987536873252298E-2</v>
      </c>
      <c r="AN247" s="43">
        <f>LN('2.ΤΙΜΕΣ ΚΛΕΙΣΙΜΑΤΟΣ'!AN248/'2.ΤΙΜΕΣ ΚΛΕΙΣΙΜΑΤΟΣ'!AN247)</f>
        <v>3.4249923043078445E-2</v>
      </c>
      <c r="AO247" s="43">
        <f>LN('2.ΤΙΜΕΣ ΚΛΕΙΣΙΜΑΤΟΣ'!AO248/'2.ΤΙΜΕΣ ΚΛΕΙΣΙΜΑΤΟΣ'!AO247)</f>
        <v>0</v>
      </c>
      <c r="AP247" s="43">
        <f>LN('2.ΤΙΜΕΣ ΚΛΕΙΣΙΜΑΤΟΣ'!AP248/'2.ΤΙΜΕΣ ΚΛΕΙΣΙΜΑΤΟΣ'!AP247)</f>
        <v>3.6367644170874791E-2</v>
      </c>
      <c r="AQ247" s="43">
        <f>LN('2.ΤΙΜΕΣ ΚΛΕΙΣΙΜΑΤΟΣ'!AQ248/'2.ΤΙΜΕΣ ΚΛΕΙΣΙΜΑΤΟΣ'!AQ247)</f>
        <v>1.7522350692202492E-2</v>
      </c>
      <c r="AR247" s="43">
        <f>LN('2.ΤΙΜΕΣ ΚΛΕΙΣΙΜΑΤΟΣ'!AR248/'2.ΤΙΜΕΣ ΚΛΕΙΣΙΜΑΤΟΣ'!AR247)</f>
        <v>9.2263976737980605E-2</v>
      </c>
      <c r="AS247" s="43">
        <f>LN('2.ΤΙΜΕΣ ΚΛΕΙΣΙΜΑΤΟΣ'!AS248/'2.ΤΙΜΕΣ ΚΛΕΙΣΙΜΑΤΟΣ'!AS247)</f>
        <v>3.026365763982693E-2</v>
      </c>
      <c r="AT247" s="43">
        <f>LN('2.ΤΙΜΕΣ ΚΛΕΙΣΙΜΑΤΟΣ'!AT248/'2.ΤΙΜΕΣ ΚΛΕΙΣΙΜΑΤΟΣ'!AT247)</f>
        <v>1.3793322132335769E-2</v>
      </c>
      <c r="AU247" s="43">
        <f>LN('2.ΤΙΜΕΣ ΚΛΕΙΣΙΜΑΤΟΣ'!AU248/'2.ΤΙΜΕΣ ΚΛΕΙΣΙΜΑΤΟΣ'!AU247)</f>
        <v>3.7133418925129419E-2</v>
      </c>
    </row>
    <row r="248" spans="1:47">
      <c r="A248" s="41">
        <v>43917</v>
      </c>
      <c r="B248" s="43">
        <f>LN('2.ΤΙΜΕΣ ΚΛΕΙΣΙΜΑΤΟΣ'!B249/'2.ΤΙΜΕΣ ΚΛΕΙΣΙΜΑΤΟΣ'!B248)</f>
        <v>-6.4260781932897318E-2</v>
      </c>
      <c r="C248" s="43">
        <f>LN('2.ΤΙΜΕΣ ΚΛΕΙΣΙΜΑΤΟΣ'!C249/'2.ΤΙΜΕΣ ΚΛΕΙΣΙΜΑΤΟΣ'!C248)</f>
        <v>-7.3467151881872514E-2</v>
      </c>
      <c r="D248" s="43">
        <f>LN('2.ΤΙΜΕΣ ΚΛΕΙΣΙΜΑΤΟΣ'!D249/'2.ΤΙΜΕΣ ΚΛΕΙΣΙΜΑΤΟΣ'!D248)</f>
        <v>-2.070763032748954E-2</v>
      </c>
      <c r="E248" s="43">
        <f>LN('2.ΤΙΜΕΣ ΚΛΕΙΣΙΜΑΤΟΣ'!E249/'2.ΤΙΜΕΣ ΚΛΕΙΣΙΜΑΤΟΣ'!E248)</f>
        <v>-2.7711634708337929E-2</v>
      </c>
      <c r="F248" s="43">
        <f>LN('2.ΤΙΜΕΣ ΚΛΕΙΣΙΜΑΤΟΣ'!F249/'2.ΤΙΜΕΣ ΚΛΕΙΣΙΜΑΤΟΣ'!F248)</f>
        <v>-3.7740327982847086E-2</v>
      </c>
      <c r="G248" s="43">
        <f>LN('2.ΤΙΜΕΣ ΚΛΕΙΣΙΜΑΤΟΣ'!G249/'2.ΤΙΜΕΣ ΚΛΕΙΣΙΜΑΤΟΣ'!G248)</f>
        <v>-5.1545151837565764E-2</v>
      </c>
      <c r="H248" s="43">
        <f>LN('2.ΤΙΜΕΣ ΚΛΕΙΣΙΜΑΤΟΣ'!H249/'2.ΤΙΜΕΣ ΚΛΕΙΣΙΜΑΤΟΣ'!H248)</f>
        <v>-1.0676257991341868E-2</v>
      </c>
      <c r="I248" s="43">
        <f>LN('2.ΤΙΜΕΣ ΚΛΕΙΣΙΜΑΤΟΣ'!I249/'2.ΤΙΜΕΣ ΚΛΕΙΣΙΜΑΤΟΣ'!I248)</f>
        <v>-6.2613592727986653E-2</v>
      </c>
      <c r="J248" s="43">
        <f>LN('2.ΤΙΜΕΣ ΚΛΕΙΣΙΜΑΤΟΣ'!J249/'2.ΤΙΜΕΣ ΚΛΕΙΣΙΜΑΤΟΣ'!J248)</f>
        <v>-9.1324835632725868E-3</v>
      </c>
      <c r="K248" s="43">
        <f>LN('2.ΤΙΜΕΣ ΚΛΕΙΣΙΜΑΤΟΣ'!K249/'2.ΤΙΜΕΣ ΚΛΕΙΣΙΜΑΤΟΣ'!K248)</f>
        <v>-2.1277398447284965E-2</v>
      </c>
      <c r="L248" s="43">
        <f>LN('2.ΤΙΜΕΣ ΚΛΕΙΣΙΜΑΤΟΣ'!L249/'2.ΤΙΜΕΣ ΚΛΕΙΣΙΜΑΤΟΣ'!L248)</f>
        <v>-5.3387873418061442E-2</v>
      </c>
      <c r="M248" s="43">
        <f>LN('2.ΤΙΜΕΣ ΚΛΕΙΣΙΜΑΤΟΣ'!M249/'2.ΤΙΜΕΣ ΚΛΕΙΣΙΜΑΤΟΣ'!M248)</f>
        <v>5.7416425676751828E-3</v>
      </c>
      <c r="N248" s="43">
        <f>LN('2.ΤΙΜΕΣ ΚΛΕΙΣΙΜΑΤΟΣ'!N249/'2.ΤΙΜΕΣ ΚΛΕΙΣΙΜΑΤΟΣ'!N248)</f>
        <v>-2.3400930164612473E-2</v>
      </c>
      <c r="O248" s="43">
        <f>LN('2.ΤΙΜΕΣ ΚΛΕΙΣΙΜΑΤΟΣ'!O249/'2.ΤΙΜΕΣ ΚΛΕΙΣΙΜΑΤΟΣ'!O248)</f>
        <v>-2.9761926730461127E-3</v>
      </c>
      <c r="P248" s="43">
        <f>LN('2.ΤΙΜΕΣ ΚΛΕΙΣΙΜΑΤΟΣ'!P249/'2.ΤΙΜΕΣ ΚΛΕΙΣΙΜΑΤΟΣ'!P248)</f>
        <v>-6.7567908489178236E-2</v>
      </c>
      <c r="Q248" s="43">
        <f>LN('2.ΤΙΜΕΣ ΚΛΕΙΣΙΜΑΤΟΣ'!Q249/'2.ΤΙΜΕΣ ΚΛΕΙΣΙΜΑΤΟΣ'!Q248)</f>
        <v>-3.4457879923687949E-2</v>
      </c>
      <c r="R248" s="43">
        <f>LN('2.ΤΙΜΕΣ ΚΛΕΙΣΙΜΑΤΟΣ'!R249/'2.ΤΙΜΕΣ ΚΛΕΙΣΙΜΑΤΟΣ'!R248)</f>
        <v>-8.7011376989629685E-2</v>
      </c>
      <c r="S248" s="43">
        <f>LN('2.ΤΙΜΕΣ ΚΛΕΙΣΙΜΑΤΟΣ'!S249/'2.ΤΙΜΕΣ ΚΛΕΙΣΙΜΑΤΟΣ'!S248)</f>
        <v>5.6657375356772999E-3</v>
      </c>
      <c r="T248" s="43">
        <f>LN('2.ΤΙΜΕΣ ΚΛΕΙΣΙΜΑΤΟΣ'!T249/'2.ΤΙΜΕΣ ΚΛΕΙΣΙΜΑΤΟΣ'!T248)</f>
        <v>-7.7001651097757473E-2</v>
      </c>
      <c r="U248" s="43">
        <f>LN('2.ΤΙΜΕΣ ΚΛΕΙΣΙΜΑΤΟΣ'!U249/'2.ΤΙΜΕΣ ΚΛΕΙΣΙΜΑΤΟΣ'!U248)</f>
        <v>-2.5317807984289897E-2</v>
      </c>
      <c r="V248" s="43">
        <f>LN('2.ΤΙΜΕΣ ΚΛΕΙΣΙΜΑΤΟΣ'!V249/'2.ΤΙΜΕΣ ΚΛΕΙΣΙΜΑΤΟΣ'!V248)</f>
        <v>-3.20224405684063E-2</v>
      </c>
      <c r="W248" s="43">
        <f>LN('2.ΤΙΜΕΣ ΚΛΕΙΣΙΜΑΤΟΣ'!W249/'2.ΤΙΜΕΣ ΚΛΕΙΣΙΜΑΤΟΣ'!W248)</f>
        <v>-9.9856134164096222E-2</v>
      </c>
      <c r="X248" s="43">
        <f>LN('2.ΤΙΜΕΣ ΚΛΕΙΣΙΜΑΤΟΣ'!X249/'2.ΤΙΜΕΣ ΚΛΕΙΣΙΜΑΤΟΣ'!X248)</f>
        <v>-4.1797128678461477E-2</v>
      </c>
      <c r="Y248" s="43">
        <f>LN('2.ΤΙΜΕΣ ΚΛΕΙΣΙΜΑΤΟΣ'!Y249/'2.ΤΙΜΕΣ ΚΛΕΙΣΙΜΑΤΟΣ'!Y248)</f>
        <v>3.1044621681960108E-2</v>
      </c>
      <c r="Z248" s="43">
        <f>LN('2.ΤΙΜΕΣ ΚΛΕΙΣΙΜΑΤΟΣ'!Z249/'2.ΤΙΜΕΣ ΚΛΕΙΣΙΜΑΤΟΣ'!Z248)</f>
        <v>-3.8466280827796052E-2</v>
      </c>
      <c r="AA248" s="43">
        <f>LN('2.ΤΙΜΕΣ ΚΛΕΙΣΙΜΑΤΟΣ'!AA249/'2.ΤΙΜΕΣ ΚΛΕΙΣΙΜΑΤΟΣ'!AA248)</f>
        <v>-2.1872074818668215E-2</v>
      </c>
      <c r="AB248" s="43">
        <f>LN('2.ΤΙΜΕΣ ΚΛΕΙΣΙΜΑΤΟΣ'!AB249/'2.ΤΙΜΕΣ ΚΛΕΙΣΙΜΑΤΟΣ'!AB248)</f>
        <v>-4.6660081466062334E-2</v>
      </c>
      <c r="AC248" s="43">
        <f>LN('2.ΤΙΜΕΣ ΚΛΕΙΣΙΜΑΤΟΣ'!AC249/'2.ΤΙΜΕΣ ΚΛΕΙΣΙΜΑΤΟΣ'!AC248)</f>
        <v>-2.0202707317519466E-2</v>
      </c>
      <c r="AD248" s="43">
        <f>LN('2.ΤΙΜΕΣ ΚΛΕΙΣΙΜΑΤΟΣ'!AD249/'2.ΤΙΜΕΣ ΚΛΕΙΣΙΜΑΤΟΣ'!AD248)</f>
        <v>-7.5553581368248482E-2</v>
      </c>
      <c r="AE248" s="43">
        <f>LN('2.ΤΙΜΕΣ ΚΛΕΙΣΙΜΑΤΟΣ'!AE249/'2.ΤΙΜΕΣ ΚΛΕΙΣΙΜΑΤΟΣ'!AE248)</f>
        <v>4.6083030861941814E-3</v>
      </c>
      <c r="AF248" s="43">
        <f>LN('2.ΤΙΜΕΣ ΚΛΕΙΣΙΜΑΤΟΣ'!AF249/'2.ΤΙΜΕΣ ΚΛΕΙΣΙΜΑΤΟΣ'!AF248)</f>
        <v>-5.8107630807280812E-2</v>
      </c>
      <c r="AG248" s="43">
        <f>LN('2.ΤΙΜΕΣ ΚΛΕΙΣΙΜΑΤΟΣ'!AG249/'2.ΤΙΜΕΣ ΚΛΕΙΣΙΜΑΤΟΣ'!AG248)</f>
        <v>-7.4107972153721849E-2</v>
      </c>
      <c r="AH248" s="43">
        <f>LN('2.ΤΙΜΕΣ ΚΛΕΙΣΙΜΑΤΟΣ'!AH249/'2.ΤΙΜΕΣ ΚΛΕΙΣΙΜΑΤΟΣ'!AH248)</f>
        <v>-4.7581374464169233E-3</v>
      </c>
      <c r="AI248" s="43">
        <f>LN('2.ΤΙΜΕΣ ΚΛΕΙΣΙΜΑΤΟΣ'!AI249/'2.ΤΙΜΕΣ ΚΛΕΙΣΙΜΑΤΟΣ'!AI248)</f>
        <v>-2.4292692569044587E-2</v>
      </c>
      <c r="AJ248" s="43">
        <f>LN('2.ΤΙΜΕΣ ΚΛΕΙΣΙΜΑΤΟΣ'!AJ249/'2.ΤΙΜΕΣ ΚΛΕΙΣΙΜΑΤΟΣ'!AJ248)</f>
        <v>5.5569851154810786E-2</v>
      </c>
      <c r="AK248" s="43">
        <f>LN('2.ΤΙΜΕΣ ΚΛΕΙΣΙΜΑΤΟΣ'!AK249/'2.ΤΙΜΕΣ ΚΛΕΙΣΙΜΑΤΟΣ'!AK248)</f>
        <v>-4.5120435280469655E-2</v>
      </c>
      <c r="AL248" s="43">
        <f>LN('2.ΤΙΜΕΣ ΚΛΕΙΣΙΜΑΤΟΣ'!AL249/'2.ΤΙΜΕΣ ΚΛΕΙΣΙΜΑΤΟΣ'!AL248)</f>
        <v>-8.8553397341445059E-2</v>
      </c>
      <c r="AM248" s="43">
        <f>LN('2.ΤΙΜΕΣ ΚΛΕΙΣΙΜΑΤΟΣ'!AM249/'2.ΤΙΜΕΣ ΚΛΕΙΣΙΜΑΤΟΣ'!AM248)</f>
        <v>3.8466280827796143E-2</v>
      </c>
      <c r="AN248" s="43">
        <f>LN('2.ΤΙΜΕΣ ΚΛΕΙΣΙΜΑΤΟΣ'!AN249/'2.ΤΙΜΕΣ ΚΛΕΙΣΙΜΑΤΟΣ'!AN248)</f>
        <v>-5.5377469468953715E-2</v>
      </c>
      <c r="AO248" s="43">
        <f>LN('2.ΤΙΜΕΣ ΚΛΕΙΣΙΜΑΤΟΣ'!AO249/'2.ΤΙΜΕΣ ΚΛΕΙΣΙΜΑΤΟΣ'!AO248)</f>
        <v>4.6162041763162624E-2</v>
      </c>
      <c r="AP248" s="43">
        <f>LN('2.ΤΙΜΕΣ ΚΛΕΙΣΙΜΑΤΟΣ'!AP249/'2.ΤΙΜΕΣ ΚΛΕΙΣΙΜΑΤΟΣ'!AP248)</f>
        <v>0</v>
      </c>
      <c r="AQ248" s="43">
        <f>LN('2.ΤΙΜΕΣ ΚΛΕΙΣΙΜΑΤΟΣ'!AQ249/'2.ΤΙΜΕΣ ΚΛΕΙΣΙΜΑΤΟΣ'!AQ248)</f>
        <v>-1.5000281259492598E-2</v>
      </c>
      <c r="AR248" s="43">
        <f>LN('2.ΤΙΜΕΣ ΚΛΕΙΣΙΜΑΤΟΣ'!AR249/'2.ΤΙΜΕΣ ΚΛΕΙΣΙΜΑΤΟΣ'!AR248)</f>
        <v>-1.1935350549272791E-2</v>
      </c>
      <c r="AS248" s="43">
        <f>LN('2.ΤΙΜΕΣ ΚΛΕΙΣΙΜΑΤΟΣ'!AS249/'2.ΤΙΜΕΣ ΚΛΕΙΣΙΜΑΤΟΣ'!AS248)</f>
        <v>-1.9152432214756123E-2</v>
      </c>
      <c r="AT248" s="43">
        <f>LN('2.ΤΙΜΕΣ ΚΛΕΙΣΙΜΑΤΟΣ'!AT249/'2.ΤΙΜΕΣ ΚΛΕΙΣΙΜΑΤΟΣ'!AT248)</f>
        <v>-7.8331843269906831E-2</v>
      </c>
      <c r="AU248" s="43">
        <f>LN('2.ΤΙΜΕΣ ΚΛΕΙΣΙΜΑΤΟΣ'!AU249/'2.ΤΙΜΕΣ ΚΛΕΙΣΙΜΑΤΟΣ'!AU248)</f>
        <v>-4.0033810698239455E-2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5DDCD-052F-4E1D-BB32-ADB33C312C74}">
  <sheetPr>
    <tabColor theme="7" tint="0.79998168889431442"/>
  </sheetPr>
  <dimension ref="A1:AT46"/>
  <sheetViews>
    <sheetView zoomScale="80" zoomScaleNormal="80" workbookViewId="0">
      <selection activeCell="D102" sqref="D102"/>
    </sheetView>
  </sheetViews>
  <sheetFormatPr baseColWidth="10" defaultColWidth="8.83203125" defaultRowHeight="15"/>
  <sheetData>
    <row r="1" spans="1:46">
      <c r="A1" s="47"/>
      <c r="B1" s="48" t="s">
        <v>6</v>
      </c>
      <c r="C1" s="48" t="s">
        <v>47</v>
      </c>
      <c r="D1" s="48" t="s">
        <v>43</v>
      </c>
      <c r="E1" s="48" t="s">
        <v>12</v>
      </c>
      <c r="F1" s="48" t="s">
        <v>35</v>
      </c>
      <c r="G1" s="48" t="s">
        <v>8</v>
      </c>
      <c r="H1" s="48" t="s">
        <v>39</v>
      </c>
      <c r="I1" s="48" t="s">
        <v>4</v>
      </c>
      <c r="J1" s="48" t="s">
        <v>30</v>
      </c>
      <c r="K1" s="48" t="s">
        <v>14</v>
      </c>
      <c r="L1" s="48" t="s">
        <v>41</v>
      </c>
      <c r="M1" s="48" t="s">
        <v>16</v>
      </c>
      <c r="N1" s="48" t="s">
        <v>49</v>
      </c>
      <c r="O1" s="48" t="s">
        <v>37</v>
      </c>
      <c r="P1" s="48" t="s">
        <v>24</v>
      </c>
      <c r="Q1" s="48" t="s">
        <v>51</v>
      </c>
      <c r="R1" s="48" t="s">
        <v>28</v>
      </c>
      <c r="S1" s="48" t="s">
        <v>26</v>
      </c>
      <c r="T1" s="48" t="s">
        <v>18</v>
      </c>
      <c r="U1" s="48" t="s">
        <v>20</v>
      </c>
      <c r="V1" s="48" t="s">
        <v>45</v>
      </c>
      <c r="W1" s="48" t="s">
        <v>22</v>
      </c>
      <c r="X1" s="48" t="s">
        <v>65</v>
      </c>
      <c r="Y1" s="48" t="s">
        <v>31</v>
      </c>
      <c r="Z1" s="48" t="s">
        <v>85</v>
      </c>
      <c r="AA1" s="48" t="s">
        <v>55</v>
      </c>
      <c r="AB1" s="48" t="s">
        <v>10</v>
      </c>
      <c r="AC1" s="48" t="s">
        <v>71</v>
      </c>
      <c r="AD1" s="48" t="s">
        <v>57</v>
      </c>
      <c r="AE1" s="48" t="s">
        <v>81</v>
      </c>
      <c r="AF1" s="48" t="s">
        <v>33</v>
      </c>
      <c r="AG1" s="48" t="s">
        <v>53</v>
      </c>
      <c r="AH1" s="48" t="s">
        <v>73</v>
      </c>
      <c r="AI1" s="48" t="s">
        <v>59</v>
      </c>
      <c r="AJ1" s="48" t="s">
        <v>91</v>
      </c>
      <c r="AK1" s="48" t="s">
        <v>89</v>
      </c>
      <c r="AL1" s="48" t="s">
        <v>61</v>
      </c>
      <c r="AM1" s="48" t="s">
        <v>87</v>
      </c>
      <c r="AN1" s="48" t="s">
        <v>67</v>
      </c>
      <c r="AO1" s="48" t="s">
        <v>69</v>
      </c>
      <c r="AP1" s="48" t="s">
        <v>63</v>
      </c>
      <c r="AQ1" s="48" t="s">
        <v>75</v>
      </c>
      <c r="AR1" s="48" t="s">
        <v>83</v>
      </c>
      <c r="AS1" s="48" t="s">
        <v>77</v>
      </c>
      <c r="AT1" s="48" t="s">
        <v>79</v>
      </c>
    </row>
    <row r="2" spans="1:46">
      <c r="A2" s="49" t="s">
        <v>6</v>
      </c>
      <c r="B2" s="45">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row>
    <row r="3" spans="1:46">
      <c r="A3" s="49" t="s">
        <v>47</v>
      </c>
      <c r="B3" s="45">
        <v>0.61337313278928873</v>
      </c>
      <c r="C3" s="45">
        <v>1</v>
      </c>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row>
    <row r="4" spans="1:46">
      <c r="A4" s="49" t="s">
        <v>43</v>
      </c>
      <c r="B4" s="45">
        <v>0.60798049667213905</v>
      </c>
      <c r="C4" s="45">
        <v>0.61344792771754486</v>
      </c>
      <c r="D4" s="45">
        <v>1</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row>
    <row r="5" spans="1:46">
      <c r="A5" s="49" t="s">
        <v>12</v>
      </c>
      <c r="B5" s="45">
        <v>0.50343376068057966</v>
      </c>
      <c r="C5" s="51">
        <v>0.47428603150503246</v>
      </c>
      <c r="D5" s="45">
        <v>0.55186214246272991</v>
      </c>
      <c r="E5" s="45">
        <v>1</v>
      </c>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row>
    <row r="6" spans="1:46">
      <c r="A6" s="49" t="s">
        <v>35</v>
      </c>
      <c r="B6" s="45">
        <v>0.58820682292215143</v>
      </c>
      <c r="C6" s="45">
        <v>0.54732003226038539</v>
      </c>
      <c r="D6" s="45">
        <v>0.6335722332974727</v>
      </c>
      <c r="E6" s="45">
        <v>0.5819425598233271</v>
      </c>
      <c r="F6" s="45">
        <v>1</v>
      </c>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row>
    <row r="7" spans="1:46">
      <c r="A7" s="49" t="s">
        <v>8</v>
      </c>
      <c r="B7" s="45">
        <v>0.53679263506149799</v>
      </c>
      <c r="C7" s="45">
        <v>0.51150338378427485</v>
      </c>
      <c r="D7" s="45">
        <v>0.62026010527933029</v>
      </c>
      <c r="E7" s="45">
        <v>0.68331174313752752</v>
      </c>
      <c r="F7" s="45">
        <v>0.68808686222127236</v>
      </c>
      <c r="G7" s="45">
        <v>1</v>
      </c>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row>
    <row r="8" spans="1:46">
      <c r="A8" s="49" t="s">
        <v>39</v>
      </c>
      <c r="B8" s="45">
        <v>0.55178388579202575</v>
      </c>
      <c r="C8" s="45">
        <v>0.50793224287634264</v>
      </c>
      <c r="D8" s="45">
        <v>0.59258576947381381</v>
      </c>
      <c r="E8" s="51">
        <v>0.4962095710447556</v>
      </c>
      <c r="F8" s="45">
        <v>0.71059994990829567</v>
      </c>
      <c r="G8" s="45">
        <v>0.61016654092448364</v>
      </c>
      <c r="H8" s="45">
        <v>1</v>
      </c>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row>
    <row r="9" spans="1:46">
      <c r="A9" s="49" t="s">
        <v>4</v>
      </c>
      <c r="B9" s="45">
        <v>0.54996030368891025</v>
      </c>
      <c r="C9" s="45">
        <v>0.50186150080134395</v>
      </c>
      <c r="D9" s="45">
        <v>0.64254734752187626</v>
      </c>
      <c r="E9" s="45">
        <v>0.67724016104883866</v>
      </c>
      <c r="F9" s="45">
        <v>0.71398826912696745</v>
      </c>
      <c r="G9" s="45">
        <v>0.85672052161892742</v>
      </c>
      <c r="H9" s="45">
        <v>0.64042871646255373</v>
      </c>
      <c r="I9" s="45">
        <v>1</v>
      </c>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row>
    <row r="10" spans="1:46">
      <c r="A10" s="49" t="s">
        <v>30</v>
      </c>
      <c r="B10" s="45">
        <v>0.58734834605012443</v>
      </c>
      <c r="C10" s="45">
        <v>0.51964605024135313</v>
      </c>
      <c r="D10" s="45">
        <v>0.71022509603355377</v>
      </c>
      <c r="E10" s="45">
        <v>0.60734114501131364</v>
      </c>
      <c r="F10" s="45">
        <v>0.71927632549220044</v>
      </c>
      <c r="G10" s="45">
        <v>0.83043300577238977</v>
      </c>
      <c r="H10" s="45">
        <v>0.62618253133256208</v>
      </c>
      <c r="I10" s="45">
        <v>0.84804717077952119</v>
      </c>
      <c r="J10" s="45">
        <v>1</v>
      </c>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row>
    <row r="11" spans="1:46">
      <c r="A11" s="49" t="s">
        <v>14</v>
      </c>
      <c r="B11" s="45">
        <v>0.53603758487966446</v>
      </c>
      <c r="C11" s="45">
        <v>0.5358087188215811</v>
      </c>
      <c r="D11" s="45">
        <v>0.63020594336749469</v>
      </c>
      <c r="E11" s="45">
        <v>0.60725955982932622</v>
      </c>
      <c r="F11" s="45">
        <v>0.67428917004342925</v>
      </c>
      <c r="G11" s="45">
        <v>0.60581118278546031</v>
      </c>
      <c r="H11" s="45">
        <v>0.50233007256429363</v>
      </c>
      <c r="I11" s="45">
        <v>0.64901373724177447</v>
      </c>
      <c r="J11" s="45">
        <v>0.68978432067367934</v>
      </c>
      <c r="K11" s="45">
        <v>1</v>
      </c>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row>
    <row r="12" spans="1:46">
      <c r="A12" s="49" t="s">
        <v>41</v>
      </c>
      <c r="B12" s="45">
        <v>0.6019578614503408</v>
      </c>
      <c r="C12" s="45">
        <v>0.59134837029307519</v>
      </c>
      <c r="D12" s="45">
        <v>0.67938623474557025</v>
      </c>
      <c r="E12" s="45">
        <v>0.63982675193630434</v>
      </c>
      <c r="F12" s="45">
        <v>0.83629438828808578</v>
      </c>
      <c r="G12" s="45">
        <v>0.69881069918341243</v>
      </c>
      <c r="H12" s="45">
        <v>0.69605475917922943</v>
      </c>
      <c r="I12" s="45">
        <v>0.69279291559838829</v>
      </c>
      <c r="J12" s="45">
        <v>0.7524691116846246</v>
      </c>
      <c r="K12" s="45">
        <v>0.68785284632870403</v>
      </c>
      <c r="L12" s="45">
        <v>1</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row>
    <row r="13" spans="1:46">
      <c r="A13" s="49" t="s">
        <v>16</v>
      </c>
      <c r="B13" s="51">
        <v>0.46216460368330153</v>
      </c>
      <c r="C13" s="45">
        <v>0.54655486846472734</v>
      </c>
      <c r="D13" s="45">
        <v>0.51478884582830642</v>
      </c>
      <c r="E13" s="51">
        <v>0.43394320972437239</v>
      </c>
      <c r="F13" s="45">
        <v>0.63590363607264067</v>
      </c>
      <c r="G13" s="51">
        <v>0.48114686009297497</v>
      </c>
      <c r="H13" s="45">
        <v>0.62940199408007425</v>
      </c>
      <c r="I13" s="51">
        <v>0.48395374567223592</v>
      </c>
      <c r="J13" s="51">
        <v>0.49579299657654013</v>
      </c>
      <c r="K13" s="45">
        <v>0.50677561060770415</v>
      </c>
      <c r="L13" s="45">
        <v>0.69480724017591866</v>
      </c>
      <c r="M13" s="45">
        <v>1</v>
      </c>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row>
    <row r="14" spans="1:46">
      <c r="A14" s="49" t="s">
        <v>49</v>
      </c>
      <c r="B14" s="51">
        <v>0.47785653217201546</v>
      </c>
      <c r="C14" s="51">
        <v>0.47061849595854854</v>
      </c>
      <c r="D14" s="45">
        <v>0.59143487212608259</v>
      </c>
      <c r="E14" s="45">
        <v>0.53263901711467843</v>
      </c>
      <c r="F14" s="45">
        <v>0.71328229344088767</v>
      </c>
      <c r="G14" s="45">
        <v>0.52958996544279846</v>
      </c>
      <c r="H14" s="45">
        <v>0.54220811065035257</v>
      </c>
      <c r="I14" s="51">
        <v>0.48908552794631382</v>
      </c>
      <c r="J14" s="45">
        <v>0.62621421767034435</v>
      </c>
      <c r="K14" s="45">
        <v>0.64170972717352059</v>
      </c>
      <c r="L14" s="45">
        <v>0.74580097511027921</v>
      </c>
      <c r="M14" s="45">
        <v>0.56385085943085478</v>
      </c>
      <c r="N14" s="45">
        <v>1</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row>
    <row r="15" spans="1:46">
      <c r="A15" s="49" t="s">
        <v>37</v>
      </c>
      <c r="B15" s="51">
        <v>0.41481306268447238</v>
      </c>
      <c r="C15" s="45">
        <v>0.54631457365504266</v>
      </c>
      <c r="D15" s="45">
        <v>0.52451386107152098</v>
      </c>
      <c r="E15" s="45">
        <v>0.53248810951051362</v>
      </c>
      <c r="F15" s="45">
        <v>0.65187234202582667</v>
      </c>
      <c r="G15" s="45">
        <v>0.54409357235553635</v>
      </c>
      <c r="H15" s="51">
        <v>0.46626092547973841</v>
      </c>
      <c r="I15" s="45">
        <v>0.52136023734678993</v>
      </c>
      <c r="J15" s="45">
        <v>0.6017268802096768</v>
      </c>
      <c r="K15" s="45">
        <v>0.58831818522250678</v>
      </c>
      <c r="L15" s="45">
        <v>0.74089705419078189</v>
      </c>
      <c r="M15" s="45">
        <v>0.63333383058365555</v>
      </c>
      <c r="N15" s="45">
        <v>0.64379427188400706</v>
      </c>
      <c r="O15" s="45">
        <v>1</v>
      </c>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row>
    <row r="16" spans="1:46">
      <c r="A16" s="49" t="s">
        <v>24</v>
      </c>
      <c r="B16" s="45">
        <v>0.5338816303124484</v>
      </c>
      <c r="C16" s="45">
        <v>0.5469621509638265</v>
      </c>
      <c r="D16" s="45">
        <v>0.66998958848002454</v>
      </c>
      <c r="E16" s="45">
        <v>0.56577403395112769</v>
      </c>
      <c r="F16" s="45">
        <v>0.78895861308837711</v>
      </c>
      <c r="G16" s="45">
        <v>0.6400280802354168</v>
      </c>
      <c r="H16" s="45">
        <v>0.61274026102531165</v>
      </c>
      <c r="I16" s="45">
        <v>0.59946732255462865</v>
      </c>
      <c r="J16" s="45">
        <v>0.70909027807737202</v>
      </c>
      <c r="K16" s="45">
        <v>0.70854676416512996</v>
      </c>
      <c r="L16" s="45">
        <v>0.818542446285207</v>
      </c>
      <c r="M16" s="45">
        <v>0.63253553348726155</v>
      </c>
      <c r="N16" s="45">
        <v>0.76574523485064727</v>
      </c>
      <c r="O16" s="45">
        <v>0.7321890514859295</v>
      </c>
      <c r="P16" s="45">
        <v>1</v>
      </c>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row>
    <row r="17" spans="1:46">
      <c r="A17" s="49" t="s">
        <v>51</v>
      </c>
      <c r="B17" s="51">
        <v>0.4987104545039423</v>
      </c>
      <c r="C17" s="51">
        <v>0.49652501701864726</v>
      </c>
      <c r="D17" s="45">
        <v>0.64417456148467489</v>
      </c>
      <c r="E17" s="45">
        <v>0.59297153678020287</v>
      </c>
      <c r="F17" s="45">
        <v>0.66302198938249279</v>
      </c>
      <c r="G17" s="45">
        <v>0.76914012601507753</v>
      </c>
      <c r="H17" s="45">
        <v>0.53660199078940707</v>
      </c>
      <c r="I17" s="45">
        <v>0.82384085750381786</v>
      </c>
      <c r="J17" s="45">
        <v>0.79940953422438799</v>
      </c>
      <c r="K17" s="45">
        <v>0.66011765583028759</v>
      </c>
      <c r="L17" s="45">
        <v>0.70913747529821314</v>
      </c>
      <c r="M17" s="51">
        <v>0.47669179781282173</v>
      </c>
      <c r="N17" s="45">
        <v>0.56289880987688534</v>
      </c>
      <c r="O17" s="45">
        <v>0.58593094428815284</v>
      </c>
      <c r="P17" s="45">
        <v>0.62974565023824491</v>
      </c>
      <c r="Q17" s="45">
        <v>1</v>
      </c>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row>
    <row r="18" spans="1:46">
      <c r="A18" s="49" t="s">
        <v>28</v>
      </c>
      <c r="B18" s="51">
        <v>0.44212811609696423</v>
      </c>
      <c r="C18" s="45">
        <v>0.56725473224109213</v>
      </c>
      <c r="D18" s="45">
        <v>0.57794848130072973</v>
      </c>
      <c r="E18" s="45">
        <v>0.52682440855151724</v>
      </c>
      <c r="F18" s="45">
        <v>0.59976149505251841</v>
      </c>
      <c r="G18" s="45">
        <v>0.56081978559251611</v>
      </c>
      <c r="H18" s="45">
        <v>0.50307649848396008</v>
      </c>
      <c r="I18" s="45">
        <v>0.58848485244687854</v>
      </c>
      <c r="J18" s="45">
        <v>0.60180732964511008</v>
      </c>
      <c r="K18" s="45">
        <v>0.54247603738784211</v>
      </c>
      <c r="L18" s="45">
        <v>0.67511703662092948</v>
      </c>
      <c r="M18" s="45">
        <v>0.57673721762657248</v>
      </c>
      <c r="N18" s="45">
        <v>0.58431612893437035</v>
      </c>
      <c r="O18" s="45">
        <v>0.66296848223401528</v>
      </c>
      <c r="P18" s="45">
        <v>0.64839740297910275</v>
      </c>
      <c r="Q18" s="45">
        <v>0.60002805406143589</v>
      </c>
      <c r="R18" s="45">
        <v>1</v>
      </c>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row>
    <row r="19" spans="1:46">
      <c r="A19" s="49" t="s">
        <v>26</v>
      </c>
      <c r="B19" s="51">
        <v>0.45473369639210492</v>
      </c>
      <c r="C19" s="51">
        <v>0.34339661936654731</v>
      </c>
      <c r="D19" s="51">
        <v>0.47996868162408041</v>
      </c>
      <c r="E19" s="51">
        <v>0.39215112458686763</v>
      </c>
      <c r="F19" s="45">
        <v>0.60248024814401457</v>
      </c>
      <c r="G19" s="45">
        <v>0.55161252134707228</v>
      </c>
      <c r="H19" s="45">
        <v>0.57076883197872574</v>
      </c>
      <c r="I19" s="51">
        <v>0.48097601858136679</v>
      </c>
      <c r="J19" s="45">
        <v>0.5469349517733979</v>
      </c>
      <c r="K19" s="45">
        <v>0.53168210471578181</v>
      </c>
      <c r="L19" s="45">
        <v>0.60023321273910235</v>
      </c>
      <c r="M19" s="51">
        <v>0.42678079092588517</v>
      </c>
      <c r="N19" s="51">
        <v>0.47882492113223152</v>
      </c>
      <c r="O19" s="51">
        <v>0.47639053644990659</v>
      </c>
      <c r="P19" s="45">
        <v>0.59838380996565987</v>
      </c>
      <c r="Q19" s="51">
        <v>0.46503225209728277</v>
      </c>
      <c r="R19" s="51">
        <v>0.39826818009505749</v>
      </c>
      <c r="S19" s="45">
        <v>1</v>
      </c>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row>
    <row r="20" spans="1:46">
      <c r="A20" s="49" t="s">
        <v>18</v>
      </c>
      <c r="B20" s="45">
        <v>0.63379857348341395</v>
      </c>
      <c r="C20" s="45">
        <v>0.62670182660785012</v>
      </c>
      <c r="D20" s="45">
        <v>0.65785732368108352</v>
      </c>
      <c r="E20" s="45">
        <v>0.61491818509218577</v>
      </c>
      <c r="F20" s="45">
        <v>0.78997166203222102</v>
      </c>
      <c r="G20" s="45">
        <v>0.72988048155646845</v>
      </c>
      <c r="H20" s="45">
        <v>0.60977428890692009</v>
      </c>
      <c r="I20" s="45">
        <v>0.7127152348871526</v>
      </c>
      <c r="J20" s="45">
        <v>0.75611877987388543</v>
      </c>
      <c r="K20" s="45">
        <v>0.70224508960682541</v>
      </c>
      <c r="L20" s="45">
        <v>0.83582727633997533</v>
      </c>
      <c r="M20" s="45">
        <v>0.59977133085721557</v>
      </c>
      <c r="N20" s="45">
        <v>0.7164003804520449</v>
      </c>
      <c r="O20" s="45">
        <v>0.66197805073212435</v>
      </c>
      <c r="P20" s="45">
        <v>0.76847347924356657</v>
      </c>
      <c r="Q20" s="45">
        <v>0.72309033526859423</v>
      </c>
      <c r="R20" s="45">
        <v>0.66317081800821454</v>
      </c>
      <c r="S20" s="45">
        <v>0.57122971191556282</v>
      </c>
      <c r="T20" s="45">
        <v>1</v>
      </c>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row>
    <row r="21" spans="1:46">
      <c r="A21" s="49" t="s">
        <v>20</v>
      </c>
      <c r="B21" s="45">
        <v>0.55663941887023682</v>
      </c>
      <c r="C21" s="45">
        <v>0.57434766248424551</v>
      </c>
      <c r="D21" s="45">
        <v>0.6632968330832425</v>
      </c>
      <c r="E21" s="45">
        <v>0.59964577401488361</v>
      </c>
      <c r="F21" s="45">
        <v>0.71324584240084132</v>
      </c>
      <c r="G21" s="45">
        <v>0.6251959045508465</v>
      </c>
      <c r="H21" s="45">
        <v>0.56844996794581248</v>
      </c>
      <c r="I21" s="45">
        <v>0.64574916222970191</v>
      </c>
      <c r="J21" s="45">
        <v>0.73692057027303903</v>
      </c>
      <c r="K21" s="45">
        <v>0.7230469337092128</v>
      </c>
      <c r="L21" s="45">
        <v>0.76843058270977138</v>
      </c>
      <c r="M21" s="45">
        <v>0.55070592283230257</v>
      </c>
      <c r="N21" s="45">
        <v>0.69835191752116554</v>
      </c>
      <c r="O21" s="45">
        <v>0.70138435163807566</v>
      </c>
      <c r="P21" s="45">
        <v>0.77235626623729114</v>
      </c>
      <c r="Q21" s="45">
        <v>0.64815804891658546</v>
      </c>
      <c r="R21" s="45">
        <v>0.72028309180788941</v>
      </c>
      <c r="S21" s="45">
        <v>0.51280392828447019</v>
      </c>
      <c r="T21" s="45">
        <v>0.75308920757906028</v>
      </c>
      <c r="U21" s="45">
        <v>1</v>
      </c>
      <c r="V21" s="45"/>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row>
    <row r="22" spans="1:46">
      <c r="A22" s="49" t="s">
        <v>45</v>
      </c>
      <c r="B22" s="51">
        <v>0.46446224228193383</v>
      </c>
      <c r="C22" s="51">
        <v>0.46067138125775847</v>
      </c>
      <c r="D22" s="45">
        <v>0.54968522071821513</v>
      </c>
      <c r="E22" s="45">
        <v>0.53097321889788263</v>
      </c>
      <c r="F22" s="45">
        <v>0.60013159356589296</v>
      </c>
      <c r="G22" s="45">
        <v>0.52273698894652332</v>
      </c>
      <c r="H22" s="51">
        <v>0.43441341181580795</v>
      </c>
      <c r="I22" s="45">
        <v>0.50770260895994701</v>
      </c>
      <c r="J22" s="45">
        <v>0.61398155410730837</v>
      </c>
      <c r="K22" s="45">
        <v>0.59085792903853651</v>
      </c>
      <c r="L22" s="45">
        <v>0.72038788511098273</v>
      </c>
      <c r="M22" s="51">
        <v>0.47436809851623696</v>
      </c>
      <c r="N22" s="45">
        <v>0.60357722399015556</v>
      </c>
      <c r="O22" s="45">
        <v>0.64146462496985202</v>
      </c>
      <c r="P22" s="45">
        <v>0.67366597667310268</v>
      </c>
      <c r="Q22" s="45">
        <v>0.60767361821067345</v>
      </c>
      <c r="R22" s="45">
        <v>0.53461157454612152</v>
      </c>
      <c r="S22" s="51">
        <v>0.40794620572622842</v>
      </c>
      <c r="T22" s="45">
        <v>0.67813141463566429</v>
      </c>
      <c r="U22" s="45">
        <v>0.6609542438731526</v>
      </c>
      <c r="V22" s="45">
        <v>1</v>
      </c>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row>
    <row r="23" spans="1:46">
      <c r="A23" s="49" t="s">
        <v>22</v>
      </c>
      <c r="B23" s="45">
        <v>0.54308467930907844</v>
      </c>
      <c r="C23" s="51">
        <v>0.4716691658811612</v>
      </c>
      <c r="D23" s="45">
        <v>0.58564086388738257</v>
      </c>
      <c r="E23" s="51">
        <v>0.44989181066688899</v>
      </c>
      <c r="F23" s="45">
        <v>0.71952101815537484</v>
      </c>
      <c r="G23" s="45">
        <v>0.65834372544994624</v>
      </c>
      <c r="H23" s="45">
        <v>0.62743542610345404</v>
      </c>
      <c r="I23" s="45">
        <v>0.66261553671090145</v>
      </c>
      <c r="J23" s="45">
        <v>0.62992963814912928</v>
      </c>
      <c r="K23" s="45">
        <v>0.63136354498962732</v>
      </c>
      <c r="L23" s="45">
        <v>0.6720737547985931</v>
      </c>
      <c r="M23" s="51">
        <v>0.48071818508287423</v>
      </c>
      <c r="N23" s="45">
        <v>0.53226093744765235</v>
      </c>
      <c r="O23" s="51">
        <v>0.45724740654213025</v>
      </c>
      <c r="P23" s="45">
        <v>0.69215100866532753</v>
      </c>
      <c r="Q23" s="45">
        <v>0.61413273997749851</v>
      </c>
      <c r="R23" s="51">
        <v>0.45956908249452738</v>
      </c>
      <c r="S23" s="45">
        <v>0.50413006238561886</v>
      </c>
      <c r="T23" s="45">
        <v>0.63385634971681259</v>
      </c>
      <c r="U23" s="45">
        <v>0.6192880033946796</v>
      </c>
      <c r="V23" s="51">
        <v>0.46682215899751262</v>
      </c>
      <c r="W23" s="45">
        <v>1</v>
      </c>
      <c r="X23" s="51"/>
      <c r="Y23" s="51"/>
      <c r="Z23" s="51"/>
      <c r="AA23" s="51"/>
      <c r="AB23" s="51"/>
      <c r="AC23" s="51"/>
      <c r="AD23" s="51"/>
      <c r="AE23" s="51"/>
      <c r="AF23" s="51"/>
      <c r="AG23" s="51"/>
      <c r="AH23" s="51"/>
      <c r="AI23" s="51"/>
      <c r="AJ23" s="51"/>
      <c r="AK23" s="51"/>
      <c r="AL23" s="51"/>
      <c r="AM23" s="51"/>
      <c r="AN23" s="51"/>
      <c r="AO23" s="51"/>
      <c r="AP23" s="51"/>
      <c r="AQ23" s="51"/>
      <c r="AR23" s="51"/>
      <c r="AS23" s="51"/>
      <c r="AT23" s="51"/>
    </row>
    <row r="24" spans="1:46">
      <c r="A24" s="49" t="s">
        <v>65</v>
      </c>
      <c r="B24" s="51">
        <v>0.48224056282872452</v>
      </c>
      <c r="C24" s="51">
        <v>0.45163984537141172</v>
      </c>
      <c r="D24" s="45">
        <v>0.53022962047088651</v>
      </c>
      <c r="E24" s="51">
        <v>0.48383423577206502</v>
      </c>
      <c r="F24" s="45">
        <v>0.68191817490965323</v>
      </c>
      <c r="G24" s="45">
        <v>0.59947953569584245</v>
      </c>
      <c r="H24" s="45">
        <v>0.59627947872660203</v>
      </c>
      <c r="I24" s="45">
        <v>0.63051553259891524</v>
      </c>
      <c r="J24" s="45">
        <v>0.63793058304276706</v>
      </c>
      <c r="K24" s="45">
        <v>0.63270695540200017</v>
      </c>
      <c r="L24" s="45">
        <v>0.68866214594212372</v>
      </c>
      <c r="M24" s="45">
        <v>0.5505549457006732</v>
      </c>
      <c r="N24" s="45">
        <v>0.56754809149709495</v>
      </c>
      <c r="O24" s="45">
        <v>0.59404913725314812</v>
      </c>
      <c r="P24" s="45">
        <v>0.71779129614690462</v>
      </c>
      <c r="Q24" s="45">
        <v>0.60865344570698099</v>
      </c>
      <c r="R24" s="45">
        <v>0.53074234434996159</v>
      </c>
      <c r="S24" s="51">
        <v>0.49914578500997603</v>
      </c>
      <c r="T24" s="45">
        <v>0.64672516569586658</v>
      </c>
      <c r="U24" s="45">
        <v>0.64348150006165217</v>
      </c>
      <c r="V24" s="45">
        <v>0.57214250379045739</v>
      </c>
      <c r="W24" s="45">
        <v>0.66806031467654914</v>
      </c>
      <c r="X24" s="45">
        <v>1</v>
      </c>
      <c r="Y24" s="51"/>
      <c r="Z24" s="51"/>
      <c r="AA24" s="51"/>
      <c r="AB24" s="51"/>
      <c r="AC24" s="51"/>
      <c r="AD24" s="51"/>
      <c r="AE24" s="51"/>
      <c r="AF24" s="51"/>
      <c r="AG24" s="51"/>
      <c r="AH24" s="51"/>
      <c r="AI24" s="51"/>
      <c r="AJ24" s="51"/>
      <c r="AK24" s="51"/>
      <c r="AL24" s="51"/>
      <c r="AM24" s="51"/>
      <c r="AN24" s="51"/>
      <c r="AO24" s="51"/>
      <c r="AP24" s="51"/>
      <c r="AQ24" s="51"/>
      <c r="AR24" s="51"/>
      <c r="AS24" s="51"/>
      <c r="AT24" s="51"/>
    </row>
    <row r="25" spans="1:46">
      <c r="A25" s="49" t="s">
        <v>31</v>
      </c>
      <c r="B25" s="45">
        <v>0.52035541743419689</v>
      </c>
      <c r="C25" s="45">
        <v>0.54725609545859077</v>
      </c>
      <c r="D25" s="45">
        <v>0.68025189213039183</v>
      </c>
      <c r="E25" s="45">
        <v>0.60444823953150961</v>
      </c>
      <c r="F25" s="45">
        <v>0.74456802400169519</v>
      </c>
      <c r="G25" s="45">
        <v>0.6861159749374931</v>
      </c>
      <c r="H25" s="45">
        <v>0.62702566945877458</v>
      </c>
      <c r="I25" s="45">
        <v>0.71859026624351607</v>
      </c>
      <c r="J25" s="45">
        <v>0.77350024662320727</v>
      </c>
      <c r="K25" s="45">
        <v>0.74761155708753591</v>
      </c>
      <c r="L25" s="45">
        <v>0.80067167162236952</v>
      </c>
      <c r="M25" s="45">
        <v>0.60419849861084984</v>
      </c>
      <c r="N25" s="45">
        <v>0.68986681367693703</v>
      </c>
      <c r="O25" s="45">
        <v>0.67839480126270335</v>
      </c>
      <c r="P25" s="45">
        <v>0.76047049272549172</v>
      </c>
      <c r="Q25" s="45">
        <v>0.75018134639873735</v>
      </c>
      <c r="R25" s="45">
        <v>0.64400995852926268</v>
      </c>
      <c r="S25" s="45">
        <v>0.55490457920440617</v>
      </c>
      <c r="T25" s="45">
        <v>0.78080547646321241</v>
      </c>
      <c r="U25" s="45">
        <v>0.73920123381728975</v>
      </c>
      <c r="V25" s="45">
        <v>0.6540584137091161</v>
      </c>
      <c r="W25" s="45">
        <v>0.6713190832940521</v>
      </c>
      <c r="X25" s="45">
        <v>0.67436392593442274</v>
      </c>
      <c r="Y25" s="45">
        <v>1</v>
      </c>
      <c r="Z25" s="51"/>
      <c r="AA25" s="51"/>
      <c r="AB25" s="51"/>
      <c r="AC25" s="51"/>
      <c r="AD25" s="51"/>
      <c r="AE25" s="51"/>
      <c r="AF25" s="51"/>
      <c r="AG25" s="51"/>
      <c r="AH25" s="51"/>
      <c r="AI25" s="51"/>
      <c r="AJ25" s="51"/>
      <c r="AK25" s="51"/>
      <c r="AL25" s="51"/>
      <c r="AM25" s="51"/>
      <c r="AN25" s="51"/>
      <c r="AO25" s="51"/>
      <c r="AP25" s="51"/>
      <c r="AQ25" s="51"/>
      <c r="AR25" s="51"/>
      <c r="AS25" s="51"/>
      <c r="AT25" s="51"/>
    </row>
    <row r="26" spans="1:46">
      <c r="A26" s="49" t="s">
        <v>85</v>
      </c>
      <c r="B26" s="45">
        <v>0.51653196063974371</v>
      </c>
      <c r="C26" s="51">
        <v>0.43710534893274167</v>
      </c>
      <c r="D26" s="51">
        <v>0.49327570555795575</v>
      </c>
      <c r="E26" s="51">
        <v>0.4221073155271744</v>
      </c>
      <c r="F26" s="45">
        <v>0.5565080676627403</v>
      </c>
      <c r="G26" s="51">
        <v>0.48866278280296771</v>
      </c>
      <c r="H26" s="51">
        <v>0.4656381880732075</v>
      </c>
      <c r="I26" s="51">
        <v>0.48526555619746903</v>
      </c>
      <c r="J26" s="51">
        <v>0.4704039534260363</v>
      </c>
      <c r="K26" s="51">
        <v>0.42496810556014913</v>
      </c>
      <c r="L26" s="45">
        <v>0.616636895866715</v>
      </c>
      <c r="M26" s="45">
        <v>0.54180242485637398</v>
      </c>
      <c r="N26" s="51">
        <v>0.47641053686629625</v>
      </c>
      <c r="O26" s="51">
        <v>0.47897429792070867</v>
      </c>
      <c r="P26" s="45">
        <v>0.54565008289713068</v>
      </c>
      <c r="Q26" s="51">
        <v>0.48461033099610668</v>
      </c>
      <c r="R26" s="51">
        <v>0.4684485978199846</v>
      </c>
      <c r="S26" s="51">
        <v>0.32626402058540349</v>
      </c>
      <c r="T26" s="45">
        <v>0.60158340784015207</v>
      </c>
      <c r="U26" s="51">
        <v>0.45081411920021286</v>
      </c>
      <c r="V26" s="45">
        <v>0.51444973075196576</v>
      </c>
      <c r="W26" s="51">
        <v>0.46675522748677228</v>
      </c>
      <c r="X26" s="45">
        <v>0.52182312628526017</v>
      </c>
      <c r="Y26" s="45">
        <v>0.51603310533131197</v>
      </c>
      <c r="Z26" s="45">
        <v>1</v>
      </c>
      <c r="AA26" s="51"/>
      <c r="AB26" s="51"/>
      <c r="AC26" s="51"/>
      <c r="AD26" s="51"/>
      <c r="AE26" s="51"/>
      <c r="AF26" s="51"/>
      <c r="AG26" s="51"/>
      <c r="AH26" s="51"/>
      <c r="AI26" s="51"/>
      <c r="AJ26" s="51"/>
      <c r="AK26" s="51"/>
      <c r="AL26" s="51"/>
      <c r="AM26" s="51"/>
      <c r="AN26" s="51"/>
      <c r="AO26" s="51"/>
      <c r="AP26" s="51"/>
      <c r="AQ26" s="51"/>
      <c r="AR26" s="51"/>
      <c r="AS26" s="51"/>
      <c r="AT26" s="51"/>
    </row>
    <row r="27" spans="1:46">
      <c r="A27" s="49" t="s">
        <v>55</v>
      </c>
      <c r="B27" s="51">
        <v>0.47867672750313084</v>
      </c>
      <c r="C27" s="51">
        <v>0.36606807539131125</v>
      </c>
      <c r="D27" s="45">
        <v>0.55823442683915381</v>
      </c>
      <c r="E27" s="51">
        <v>0.39224387267018379</v>
      </c>
      <c r="F27" s="45">
        <v>0.61346431963486614</v>
      </c>
      <c r="G27" s="51">
        <v>0.48712437168335659</v>
      </c>
      <c r="H27" s="45">
        <v>0.5402666902189257</v>
      </c>
      <c r="I27" s="45">
        <v>0.54028344943303397</v>
      </c>
      <c r="J27" s="45">
        <v>0.61401903302437677</v>
      </c>
      <c r="K27" s="45">
        <v>0.52892705090662251</v>
      </c>
      <c r="L27" s="45">
        <v>0.6080135483033029</v>
      </c>
      <c r="M27" s="51">
        <v>0.44605183962563616</v>
      </c>
      <c r="N27" s="45">
        <v>0.52798057245310537</v>
      </c>
      <c r="O27" s="51">
        <v>0.41497915535535929</v>
      </c>
      <c r="P27" s="45">
        <v>0.60418763038505829</v>
      </c>
      <c r="Q27" s="45">
        <v>0.50014176345824013</v>
      </c>
      <c r="R27" s="51">
        <v>0.38360583025599404</v>
      </c>
      <c r="S27" s="51">
        <v>0.39200718009948438</v>
      </c>
      <c r="T27" s="45">
        <v>0.59328796594314803</v>
      </c>
      <c r="U27" s="45">
        <v>0.56408439140195799</v>
      </c>
      <c r="V27" s="51">
        <v>0.43540112992606889</v>
      </c>
      <c r="W27" s="45">
        <v>0.61450150762029931</v>
      </c>
      <c r="X27" s="45">
        <v>0.53223129532422853</v>
      </c>
      <c r="Y27" s="45">
        <v>0.54601866187481463</v>
      </c>
      <c r="Z27" s="51">
        <v>0.48558669450558145</v>
      </c>
      <c r="AA27" s="45">
        <v>1</v>
      </c>
      <c r="AB27" s="51"/>
      <c r="AC27" s="51"/>
      <c r="AD27" s="51"/>
      <c r="AE27" s="51"/>
      <c r="AF27" s="51"/>
      <c r="AG27" s="51"/>
      <c r="AH27" s="51"/>
      <c r="AI27" s="51"/>
      <c r="AJ27" s="51"/>
      <c r="AK27" s="51"/>
      <c r="AL27" s="51"/>
      <c r="AM27" s="51"/>
      <c r="AN27" s="51"/>
      <c r="AO27" s="51"/>
      <c r="AP27" s="51"/>
      <c r="AQ27" s="51"/>
      <c r="AR27" s="51"/>
      <c r="AS27" s="51"/>
      <c r="AT27" s="51"/>
    </row>
    <row r="28" spans="1:46">
      <c r="A28" s="49" t="s">
        <v>10</v>
      </c>
      <c r="B28" s="51">
        <v>0.35508455735764555</v>
      </c>
      <c r="C28" s="51">
        <v>0.31596138505492155</v>
      </c>
      <c r="D28" s="51">
        <v>0.41988462562595419</v>
      </c>
      <c r="E28" s="45">
        <v>0.51254120972747241</v>
      </c>
      <c r="F28" s="51">
        <v>0.47237217579005569</v>
      </c>
      <c r="G28" s="45">
        <v>0.52589032929003532</v>
      </c>
      <c r="H28" s="51">
        <v>0.3904555696321439</v>
      </c>
      <c r="I28" s="45">
        <v>0.54340553966631178</v>
      </c>
      <c r="J28" s="51">
        <v>0.49656315866792367</v>
      </c>
      <c r="K28" s="45">
        <v>0.51614603955294902</v>
      </c>
      <c r="L28" s="51">
        <v>0.47226410869247226</v>
      </c>
      <c r="M28" s="51">
        <v>0.29278927953478578</v>
      </c>
      <c r="N28" s="51">
        <v>0.43585381310321619</v>
      </c>
      <c r="O28" s="51">
        <v>0.35187309795098315</v>
      </c>
      <c r="P28" s="51">
        <v>0.4682444449965309</v>
      </c>
      <c r="Q28" s="45">
        <v>0.50736272275133421</v>
      </c>
      <c r="R28" s="51">
        <v>0.41139164360725028</v>
      </c>
      <c r="S28" s="51">
        <v>0.40742960959185759</v>
      </c>
      <c r="T28" s="45">
        <v>0.56288785774301531</v>
      </c>
      <c r="U28" s="51">
        <v>0.46902748357387342</v>
      </c>
      <c r="V28" s="51">
        <v>0.42793938773905443</v>
      </c>
      <c r="W28" s="51">
        <v>0.41472340063857915</v>
      </c>
      <c r="X28" s="51">
        <v>0.4250092069914907</v>
      </c>
      <c r="Y28" s="51">
        <v>0.44345193101832625</v>
      </c>
      <c r="Z28" s="51">
        <v>0.43369177454591884</v>
      </c>
      <c r="AA28" s="51">
        <v>0.43258231534773789</v>
      </c>
      <c r="AB28" s="45">
        <v>1</v>
      </c>
      <c r="AC28" s="51"/>
      <c r="AD28" s="51"/>
      <c r="AE28" s="51"/>
      <c r="AF28" s="51"/>
      <c r="AG28" s="51"/>
      <c r="AH28" s="51"/>
      <c r="AI28" s="51"/>
      <c r="AJ28" s="51"/>
      <c r="AK28" s="51"/>
      <c r="AL28" s="51"/>
      <c r="AM28" s="51"/>
      <c r="AN28" s="51"/>
      <c r="AO28" s="51"/>
      <c r="AP28" s="51"/>
      <c r="AQ28" s="51"/>
      <c r="AR28" s="51"/>
      <c r="AS28" s="51"/>
      <c r="AT28" s="51"/>
    </row>
    <row r="29" spans="1:46">
      <c r="A29" s="49" t="s">
        <v>71</v>
      </c>
      <c r="B29" s="51">
        <v>0.3157858985500766</v>
      </c>
      <c r="C29" s="51">
        <v>0.3217853863470736</v>
      </c>
      <c r="D29" s="51">
        <v>0.49963737819025894</v>
      </c>
      <c r="E29" s="51">
        <v>0.2740712623168608</v>
      </c>
      <c r="F29" s="51">
        <v>0.2673422322483075</v>
      </c>
      <c r="G29" s="51">
        <v>0.22542869385478653</v>
      </c>
      <c r="H29" s="51">
        <v>0.25607002281720698</v>
      </c>
      <c r="I29" s="51">
        <v>0.29347619243526352</v>
      </c>
      <c r="J29" s="51">
        <v>0.42681742876912171</v>
      </c>
      <c r="K29" s="51">
        <v>0.40441152496977556</v>
      </c>
      <c r="L29" s="51">
        <v>0.31264740729517643</v>
      </c>
      <c r="M29" s="51">
        <v>0.19775874765098475</v>
      </c>
      <c r="N29" s="51">
        <v>0.31228398397182761</v>
      </c>
      <c r="O29" s="51">
        <v>0.27690719392539992</v>
      </c>
      <c r="P29" s="51">
        <v>0.37208946054793729</v>
      </c>
      <c r="Q29" s="51">
        <v>0.32955005651613017</v>
      </c>
      <c r="R29" s="51">
        <v>0.31838211519194032</v>
      </c>
      <c r="S29" s="51">
        <v>0.18954647982912179</v>
      </c>
      <c r="T29" s="51">
        <v>0.29067683347973522</v>
      </c>
      <c r="U29" s="51">
        <v>0.3903661133568137</v>
      </c>
      <c r="V29" s="51">
        <v>0.34892945990417434</v>
      </c>
      <c r="W29" s="51">
        <v>0.3248601382923742</v>
      </c>
      <c r="X29" s="51">
        <v>0.2892711796882681</v>
      </c>
      <c r="Y29" s="51">
        <v>0.35117457825222614</v>
      </c>
      <c r="Z29" s="51">
        <v>0.17729228414853077</v>
      </c>
      <c r="AA29" s="51">
        <v>0.35995090157701798</v>
      </c>
      <c r="AB29" s="51">
        <v>0.16980998578317499</v>
      </c>
      <c r="AC29" s="45">
        <v>1</v>
      </c>
      <c r="AD29" s="51"/>
      <c r="AE29" s="51"/>
      <c r="AF29" s="51"/>
      <c r="AG29" s="51"/>
      <c r="AH29" s="51"/>
      <c r="AI29" s="51"/>
      <c r="AJ29" s="51"/>
      <c r="AK29" s="51"/>
      <c r="AL29" s="51"/>
      <c r="AM29" s="51"/>
      <c r="AN29" s="51"/>
      <c r="AO29" s="51"/>
      <c r="AP29" s="51"/>
      <c r="AQ29" s="51"/>
      <c r="AR29" s="51"/>
      <c r="AS29" s="51"/>
      <c r="AT29" s="51"/>
    </row>
    <row r="30" spans="1:46">
      <c r="A30" s="49" t="s">
        <v>57</v>
      </c>
      <c r="B30" s="45">
        <v>0.51257343383625387</v>
      </c>
      <c r="C30" s="45">
        <v>0.64812613508995232</v>
      </c>
      <c r="D30" s="45">
        <v>0.52891764258706087</v>
      </c>
      <c r="E30" s="51">
        <v>0.48632953854649003</v>
      </c>
      <c r="F30" s="45">
        <v>0.71948788555841658</v>
      </c>
      <c r="G30" s="45">
        <v>0.5471569118580073</v>
      </c>
      <c r="H30" s="45">
        <v>0.57158568801541076</v>
      </c>
      <c r="I30" s="45">
        <v>0.52851686299645217</v>
      </c>
      <c r="J30" s="45">
        <v>0.56704898072042664</v>
      </c>
      <c r="K30" s="45">
        <v>0.55659333948482592</v>
      </c>
      <c r="L30" s="45">
        <v>0.7664087873720894</v>
      </c>
      <c r="M30" s="45">
        <v>0.72449016694103008</v>
      </c>
      <c r="N30" s="45">
        <v>0.66679156481568147</v>
      </c>
      <c r="O30" s="45">
        <v>0.6996776892592258</v>
      </c>
      <c r="P30" s="45">
        <v>0.71750534792957654</v>
      </c>
      <c r="Q30" s="45">
        <v>0.50748693122070909</v>
      </c>
      <c r="R30" s="45">
        <v>0.66651691862341655</v>
      </c>
      <c r="S30" s="51">
        <v>0.44413447716695992</v>
      </c>
      <c r="T30" s="45">
        <v>0.74616761364580864</v>
      </c>
      <c r="U30" s="45">
        <v>0.64637984578903429</v>
      </c>
      <c r="V30" s="45">
        <v>0.53976033234837251</v>
      </c>
      <c r="W30" s="45">
        <v>0.5016136695984551</v>
      </c>
      <c r="X30" s="45">
        <v>0.56583619336262381</v>
      </c>
      <c r="Y30" s="45">
        <v>0.64777066263521632</v>
      </c>
      <c r="Z30" s="45">
        <v>0.52794711725784138</v>
      </c>
      <c r="AA30" s="51">
        <v>0.49128713635570881</v>
      </c>
      <c r="AB30" s="51">
        <v>0.37902863339239062</v>
      </c>
      <c r="AC30" s="51">
        <v>0.24031365206657077</v>
      </c>
      <c r="AD30" s="45">
        <v>1</v>
      </c>
      <c r="AE30" s="51"/>
      <c r="AF30" s="51"/>
      <c r="AG30" s="51"/>
      <c r="AH30" s="51"/>
      <c r="AI30" s="51"/>
      <c r="AJ30" s="51"/>
      <c r="AK30" s="51"/>
      <c r="AL30" s="51"/>
      <c r="AM30" s="51"/>
      <c r="AN30" s="51"/>
      <c r="AO30" s="51"/>
      <c r="AP30" s="51"/>
      <c r="AQ30" s="51"/>
      <c r="AR30" s="51"/>
      <c r="AS30" s="51"/>
      <c r="AT30" s="51"/>
    </row>
    <row r="31" spans="1:46">
      <c r="A31" s="49" t="s">
        <v>81</v>
      </c>
      <c r="B31" s="51">
        <v>0.49729090796226694</v>
      </c>
      <c r="C31" s="45">
        <v>0.54782653177299923</v>
      </c>
      <c r="D31" s="45">
        <v>0.54965408195358811</v>
      </c>
      <c r="E31" s="51">
        <v>0.45378190332879353</v>
      </c>
      <c r="F31" s="45">
        <v>0.61739530980586976</v>
      </c>
      <c r="G31" s="51">
        <v>0.490440400101115</v>
      </c>
      <c r="H31" s="51">
        <v>0.47498184185015119</v>
      </c>
      <c r="I31" s="51">
        <v>0.47329355649782301</v>
      </c>
      <c r="J31" s="45">
        <v>0.57283877861329502</v>
      </c>
      <c r="K31" s="45">
        <v>0.56851619488969984</v>
      </c>
      <c r="L31" s="45">
        <v>0.62080385512155456</v>
      </c>
      <c r="M31" s="45">
        <v>0.5195644132037367</v>
      </c>
      <c r="N31" s="45">
        <v>0.57785571300679872</v>
      </c>
      <c r="O31" s="45">
        <v>0.57357207660826559</v>
      </c>
      <c r="P31" s="45">
        <v>0.64342553552653825</v>
      </c>
      <c r="Q31" s="45">
        <v>0.51973884451206442</v>
      </c>
      <c r="R31" s="51">
        <v>0.47760909999261686</v>
      </c>
      <c r="S31" s="45">
        <v>0.55214563340185896</v>
      </c>
      <c r="T31" s="45">
        <v>0.61167316307321196</v>
      </c>
      <c r="U31" s="45">
        <v>0.57999448392616459</v>
      </c>
      <c r="V31" s="45">
        <v>0.50319617558165064</v>
      </c>
      <c r="W31" s="45">
        <v>0.51701638173479481</v>
      </c>
      <c r="X31" s="51">
        <v>0.4999062177259494</v>
      </c>
      <c r="Y31" s="45">
        <v>0.55093893704901897</v>
      </c>
      <c r="Z31" s="51">
        <v>0.4206940010518756</v>
      </c>
      <c r="AA31" s="51">
        <v>0.47505248794817495</v>
      </c>
      <c r="AB31" s="51">
        <v>0.3652467268876341</v>
      </c>
      <c r="AC31" s="51">
        <v>0.31001644883929041</v>
      </c>
      <c r="AD31" s="45">
        <v>0.55130472921886953</v>
      </c>
      <c r="AE31" s="45">
        <v>1</v>
      </c>
      <c r="AF31" s="51"/>
      <c r="AG31" s="51"/>
      <c r="AH31" s="51"/>
      <c r="AI31" s="51"/>
      <c r="AJ31" s="51"/>
      <c r="AK31" s="51"/>
      <c r="AL31" s="51"/>
      <c r="AM31" s="51"/>
      <c r="AN31" s="51"/>
      <c r="AO31" s="51"/>
      <c r="AP31" s="51"/>
      <c r="AQ31" s="51"/>
      <c r="AR31" s="51"/>
      <c r="AS31" s="51"/>
      <c r="AT31" s="51"/>
    </row>
    <row r="32" spans="1:46">
      <c r="A32" s="49" t="s">
        <v>33</v>
      </c>
      <c r="B32" s="51">
        <v>0.46371250164045025</v>
      </c>
      <c r="C32" s="45">
        <v>0.50072491701924038</v>
      </c>
      <c r="D32" s="45">
        <v>0.55171501841041304</v>
      </c>
      <c r="E32" s="45">
        <v>0.53204204803079447</v>
      </c>
      <c r="F32" s="45">
        <v>0.67307584020827249</v>
      </c>
      <c r="G32" s="45">
        <v>0.57771942035551216</v>
      </c>
      <c r="H32" s="51">
        <v>0.4865059182258199</v>
      </c>
      <c r="I32" s="45">
        <v>0.62209198214250894</v>
      </c>
      <c r="J32" s="45">
        <v>0.64855495755003112</v>
      </c>
      <c r="K32" s="45">
        <v>0.61567088698297046</v>
      </c>
      <c r="L32" s="45">
        <v>0.68059750465960567</v>
      </c>
      <c r="M32" s="51">
        <v>0.43380374082943152</v>
      </c>
      <c r="N32" s="45">
        <v>0.57710007435043564</v>
      </c>
      <c r="O32" s="45">
        <v>0.56197811940250486</v>
      </c>
      <c r="P32" s="45">
        <v>0.64852241523458609</v>
      </c>
      <c r="Q32" s="45">
        <v>0.63063744989292303</v>
      </c>
      <c r="R32" s="45">
        <v>0.57402942669427648</v>
      </c>
      <c r="S32" s="51">
        <v>0.36970008668208348</v>
      </c>
      <c r="T32" s="45">
        <v>0.72771741067168572</v>
      </c>
      <c r="U32" s="45">
        <v>0.68779426153527035</v>
      </c>
      <c r="V32" s="45">
        <v>0.651038532427205</v>
      </c>
      <c r="W32" s="45">
        <v>0.5773283972120804</v>
      </c>
      <c r="X32" s="45">
        <v>0.54557598992306533</v>
      </c>
      <c r="Y32" s="45">
        <v>0.6620995103311248</v>
      </c>
      <c r="Z32" s="51">
        <v>0.44779307349498376</v>
      </c>
      <c r="AA32" s="45">
        <v>0.57447803272244868</v>
      </c>
      <c r="AB32" s="45">
        <v>0.55232421229374273</v>
      </c>
      <c r="AC32" s="51">
        <v>0.32590321526546157</v>
      </c>
      <c r="AD32" s="45">
        <v>0.62476078761580667</v>
      </c>
      <c r="AE32" s="51">
        <v>0.44285405580763337</v>
      </c>
      <c r="AF32" s="45">
        <v>1</v>
      </c>
      <c r="AG32" s="51"/>
      <c r="AH32" s="51"/>
      <c r="AI32" s="51"/>
      <c r="AJ32" s="51"/>
      <c r="AK32" s="51"/>
      <c r="AL32" s="51"/>
      <c r="AM32" s="51"/>
      <c r="AN32" s="51"/>
      <c r="AO32" s="51"/>
      <c r="AP32" s="51"/>
      <c r="AQ32" s="51"/>
      <c r="AR32" s="51"/>
      <c r="AS32" s="51"/>
      <c r="AT32" s="51"/>
    </row>
    <row r="33" spans="1:46">
      <c r="A33" s="49" t="s">
        <v>53</v>
      </c>
      <c r="B33" s="51">
        <v>0.38660655587690046</v>
      </c>
      <c r="C33" s="51">
        <v>0.45607543712250082</v>
      </c>
      <c r="D33" s="51">
        <v>0.46995812075804966</v>
      </c>
      <c r="E33" s="45">
        <v>0.54564862116797852</v>
      </c>
      <c r="F33" s="45">
        <v>0.55996004163884572</v>
      </c>
      <c r="G33" s="45">
        <v>0.54313773469512849</v>
      </c>
      <c r="H33" s="45">
        <v>0.50077687671219495</v>
      </c>
      <c r="I33" s="45">
        <v>0.57910226358292627</v>
      </c>
      <c r="J33" s="45">
        <v>0.57482179220627172</v>
      </c>
      <c r="K33" s="51">
        <v>0.49697011566584881</v>
      </c>
      <c r="L33" s="45">
        <v>0.62072136033626502</v>
      </c>
      <c r="M33" s="51">
        <v>0.49619644978935351</v>
      </c>
      <c r="N33" s="45">
        <v>0.53217272195306053</v>
      </c>
      <c r="O33" s="45">
        <v>0.52284232456595714</v>
      </c>
      <c r="P33" s="45">
        <v>0.53683800548035543</v>
      </c>
      <c r="Q33" s="45">
        <v>0.61135899338517941</v>
      </c>
      <c r="R33" s="45">
        <v>0.55046201179549104</v>
      </c>
      <c r="S33" s="51">
        <v>0.32227024169401963</v>
      </c>
      <c r="T33" s="45">
        <v>0.63527828238036876</v>
      </c>
      <c r="U33" s="45">
        <v>0.60108699415002775</v>
      </c>
      <c r="V33" s="45">
        <v>0.50186378827015499</v>
      </c>
      <c r="W33" s="51">
        <v>0.45428888737143802</v>
      </c>
      <c r="X33" s="45">
        <v>0.50870532710087002</v>
      </c>
      <c r="Y33" s="45">
        <v>0.64436900166930167</v>
      </c>
      <c r="Z33" s="51">
        <v>0.4025940830929346</v>
      </c>
      <c r="AA33" s="51">
        <v>0.40236297354229345</v>
      </c>
      <c r="AB33" s="51">
        <v>0.33412903402881439</v>
      </c>
      <c r="AC33" s="51">
        <v>0.27512395632635445</v>
      </c>
      <c r="AD33" s="45">
        <v>0.5601940991354758</v>
      </c>
      <c r="AE33" s="51">
        <v>0.45747454765403817</v>
      </c>
      <c r="AF33" s="45">
        <v>0.52695503619604167</v>
      </c>
      <c r="AG33" s="45">
        <v>1</v>
      </c>
      <c r="AH33" s="51"/>
      <c r="AI33" s="51"/>
      <c r="AJ33" s="51"/>
      <c r="AK33" s="51"/>
      <c r="AL33" s="51"/>
      <c r="AM33" s="51"/>
      <c r="AN33" s="51"/>
      <c r="AO33" s="51"/>
      <c r="AP33" s="51"/>
      <c r="AQ33" s="51"/>
      <c r="AR33" s="51"/>
      <c r="AS33" s="51"/>
      <c r="AT33" s="51"/>
    </row>
    <row r="34" spans="1:46">
      <c r="A34" s="49" t="s">
        <v>73</v>
      </c>
      <c r="B34" s="51">
        <v>0.44252472534189713</v>
      </c>
      <c r="C34" s="51">
        <v>0.46246552297151106</v>
      </c>
      <c r="D34" s="51">
        <v>0.47327924833864343</v>
      </c>
      <c r="E34" s="51">
        <v>0.44095739258892513</v>
      </c>
      <c r="F34" s="45">
        <v>0.63452192760926485</v>
      </c>
      <c r="G34" s="45">
        <v>0.56653300287204211</v>
      </c>
      <c r="H34" s="51">
        <v>0.44435887376256317</v>
      </c>
      <c r="I34" s="45">
        <v>0.5372144140396059</v>
      </c>
      <c r="J34" s="45">
        <v>0.56075511885138341</v>
      </c>
      <c r="K34" s="51">
        <v>0.48793469145101381</v>
      </c>
      <c r="L34" s="45">
        <v>0.61889964113459572</v>
      </c>
      <c r="M34" s="45">
        <v>0.57606079262759491</v>
      </c>
      <c r="N34" s="45">
        <v>0.56580185887075818</v>
      </c>
      <c r="O34" s="45">
        <v>0.52193542999349174</v>
      </c>
      <c r="P34" s="45">
        <v>0.66420808043366286</v>
      </c>
      <c r="Q34" s="51">
        <v>0.47491307683461509</v>
      </c>
      <c r="R34" s="45">
        <v>0.54440195049913043</v>
      </c>
      <c r="S34" s="51">
        <v>0.3734361028110082</v>
      </c>
      <c r="T34" s="45">
        <v>0.64646728489925942</v>
      </c>
      <c r="U34" s="45">
        <v>0.588438313095767</v>
      </c>
      <c r="V34" s="51">
        <v>0.47452875434324354</v>
      </c>
      <c r="W34" s="51">
        <v>0.48769482876017883</v>
      </c>
      <c r="X34" s="45">
        <v>0.55589890711020196</v>
      </c>
      <c r="Y34" s="45">
        <v>0.57181315636029917</v>
      </c>
      <c r="Z34" s="51">
        <v>0.4911695925791903</v>
      </c>
      <c r="AA34" s="51">
        <v>0.47761592497645611</v>
      </c>
      <c r="AB34" s="51">
        <v>0.40947655383298842</v>
      </c>
      <c r="AC34" s="51">
        <v>0.10264051277027331</v>
      </c>
      <c r="AD34" s="45">
        <v>0.65312596546503443</v>
      </c>
      <c r="AE34" s="45">
        <v>0.53215977626058575</v>
      </c>
      <c r="AF34" s="45">
        <v>0.50422617048385843</v>
      </c>
      <c r="AG34" s="51">
        <v>0.43717409773844118</v>
      </c>
      <c r="AH34" s="45">
        <v>1</v>
      </c>
      <c r="AI34" s="51"/>
      <c r="AJ34" s="51"/>
      <c r="AK34" s="51"/>
      <c r="AL34" s="51"/>
      <c r="AM34" s="51"/>
      <c r="AN34" s="51"/>
      <c r="AO34" s="51"/>
      <c r="AP34" s="51"/>
      <c r="AQ34" s="51"/>
      <c r="AR34" s="51"/>
      <c r="AS34" s="51"/>
      <c r="AT34" s="51"/>
    </row>
    <row r="35" spans="1:46">
      <c r="A35" s="49" t="s">
        <v>59</v>
      </c>
      <c r="B35" s="51">
        <v>0.24196756053580362</v>
      </c>
      <c r="C35" s="51">
        <v>0.23739211234770635</v>
      </c>
      <c r="D35" s="51">
        <v>0.4008179294643987</v>
      </c>
      <c r="E35" s="51">
        <v>0.28807232807725808</v>
      </c>
      <c r="F35" s="51">
        <v>0.3320638127673099</v>
      </c>
      <c r="G35" s="51">
        <v>0.27856297413629261</v>
      </c>
      <c r="H35" s="51">
        <v>0.32867225616881052</v>
      </c>
      <c r="I35" s="51">
        <v>0.27563210552560347</v>
      </c>
      <c r="J35" s="51">
        <v>0.37419472632100181</v>
      </c>
      <c r="K35" s="51">
        <v>0.35939795624570803</v>
      </c>
      <c r="L35" s="51">
        <v>0.39456026391076154</v>
      </c>
      <c r="M35" s="51">
        <v>0.26386346308675013</v>
      </c>
      <c r="N35" s="51">
        <v>0.44536226216824698</v>
      </c>
      <c r="O35" s="51">
        <v>0.33240598996623022</v>
      </c>
      <c r="P35" s="51">
        <v>0.42536077226733221</v>
      </c>
      <c r="Q35" s="51">
        <v>0.26256791704841997</v>
      </c>
      <c r="R35" s="51">
        <v>0.28393358179878653</v>
      </c>
      <c r="S35" s="51">
        <v>0.17660904645299252</v>
      </c>
      <c r="T35" s="51">
        <v>0.36684402409163219</v>
      </c>
      <c r="U35" s="51">
        <v>0.41484367284635754</v>
      </c>
      <c r="V35" s="51">
        <v>0.36687279509971737</v>
      </c>
      <c r="W35" s="51">
        <v>0.27026835663813992</v>
      </c>
      <c r="X35" s="51">
        <v>0.34853168140116847</v>
      </c>
      <c r="Y35" s="51">
        <v>0.33595970309883744</v>
      </c>
      <c r="Z35" s="51">
        <v>0.3266621418600143</v>
      </c>
      <c r="AA35" s="51">
        <v>0.42019976626196831</v>
      </c>
      <c r="AB35" s="51">
        <v>0.33864060435203214</v>
      </c>
      <c r="AC35" s="51">
        <v>0.2965307422712718</v>
      </c>
      <c r="AD35" s="51">
        <v>0.29805482925340993</v>
      </c>
      <c r="AE35" s="51">
        <v>0.22942815191822852</v>
      </c>
      <c r="AF35" s="51">
        <v>0.42298045930468525</v>
      </c>
      <c r="AG35" s="51">
        <v>0.21090965840254902</v>
      </c>
      <c r="AH35" s="51">
        <v>0.22709680544408206</v>
      </c>
      <c r="AI35" s="45">
        <v>1</v>
      </c>
      <c r="AJ35" s="51"/>
      <c r="AK35" s="51"/>
      <c r="AL35" s="51"/>
      <c r="AM35" s="51"/>
      <c r="AN35" s="51"/>
      <c r="AO35" s="51"/>
      <c r="AP35" s="51"/>
      <c r="AQ35" s="51"/>
      <c r="AR35" s="51"/>
      <c r="AS35" s="51"/>
      <c r="AT35" s="51"/>
    </row>
    <row r="36" spans="1:46">
      <c r="A36" s="49" t="s">
        <v>91</v>
      </c>
      <c r="B36" s="51">
        <v>0.40688380411356118</v>
      </c>
      <c r="C36" s="51">
        <v>0.38882719315035236</v>
      </c>
      <c r="D36" s="51">
        <v>0.44055926386579075</v>
      </c>
      <c r="E36" s="51">
        <v>0.37545603393545446</v>
      </c>
      <c r="F36" s="51">
        <v>0.46024067326781909</v>
      </c>
      <c r="G36" s="45">
        <v>0.50295701057151065</v>
      </c>
      <c r="H36" s="51">
        <v>0.34344149768931814</v>
      </c>
      <c r="I36" s="51">
        <v>0.45551618588939524</v>
      </c>
      <c r="J36" s="45">
        <v>0.54748928034465594</v>
      </c>
      <c r="K36" s="51">
        <v>0.49097775718580045</v>
      </c>
      <c r="L36" s="51">
        <v>0.45610025711313201</v>
      </c>
      <c r="M36" s="51">
        <v>0.34321347919310552</v>
      </c>
      <c r="N36" s="51">
        <v>0.47438963572412285</v>
      </c>
      <c r="O36" s="51">
        <v>0.41152461318490829</v>
      </c>
      <c r="P36" s="45">
        <v>0.52369957893718821</v>
      </c>
      <c r="Q36" s="51">
        <v>0.45942077182224528</v>
      </c>
      <c r="R36" s="51">
        <v>0.42943963666344176</v>
      </c>
      <c r="S36" s="51">
        <v>0.35244013413871944</v>
      </c>
      <c r="T36" s="45">
        <v>0.55654274957837979</v>
      </c>
      <c r="U36" s="45">
        <v>0.53534481797508304</v>
      </c>
      <c r="V36" s="51">
        <v>0.39342836224538802</v>
      </c>
      <c r="W36" s="51">
        <v>0.48448890738082889</v>
      </c>
      <c r="X36" s="51">
        <v>0.4424944159423333</v>
      </c>
      <c r="Y36" s="51">
        <v>0.4858169630933013</v>
      </c>
      <c r="Z36" s="51">
        <v>0.29742007642410956</v>
      </c>
      <c r="AA36" s="51">
        <v>0.42729495509659915</v>
      </c>
      <c r="AB36" s="51">
        <v>0.39583205900919866</v>
      </c>
      <c r="AC36" s="51">
        <v>0.24070049406430072</v>
      </c>
      <c r="AD36" s="51">
        <v>0.46904714776388251</v>
      </c>
      <c r="AE36" s="51">
        <v>0.40855108717324101</v>
      </c>
      <c r="AF36" s="51">
        <v>0.48467752733696745</v>
      </c>
      <c r="AG36" s="51">
        <v>0.323370918030771</v>
      </c>
      <c r="AH36" s="45">
        <v>0.57377232328373506</v>
      </c>
      <c r="AI36" s="51">
        <v>0.14132207777213132</v>
      </c>
      <c r="AJ36" s="45">
        <v>1</v>
      </c>
      <c r="AK36" s="51"/>
      <c r="AL36" s="51"/>
      <c r="AM36" s="51"/>
      <c r="AN36" s="51"/>
      <c r="AO36" s="51"/>
      <c r="AP36" s="51"/>
      <c r="AQ36" s="51"/>
      <c r="AR36" s="51"/>
      <c r="AS36" s="51"/>
      <c r="AT36" s="51"/>
    </row>
    <row r="37" spans="1:46">
      <c r="A37" s="49" t="s">
        <v>89</v>
      </c>
      <c r="B37" s="51">
        <v>0.34688504910229429</v>
      </c>
      <c r="C37" s="51">
        <v>0.36522127761210993</v>
      </c>
      <c r="D37" s="51">
        <v>0.45421106775228715</v>
      </c>
      <c r="E37" s="51">
        <v>0.39853715201569712</v>
      </c>
      <c r="F37" s="45">
        <v>0.53002846205680398</v>
      </c>
      <c r="G37" s="51">
        <v>0.47704502048290576</v>
      </c>
      <c r="H37" s="51">
        <v>0.41712483854249882</v>
      </c>
      <c r="I37" s="45">
        <v>0.50052158067543839</v>
      </c>
      <c r="J37" s="45">
        <v>0.50550656617887557</v>
      </c>
      <c r="K37" s="45">
        <v>0.57132051689439556</v>
      </c>
      <c r="L37" s="45">
        <v>0.5368999363210204</v>
      </c>
      <c r="M37" s="51">
        <v>0.42262462018008262</v>
      </c>
      <c r="N37" s="51">
        <v>0.4447275709870771</v>
      </c>
      <c r="O37" s="51">
        <v>0.42542415904534781</v>
      </c>
      <c r="P37" s="45">
        <v>0.51912357940273079</v>
      </c>
      <c r="Q37" s="51">
        <v>0.49911916694516595</v>
      </c>
      <c r="R37" s="51">
        <v>0.47881538096398069</v>
      </c>
      <c r="S37" s="51">
        <v>0.40329619296787106</v>
      </c>
      <c r="T37" s="45">
        <v>0.50675607992610938</v>
      </c>
      <c r="U37" s="45">
        <v>0.54735280968090028</v>
      </c>
      <c r="V37" s="51">
        <v>0.45255568955594461</v>
      </c>
      <c r="W37" s="45">
        <v>0.51913166464703064</v>
      </c>
      <c r="X37" s="51">
        <v>0.47424511632240396</v>
      </c>
      <c r="Y37" s="45">
        <v>0.58232074883498597</v>
      </c>
      <c r="Z37" s="51">
        <v>0.31464913002180434</v>
      </c>
      <c r="AA37" s="51">
        <v>0.33222671532323711</v>
      </c>
      <c r="AB37" s="51">
        <v>0.33290407588287529</v>
      </c>
      <c r="AC37" s="51">
        <v>0.21893966833921799</v>
      </c>
      <c r="AD37" s="51">
        <v>0.42016801016265465</v>
      </c>
      <c r="AE37" s="51">
        <v>0.41538777741468358</v>
      </c>
      <c r="AF37" s="51">
        <v>0.44565025914010076</v>
      </c>
      <c r="AG37" s="51">
        <v>0.41849536772005019</v>
      </c>
      <c r="AH37" s="51">
        <v>0.42784214197795167</v>
      </c>
      <c r="AI37" s="51">
        <v>0.25932507880657968</v>
      </c>
      <c r="AJ37" s="51">
        <v>0.38612688281414675</v>
      </c>
      <c r="AK37" s="45">
        <v>1</v>
      </c>
      <c r="AL37" s="51"/>
      <c r="AM37" s="51"/>
      <c r="AN37" s="51"/>
      <c r="AO37" s="51"/>
      <c r="AP37" s="51"/>
      <c r="AQ37" s="51"/>
      <c r="AR37" s="51"/>
      <c r="AS37" s="51"/>
      <c r="AT37" s="51"/>
    </row>
    <row r="38" spans="1:46">
      <c r="A38" s="49" t="s">
        <v>61</v>
      </c>
      <c r="B38" s="51">
        <v>0.37771294530828259</v>
      </c>
      <c r="C38" s="51">
        <v>0.45265017986983258</v>
      </c>
      <c r="D38" s="45">
        <v>0.52638294106099648</v>
      </c>
      <c r="E38" s="51">
        <v>0.49453078499547626</v>
      </c>
      <c r="F38" s="45">
        <v>0.59227288329759464</v>
      </c>
      <c r="G38" s="45">
        <v>0.56264121168393744</v>
      </c>
      <c r="H38" s="51">
        <v>0.47812588269711137</v>
      </c>
      <c r="I38" s="45">
        <v>0.64259177391339739</v>
      </c>
      <c r="J38" s="45">
        <v>0.64484922730072081</v>
      </c>
      <c r="K38" s="45">
        <v>0.59141102485151831</v>
      </c>
      <c r="L38" s="45">
        <v>0.65625082068971696</v>
      </c>
      <c r="M38" s="51">
        <v>0.46935640455629757</v>
      </c>
      <c r="N38" s="45">
        <v>0.58231606600206676</v>
      </c>
      <c r="O38" s="45">
        <v>0.540408818680016</v>
      </c>
      <c r="P38" s="45">
        <v>0.58579280918674115</v>
      </c>
      <c r="Q38" s="45">
        <v>0.66534227664574619</v>
      </c>
      <c r="R38" s="45">
        <v>0.61680515896264243</v>
      </c>
      <c r="S38" s="51">
        <v>0.41038162059681599</v>
      </c>
      <c r="T38" s="45">
        <v>0.68557231332763946</v>
      </c>
      <c r="U38" s="45">
        <v>0.63681210591339099</v>
      </c>
      <c r="V38" s="51">
        <v>0.49849582678964061</v>
      </c>
      <c r="W38" s="45">
        <v>0.51550366563983108</v>
      </c>
      <c r="X38" s="45">
        <v>0.58122949301295301</v>
      </c>
      <c r="Y38" s="45">
        <v>0.65206318336963953</v>
      </c>
      <c r="Z38" s="51">
        <v>0.46247722167254163</v>
      </c>
      <c r="AA38" s="51">
        <v>0.47577997474565226</v>
      </c>
      <c r="AB38" s="51">
        <v>0.46276590339331208</v>
      </c>
      <c r="AC38" s="51">
        <v>0.26538740631442831</v>
      </c>
      <c r="AD38" s="45">
        <v>0.59063545679394558</v>
      </c>
      <c r="AE38" s="45">
        <v>0.52360601337310386</v>
      </c>
      <c r="AF38" s="45">
        <v>0.60056071672536993</v>
      </c>
      <c r="AG38" s="45">
        <v>0.64397260425611136</v>
      </c>
      <c r="AH38" s="51">
        <v>0.49725006184385057</v>
      </c>
      <c r="AI38" s="51">
        <v>0.31053885106672524</v>
      </c>
      <c r="AJ38" s="51">
        <v>0.40425847727350284</v>
      </c>
      <c r="AK38" s="51">
        <v>0.45635983786804646</v>
      </c>
      <c r="AL38" s="45">
        <v>1</v>
      </c>
      <c r="AM38" s="51"/>
      <c r="AN38" s="51"/>
      <c r="AO38" s="51"/>
      <c r="AP38" s="51"/>
      <c r="AQ38" s="51"/>
      <c r="AR38" s="51"/>
      <c r="AS38" s="51"/>
      <c r="AT38" s="51"/>
    </row>
    <row r="39" spans="1:46">
      <c r="A39" s="49" t="s">
        <v>87</v>
      </c>
      <c r="B39" s="45">
        <v>0.53499833156716681</v>
      </c>
      <c r="C39" s="51">
        <v>0.46757724101038445</v>
      </c>
      <c r="D39" s="45">
        <v>0.64202603626208077</v>
      </c>
      <c r="E39" s="51">
        <v>0.34317871145535228</v>
      </c>
      <c r="F39" s="45">
        <v>0.57811283754135145</v>
      </c>
      <c r="G39" s="51">
        <v>0.42793492583939297</v>
      </c>
      <c r="H39" s="45">
        <v>0.51508267642729977</v>
      </c>
      <c r="I39" s="45">
        <v>0.50059999409507816</v>
      </c>
      <c r="J39" s="45">
        <v>0.55641926537080622</v>
      </c>
      <c r="K39" s="45">
        <v>0.58182665591673355</v>
      </c>
      <c r="L39" s="45">
        <v>0.53470364458898967</v>
      </c>
      <c r="M39" s="45">
        <v>0.57552803797462848</v>
      </c>
      <c r="N39" s="45">
        <v>0.5497118555147662</v>
      </c>
      <c r="O39" s="51">
        <v>0.46973226199791357</v>
      </c>
      <c r="P39" s="45">
        <v>0.58092297167201012</v>
      </c>
      <c r="Q39" s="51">
        <v>0.48442728657159645</v>
      </c>
      <c r="R39" s="51">
        <v>0.43367456302753765</v>
      </c>
      <c r="S39" s="51">
        <v>0.43373454123331279</v>
      </c>
      <c r="T39" s="45">
        <v>0.52896083985478881</v>
      </c>
      <c r="U39" s="45">
        <v>0.5192646060756364</v>
      </c>
      <c r="V39" s="51">
        <v>0.41570801564036985</v>
      </c>
      <c r="W39" s="45">
        <v>0.56580014053828354</v>
      </c>
      <c r="X39" s="45">
        <v>0.52133723541065502</v>
      </c>
      <c r="Y39" s="45">
        <v>0.60304798220716527</v>
      </c>
      <c r="Z39" s="51">
        <v>0.42148258740202493</v>
      </c>
      <c r="AA39" s="45">
        <v>0.54560770129192659</v>
      </c>
      <c r="AB39" s="51">
        <v>0.21679508260829869</v>
      </c>
      <c r="AC39" s="51">
        <v>0.41032955394889536</v>
      </c>
      <c r="AD39" s="45">
        <v>0.54933241117247367</v>
      </c>
      <c r="AE39" s="45">
        <v>0.50736432227231476</v>
      </c>
      <c r="AF39" s="51">
        <v>0.47070817033352258</v>
      </c>
      <c r="AG39" s="51">
        <v>0.42623977427046134</v>
      </c>
      <c r="AH39" s="51">
        <v>0.46183426489528462</v>
      </c>
      <c r="AI39" s="51">
        <v>0.23343881537858993</v>
      </c>
      <c r="AJ39" s="51">
        <v>0.41047738577884041</v>
      </c>
      <c r="AK39" s="51">
        <v>0.42245976596717444</v>
      </c>
      <c r="AL39" s="51">
        <v>0.42228061664836142</v>
      </c>
      <c r="AM39" s="45">
        <v>1</v>
      </c>
      <c r="AN39" s="51"/>
      <c r="AO39" s="51"/>
      <c r="AP39" s="51"/>
      <c r="AQ39" s="51"/>
      <c r="AR39" s="51"/>
      <c r="AS39" s="51"/>
      <c r="AT39" s="51"/>
    </row>
    <row r="40" spans="1:46">
      <c r="A40" s="49" t="s">
        <v>67</v>
      </c>
      <c r="B40" s="51">
        <v>0.38724091437292152</v>
      </c>
      <c r="C40" s="51">
        <v>0.43269358373072209</v>
      </c>
      <c r="D40" s="45">
        <v>0.50287563073756636</v>
      </c>
      <c r="E40" s="51">
        <v>0.43895625822021256</v>
      </c>
      <c r="F40" s="45">
        <v>0.56956622996233164</v>
      </c>
      <c r="G40" s="45">
        <v>0.5296702837544337</v>
      </c>
      <c r="H40" s="51">
        <v>0.45886182147838284</v>
      </c>
      <c r="I40" s="45">
        <v>0.51996328467263309</v>
      </c>
      <c r="J40" s="45">
        <v>0.59578524606675898</v>
      </c>
      <c r="K40" s="51">
        <v>0.46141455007073123</v>
      </c>
      <c r="L40" s="45">
        <v>0.61323987179847406</v>
      </c>
      <c r="M40" s="51">
        <v>0.47125442386716432</v>
      </c>
      <c r="N40" s="45">
        <v>0.56261116366336728</v>
      </c>
      <c r="O40" s="45">
        <v>0.54024838541860221</v>
      </c>
      <c r="P40" s="45">
        <v>0.58872622729746837</v>
      </c>
      <c r="Q40" s="45">
        <v>0.55603316592792251</v>
      </c>
      <c r="R40" s="45">
        <v>0.55688217420726016</v>
      </c>
      <c r="S40" s="51">
        <v>0.3247931145133352</v>
      </c>
      <c r="T40" s="45">
        <v>0.61831304500596385</v>
      </c>
      <c r="U40" s="45">
        <v>0.55146418297127475</v>
      </c>
      <c r="V40" s="45">
        <v>0.50428847065631344</v>
      </c>
      <c r="W40" s="51">
        <v>0.47860812325589785</v>
      </c>
      <c r="X40" s="45">
        <v>0.51195311892898943</v>
      </c>
      <c r="Y40" s="45">
        <v>0.56483205451970309</v>
      </c>
      <c r="Z40" s="51">
        <v>0.48123898104461765</v>
      </c>
      <c r="AA40" s="51">
        <v>0.48495276179329377</v>
      </c>
      <c r="AB40" s="51">
        <v>0.3995719194753321</v>
      </c>
      <c r="AC40" s="51">
        <v>0.17954466596739083</v>
      </c>
      <c r="AD40" s="45">
        <v>0.59047198464885331</v>
      </c>
      <c r="AE40" s="51">
        <v>0.47704751053464639</v>
      </c>
      <c r="AF40" s="45">
        <v>0.61480395068543303</v>
      </c>
      <c r="AG40" s="51">
        <v>0.49119100343644367</v>
      </c>
      <c r="AH40" s="45">
        <v>0.52870425618593297</v>
      </c>
      <c r="AI40" s="51">
        <v>0.32816685671251405</v>
      </c>
      <c r="AJ40" s="51">
        <v>0.49168695145441182</v>
      </c>
      <c r="AK40" s="51">
        <v>0.4365252607025531</v>
      </c>
      <c r="AL40" s="45">
        <v>0.57362952089452957</v>
      </c>
      <c r="AM40" s="51">
        <v>0.45190327747732001</v>
      </c>
      <c r="AN40" s="45">
        <v>1</v>
      </c>
      <c r="AO40" s="51"/>
      <c r="AP40" s="51"/>
      <c r="AQ40" s="51"/>
      <c r="AR40" s="51"/>
      <c r="AS40" s="51"/>
      <c r="AT40" s="51"/>
    </row>
    <row r="41" spans="1:46">
      <c r="A41" s="49" t="s">
        <v>69</v>
      </c>
      <c r="B41" s="51">
        <v>0.46162450335433231</v>
      </c>
      <c r="C41" s="51">
        <v>0.4080922048251252</v>
      </c>
      <c r="D41" s="51">
        <v>0.49621002172228162</v>
      </c>
      <c r="E41" s="51">
        <v>0.36807300260570286</v>
      </c>
      <c r="F41" s="51">
        <v>0.45804840189159812</v>
      </c>
      <c r="G41" s="51">
        <v>0.4690340782856382</v>
      </c>
      <c r="H41" s="51">
        <v>0.31145744757107818</v>
      </c>
      <c r="I41" s="51">
        <v>0.47334832993942211</v>
      </c>
      <c r="J41" s="51">
        <v>0.48561595005525127</v>
      </c>
      <c r="K41" s="51">
        <v>0.45005759224390313</v>
      </c>
      <c r="L41" s="51">
        <v>0.46331189016330931</v>
      </c>
      <c r="M41" s="51">
        <v>0.43594580940388961</v>
      </c>
      <c r="N41" s="51">
        <v>0.44121832414029483</v>
      </c>
      <c r="O41" s="51">
        <v>0.43817238535871689</v>
      </c>
      <c r="P41" s="51">
        <v>0.49593596794629613</v>
      </c>
      <c r="Q41" s="45">
        <v>0.56106672636998856</v>
      </c>
      <c r="R41" s="51">
        <v>0.44737367244532528</v>
      </c>
      <c r="S41" s="51">
        <v>0.33336568537385708</v>
      </c>
      <c r="T41" s="45">
        <v>0.50564323652171039</v>
      </c>
      <c r="U41" s="51">
        <v>0.47513657910825408</v>
      </c>
      <c r="V41" s="51">
        <v>0.40759816360112905</v>
      </c>
      <c r="W41" s="51">
        <v>0.47243368424443249</v>
      </c>
      <c r="X41" s="51">
        <v>0.46268940336463554</v>
      </c>
      <c r="Y41" s="45">
        <v>0.53068649365141274</v>
      </c>
      <c r="Z41" s="51">
        <v>0.41340850451292027</v>
      </c>
      <c r="AA41" s="51">
        <v>0.35973396909157224</v>
      </c>
      <c r="AB41" s="51">
        <v>0.28764203738209171</v>
      </c>
      <c r="AC41" s="51">
        <v>0.1687581717468416</v>
      </c>
      <c r="AD41" s="51">
        <v>0.40890383294987948</v>
      </c>
      <c r="AE41" s="51">
        <v>0.48817105719189785</v>
      </c>
      <c r="AF41" s="51">
        <v>0.36806286837341323</v>
      </c>
      <c r="AG41" s="51">
        <v>0.36950074542836481</v>
      </c>
      <c r="AH41" s="51">
        <v>0.4568548692377139</v>
      </c>
      <c r="AI41" s="51">
        <v>9.7770244775837886E-2</v>
      </c>
      <c r="AJ41" s="45">
        <v>0.50919208335408905</v>
      </c>
      <c r="AK41" s="51">
        <v>0.42586521795012933</v>
      </c>
      <c r="AL41" s="51">
        <v>0.40272529070008145</v>
      </c>
      <c r="AM41" s="45">
        <v>0.51505737236597915</v>
      </c>
      <c r="AN41" s="51">
        <v>0.45647526453588</v>
      </c>
      <c r="AO41" s="45">
        <v>1</v>
      </c>
      <c r="AP41" s="51"/>
      <c r="AQ41" s="51"/>
      <c r="AR41" s="51"/>
      <c r="AS41" s="51"/>
      <c r="AT41" s="51"/>
    </row>
    <row r="42" spans="1:46">
      <c r="A42" s="49" t="s">
        <v>63</v>
      </c>
      <c r="B42" s="51">
        <v>0.44474645301136517</v>
      </c>
      <c r="C42" s="51">
        <v>0.42605316726660331</v>
      </c>
      <c r="D42" s="51">
        <v>0.49432438645039667</v>
      </c>
      <c r="E42" s="51">
        <v>0.39310020471308127</v>
      </c>
      <c r="F42" s="45">
        <v>0.61230319057950422</v>
      </c>
      <c r="G42" s="45">
        <v>0.53354340520039201</v>
      </c>
      <c r="H42" s="51">
        <v>0.4741195133277557</v>
      </c>
      <c r="I42" s="51">
        <v>0.48690468763188033</v>
      </c>
      <c r="J42" s="45">
        <v>0.56742319360960825</v>
      </c>
      <c r="K42" s="45">
        <v>0.51939558063774593</v>
      </c>
      <c r="L42" s="45">
        <v>0.59270749958950442</v>
      </c>
      <c r="M42" s="51">
        <v>0.45653435581533619</v>
      </c>
      <c r="N42" s="45">
        <v>0.54095920600966918</v>
      </c>
      <c r="O42" s="51">
        <v>0.47100716925207292</v>
      </c>
      <c r="P42" s="45">
        <v>0.62329667075476292</v>
      </c>
      <c r="Q42" s="51">
        <v>0.48202506789590011</v>
      </c>
      <c r="R42" s="51">
        <v>0.44444700216407113</v>
      </c>
      <c r="S42" s="51">
        <v>0.45453934684442276</v>
      </c>
      <c r="T42" s="45">
        <v>0.60539213880253673</v>
      </c>
      <c r="U42" s="45">
        <v>0.56857325141355397</v>
      </c>
      <c r="V42" s="45">
        <v>0.52035127624005595</v>
      </c>
      <c r="W42" s="51">
        <v>0.48802554625801453</v>
      </c>
      <c r="X42" s="45">
        <v>0.5356784371251182</v>
      </c>
      <c r="Y42" s="45">
        <v>0.55020406148925771</v>
      </c>
      <c r="Z42" s="51">
        <v>0.44746807856949883</v>
      </c>
      <c r="AA42" s="51">
        <v>0.43275638846102998</v>
      </c>
      <c r="AB42" s="51">
        <v>0.33352347827861334</v>
      </c>
      <c r="AC42" s="51">
        <v>0.21458574470058353</v>
      </c>
      <c r="AD42" s="45">
        <v>0.55533191328539777</v>
      </c>
      <c r="AE42" s="45">
        <v>0.53948740850775112</v>
      </c>
      <c r="AF42" s="45">
        <v>0.52691932738221559</v>
      </c>
      <c r="AG42" s="51">
        <v>0.40609272969074012</v>
      </c>
      <c r="AH42" s="45">
        <v>0.54276454180781952</v>
      </c>
      <c r="AI42" s="51">
        <v>0.34418049943324419</v>
      </c>
      <c r="AJ42" s="51">
        <v>0.4291974477815883</v>
      </c>
      <c r="AK42" s="51">
        <v>0.42181192637892928</v>
      </c>
      <c r="AL42" s="51">
        <v>0.44953230843332004</v>
      </c>
      <c r="AM42" s="51">
        <v>0.44616953991781294</v>
      </c>
      <c r="AN42" s="51">
        <v>0.42616724775001746</v>
      </c>
      <c r="AO42" s="51">
        <v>0.4372168100093522</v>
      </c>
      <c r="AP42" s="45">
        <v>1</v>
      </c>
      <c r="AQ42" s="51"/>
      <c r="AR42" s="51"/>
      <c r="AS42" s="51"/>
      <c r="AT42" s="51"/>
    </row>
    <row r="43" spans="1:46">
      <c r="A43" s="49" t="s">
        <v>75</v>
      </c>
      <c r="B43" s="51">
        <v>0.40264147795743654</v>
      </c>
      <c r="C43" s="51">
        <v>0.43170278624774872</v>
      </c>
      <c r="D43" s="51">
        <v>0.43988078176893186</v>
      </c>
      <c r="E43" s="51">
        <v>0.39854793209942152</v>
      </c>
      <c r="F43" s="45">
        <v>0.59932158186151163</v>
      </c>
      <c r="G43" s="45">
        <v>0.55646679442885849</v>
      </c>
      <c r="H43" s="51">
        <v>0.40703310529959968</v>
      </c>
      <c r="I43" s="45">
        <v>0.50406267457008047</v>
      </c>
      <c r="J43" s="45">
        <v>0.59638625952594793</v>
      </c>
      <c r="K43" s="45">
        <v>0.50266110834309796</v>
      </c>
      <c r="L43" s="45">
        <v>0.62749065716321839</v>
      </c>
      <c r="M43" s="51">
        <v>0.46290425328637391</v>
      </c>
      <c r="N43" s="45">
        <v>0.59534327961249889</v>
      </c>
      <c r="O43" s="45">
        <v>0.57999404102366581</v>
      </c>
      <c r="P43" s="45">
        <v>0.61662206469501224</v>
      </c>
      <c r="Q43" s="45">
        <v>0.58523100382377191</v>
      </c>
      <c r="R43" s="45">
        <v>0.53869552665875442</v>
      </c>
      <c r="S43" s="51">
        <v>0.38970354116342465</v>
      </c>
      <c r="T43" s="45">
        <v>0.64470828014707371</v>
      </c>
      <c r="U43" s="45">
        <v>0.6184283146363091</v>
      </c>
      <c r="V43" s="45">
        <v>0.54458583778986047</v>
      </c>
      <c r="W43" s="45">
        <v>0.51045242834782456</v>
      </c>
      <c r="X43" s="45">
        <v>0.5237909300321536</v>
      </c>
      <c r="Y43" s="45">
        <v>0.5628006535234652</v>
      </c>
      <c r="Z43" s="51">
        <v>0.40261281838831592</v>
      </c>
      <c r="AA43" s="51">
        <v>0.39795866841940691</v>
      </c>
      <c r="AB43" s="51">
        <v>0.36730876837399856</v>
      </c>
      <c r="AC43" s="51">
        <v>0.18223807412691925</v>
      </c>
      <c r="AD43" s="45">
        <v>0.61456952321470815</v>
      </c>
      <c r="AE43" s="51">
        <v>0.49189972373715707</v>
      </c>
      <c r="AF43" s="45">
        <v>0.59025357943434764</v>
      </c>
      <c r="AG43" s="45">
        <v>0.50899999536654827</v>
      </c>
      <c r="AH43" s="51">
        <v>0.49963662992417851</v>
      </c>
      <c r="AI43" s="51">
        <v>0.2985515033248175</v>
      </c>
      <c r="AJ43" s="45">
        <v>0.54515822202868003</v>
      </c>
      <c r="AK43" s="51">
        <v>0.40226559270866213</v>
      </c>
      <c r="AL43" s="45">
        <v>0.61027035363602566</v>
      </c>
      <c r="AM43" s="51">
        <v>0.38608035771994104</v>
      </c>
      <c r="AN43" s="45">
        <v>0.54045117985566593</v>
      </c>
      <c r="AO43" s="51">
        <v>0.47688967052662562</v>
      </c>
      <c r="AP43" s="51">
        <v>0.48533859420061531</v>
      </c>
      <c r="AQ43" s="45">
        <v>1</v>
      </c>
      <c r="AR43" s="51"/>
      <c r="AS43" s="51"/>
      <c r="AT43" s="51"/>
    </row>
    <row r="44" spans="1:46">
      <c r="A44" s="49" t="s">
        <v>83</v>
      </c>
      <c r="B44" s="51">
        <v>0.41989312587693811</v>
      </c>
      <c r="C44" s="51">
        <v>0.39468453460463249</v>
      </c>
      <c r="D44" s="51">
        <v>0.36977509824894017</v>
      </c>
      <c r="E44" s="51">
        <v>0.39199316840796411</v>
      </c>
      <c r="F44" s="45">
        <v>0.51469284624969402</v>
      </c>
      <c r="G44" s="51">
        <v>0.49357453864389073</v>
      </c>
      <c r="H44" s="51">
        <v>0.37616657742058479</v>
      </c>
      <c r="I44" s="51">
        <v>0.4597084960509093</v>
      </c>
      <c r="J44" s="45">
        <v>0.51344035677092359</v>
      </c>
      <c r="K44" s="51">
        <v>0.45149986267190151</v>
      </c>
      <c r="L44" s="51">
        <v>0.49472289810955633</v>
      </c>
      <c r="M44" s="51">
        <v>0.35551693718760463</v>
      </c>
      <c r="N44" s="51">
        <v>0.47379323699322679</v>
      </c>
      <c r="O44" s="51">
        <v>0.45219703471453387</v>
      </c>
      <c r="P44" s="45">
        <v>0.5108176935445089</v>
      </c>
      <c r="Q44" s="51">
        <v>0.46631658581600921</v>
      </c>
      <c r="R44" s="51">
        <v>0.36151359182819748</v>
      </c>
      <c r="S44" s="51">
        <v>0.34584649600195966</v>
      </c>
      <c r="T44" s="45">
        <v>0.54486509372064851</v>
      </c>
      <c r="U44" s="45">
        <v>0.53459051238960487</v>
      </c>
      <c r="V44" s="51">
        <v>0.43368059656245778</v>
      </c>
      <c r="W44" s="51">
        <v>0.41038012519048156</v>
      </c>
      <c r="X44" s="51">
        <v>0.4331192463902534</v>
      </c>
      <c r="Y44" s="51">
        <v>0.45899878084389389</v>
      </c>
      <c r="Z44" s="51">
        <v>0.3122590902353431</v>
      </c>
      <c r="AA44" s="51">
        <v>0.43274636783170078</v>
      </c>
      <c r="AB44" s="51">
        <v>0.38370206657387013</v>
      </c>
      <c r="AC44" s="51">
        <v>0.14270572193885386</v>
      </c>
      <c r="AD44" s="51">
        <v>0.4772153139361367</v>
      </c>
      <c r="AE44" s="51">
        <v>0.39906309815717239</v>
      </c>
      <c r="AF44" s="51">
        <v>0.48121308842624361</v>
      </c>
      <c r="AG44" s="51">
        <v>0.36119952763092078</v>
      </c>
      <c r="AH44" s="45">
        <v>0.50552659001161904</v>
      </c>
      <c r="AI44" s="51">
        <v>0.2275815787555947</v>
      </c>
      <c r="AJ44" s="51">
        <v>0.46383975004193406</v>
      </c>
      <c r="AK44" s="51">
        <v>0.24208591060278825</v>
      </c>
      <c r="AL44" s="51">
        <v>0.46759451314835665</v>
      </c>
      <c r="AM44" s="51">
        <v>0.27169912880407265</v>
      </c>
      <c r="AN44" s="51">
        <v>0.37073004381849883</v>
      </c>
      <c r="AO44" s="51">
        <v>0.42988500532009544</v>
      </c>
      <c r="AP44" s="51">
        <v>0.44113103950614158</v>
      </c>
      <c r="AQ44" s="45">
        <v>0.61492529609031221</v>
      </c>
      <c r="AR44" s="45">
        <v>1</v>
      </c>
      <c r="AS44" s="51"/>
      <c r="AT44" s="51"/>
    </row>
    <row r="45" spans="1:46">
      <c r="A45" s="49" t="s">
        <v>77</v>
      </c>
      <c r="B45" s="45">
        <v>0.54094288371159616</v>
      </c>
      <c r="C45" s="45">
        <v>0.50136770124921959</v>
      </c>
      <c r="D45" s="45">
        <v>0.57367592148643454</v>
      </c>
      <c r="E45" s="51">
        <v>0.49267907939455452</v>
      </c>
      <c r="F45" s="45">
        <v>0.63994793179750653</v>
      </c>
      <c r="G45" s="45">
        <v>0.56973957489142868</v>
      </c>
      <c r="H45" s="45">
        <v>0.51134824957631475</v>
      </c>
      <c r="I45" s="45">
        <v>0.55740545194487823</v>
      </c>
      <c r="J45" s="45">
        <v>0.62165976881165874</v>
      </c>
      <c r="K45" s="45">
        <v>0.59559573347095784</v>
      </c>
      <c r="L45" s="45">
        <v>0.62733017580120298</v>
      </c>
      <c r="M45" s="51">
        <v>0.4564609914379667</v>
      </c>
      <c r="N45" s="45">
        <v>0.57241756282913725</v>
      </c>
      <c r="O45" s="51">
        <v>0.48774237661799691</v>
      </c>
      <c r="P45" s="45">
        <v>0.63687382744929633</v>
      </c>
      <c r="Q45" s="45">
        <v>0.54266259792254468</v>
      </c>
      <c r="R45" s="45">
        <v>0.55585913372131246</v>
      </c>
      <c r="S45" s="51">
        <v>0.45525168236301045</v>
      </c>
      <c r="T45" s="45">
        <v>0.67007966256900753</v>
      </c>
      <c r="U45" s="45">
        <v>0.64520116849129971</v>
      </c>
      <c r="V45" s="45">
        <v>0.51481594873369674</v>
      </c>
      <c r="W45" s="45">
        <v>0.57053734498391451</v>
      </c>
      <c r="X45" s="51">
        <v>0.48146235641389989</v>
      </c>
      <c r="Y45" s="45">
        <v>0.60709977983021357</v>
      </c>
      <c r="Z45" s="51">
        <v>0.41175084166635112</v>
      </c>
      <c r="AA45" s="51">
        <v>0.49047256119962085</v>
      </c>
      <c r="AB45" s="51">
        <v>0.40910826567617831</v>
      </c>
      <c r="AC45" s="51">
        <v>0.31354451386347088</v>
      </c>
      <c r="AD45" s="45">
        <v>0.60070682973022149</v>
      </c>
      <c r="AE45" s="45">
        <v>0.5100953520236392</v>
      </c>
      <c r="AF45" s="45">
        <v>0.63658587441710901</v>
      </c>
      <c r="AG45" s="51">
        <v>0.4739383626217355</v>
      </c>
      <c r="AH45" s="51">
        <v>0.47031252368644177</v>
      </c>
      <c r="AI45" s="51">
        <v>0.32432461943758428</v>
      </c>
      <c r="AJ45" s="45">
        <v>0.54615326706543177</v>
      </c>
      <c r="AK45" s="51">
        <v>0.44678274909424714</v>
      </c>
      <c r="AL45" s="45">
        <v>0.59563544967325899</v>
      </c>
      <c r="AM45" s="51">
        <v>0.48147344546470328</v>
      </c>
      <c r="AN45" s="45">
        <v>0.51101853805601793</v>
      </c>
      <c r="AO45" s="51">
        <v>0.41914443252136219</v>
      </c>
      <c r="AP45" s="45">
        <v>0.50961319134351735</v>
      </c>
      <c r="AQ45" s="45">
        <v>0.72468413464076631</v>
      </c>
      <c r="AR45" s="45">
        <v>0.5668344997345548</v>
      </c>
      <c r="AS45" s="45">
        <v>1</v>
      </c>
      <c r="AT45" s="51"/>
    </row>
    <row r="46" spans="1:46" ht="16" thickBot="1">
      <c r="A46" s="50" t="s">
        <v>79</v>
      </c>
      <c r="B46" s="57">
        <v>0.4905128473955695</v>
      </c>
      <c r="C46" s="57">
        <v>0.47489731081103226</v>
      </c>
      <c r="D46" s="46">
        <v>0.51057990777156459</v>
      </c>
      <c r="E46" s="57">
        <v>0.3906040820891184</v>
      </c>
      <c r="F46" s="46">
        <v>0.58862429949375683</v>
      </c>
      <c r="G46" s="57">
        <v>0.47696090352174908</v>
      </c>
      <c r="H46" s="57">
        <v>0.47655777752984341</v>
      </c>
      <c r="I46" s="46">
        <v>0.50517424035740055</v>
      </c>
      <c r="J46" s="46">
        <v>0.55978930413118955</v>
      </c>
      <c r="K46" s="46">
        <v>0.53812730290027799</v>
      </c>
      <c r="L46" s="46">
        <v>0.62938463252756005</v>
      </c>
      <c r="M46" s="57">
        <v>0.46126047520868813</v>
      </c>
      <c r="N46" s="46">
        <v>0.52604242822523384</v>
      </c>
      <c r="O46" s="46">
        <v>0.45195453322786222</v>
      </c>
      <c r="P46" s="46">
        <v>0.54144945711496673</v>
      </c>
      <c r="Q46" s="46">
        <v>0.54524944587698221</v>
      </c>
      <c r="R46" s="46">
        <v>0.50548332345643732</v>
      </c>
      <c r="S46" s="57">
        <v>0.39151994362864923</v>
      </c>
      <c r="T46" s="46">
        <v>0.59570197658998592</v>
      </c>
      <c r="U46" s="46">
        <v>0.57665776450270756</v>
      </c>
      <c r="V46" s="57">
        <v>0.4935810731756346</v>
      </c>
      <c r="W46" s="46">
        <v>0.51084756888390781</v>
      </c>
      <c r="X46" s="57">
        <v>0.49397365565410845</v>
      </c>
      <c r="Y46" s="46">
        <v>0.53092560530895094</v>
      </c>
      <c r="Z46" s="57">
        <v>0.44576225959239235</v>
      </c>
      <c r="AA46" s="57">
        <v>0.49204693782734649</v>
      </c>
      <c r="AB46" s="57">
        <v>0.33500150550836583</v>
      </c>
      <c r="AC46" s="57">
        <v>0.29007114378286258</v>
      </c>
      <c r="AD46" s="46">
        <v>0.55692114101391477</v>
      </c>
      <c r="AE46" s="46">
        <v>0.5253879918068578</v>
      </c>
      <c r="AF46" s="46">
        <v>0.58608703427453257</v>
      </c>
      <c r="AG46" s="57">
        <v>0.47771625636753628</v>
      </c>
      <c r="AH46" s="57">
        <v>0.43196610223673304</v>
      </c>
      <c r="AI46" s="57">
        <v>0.3029587581238008</v>
      </c>
      <c r="AJ46" s="57">
        <v>0.42706180342511563</v>
      </c>
      <c r="AK46" s="57">
        <v>0.40916589539432724</v>
      </c>
      <c r="AL46" s="46">
        <v>0.61854584964718318</v>
      </c>
      <c r="AM46" s="57">
        <v>0.42208745759802868</v>
      </c>
      <c r="AN46" s="46">
        <v>0.50091673814354198</v>
      </c>
      <c r="AO46" s="57">
        <v>0.35746702926283486</v>
      </c>
      <c r="AP46" s="57">
        <v>0.42608538662052231</v>
      </c>
      <c r="AQ46" s="46">
        <v>0.69411413976944425</v>
      </c>
      <c r="AR46" s="57">
        <v>0.42949519115888807</v>
      </c>
      <c r="AS46" s="46">
        <v>0.63609478346416459</v>
      </c>
      <c r="AT46" s="46">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2277B-FF99-4BA2-8CC2-CA092D895851}">
  <sheetPr>
    <tabColor theme="5" tint="0.59999389629810485"/>
  </sheetPr>
  <dimension ref="A1:Q27"/>
  <sheetViews>
    <sheetView topLeftCell="A4" workbookViewId="0">
      <selection activeCell="F7" sqref="F7"/>
    </sheetView>
  </sheetViews>
  <sheetFormatPr baseColWidth="10" defaultColWidth="8.83203125" defaultRowHeight="15"/>
  <cols>
    <col min="3" max="3" width="16.5" bestFit="1" customWidth="1"/>
    <col min="7" max="7" width="4.33203125" customWidth="1"/>
    <col min="8" max="8" width="30.1640625" bestFit="1" customWidth="1"/>
  </cols>
  <sheetData>
    <row r="1" spans="1:17">
      <c r="A1" s="52"/>
      <c r="B1" s="52"/>
      <c r="C1" s="52"/>
      <c r="D1" s="52"/>
      <c r="E1" s="52"/>
      <c r="F1" s="52"/>
      <c r="G1" s="52"/>
      <c r="H1" s="52"/>
      <c r="I1" s="52"/>
      <c r="J1" s="52"/>
      <c r="K1" s="52"/>
      <c r="L1" s="52"/>
      <c r="M1" s="52"/>
      <c r="N1" s="52"/>
      <c r="O1" s="52"/>
      <c r="P1" s="52"/>
      <c r="Q1" s="52"/>
    </row>
    <row r="2" spans="1:17">
      <c r="A2" s="52"/>
      <c r="B2" s="52"/>
      <c r="C2" s="52"/>
      <c r="D2" s="52"/>
      <c r="E2" s="52"/>
      <c r="F2" s="52"/>
      <c r="G2" s="52"/>
      <c r="H2" s="52"/>
      <c r="I2" s="52"/>
      <c r="J2" s="52"/>
      <c r="K2" s="52"/>
      <c r="L2" s="52"/>
      <c r="M2" s="52"/>
      <c r="N2" s="52"/>
      <c r="O2" s="52"/>
      <c r="P2" s="52"/>
      <c r="Q2" s="52"/>
    </row>
    <row r="3" spans="1:17">
      <c r="A3" s="52"/>
      <c r="B3" s="58" t="s">
        <v>113</v>
      </c>
      <c r="C3" s="58"/>
      <c r="D3" s="58"/>
      <c r="E3" s="58"/>
      <c r="F3" s="58"/>
      <c r="G3" s="58"/>
      <c r="H3" s="58"/>
      <c r="I3" s="58"/>
      <c r="J3" s="58"/>
      <c r="K3" s="52"/>
      <c r="L3" s="52"/>
      <c r="M3" s="52"/>
      <c r="N3" s="52"/>
      <c r="O3" s="52"/>
      <c r="P3" s="52"/>
      <c r="Q3" s="52"/>
    </row>
    <row r="4" spans="1:17">
      <c r="A4" s="52"/>
      <c r="B4" s="52"/>
      <c r="C4" s="52"/>
      <c r="D4" s="52"/>
      <c r="E4" s="52"/>
      <c r="F4" s="52"/>
      <c r="G4" s="52"/>
      <c r="H4" s="52"/>
      <c r="I4" s="52"/>
      <c r="J4" s="52"/>
      <c r="K4" s="52"/>
      <c r="L4" s="52"/>
      <c r="M4" s="52"/>
      <c r="N4" s="52"/>
      <c r="O4" s="52"/>
      <c r="P4" s="52"/>
      <c r="Q4" s="52"/>
    </row>
    <row r="5" spans="1:17">
      <c r="A5" s="52"/>
      <c r="B5" s="60" t="s">
        <v>114</v>
      </c>
      <c r="C5" s="60" t="s">
        <v>115</v>
      </c>
      <c r="D5" s="52"/>
      <c r="E5" s="52"/>
      <c r="F5" s="52"/>
      <c r="G5" s="52"/>
      <c r="H5" s="52"/>
      <c r="I5" s="52"/>
      <c r="J5" s="52"/>
      <c r="K5" s="52"/>
      <c r="L5" s="52"/>
      <c r="M5" s="52"/>
      <c r="N5" s="52"/>
      <c r="O5" s="52"/>
      <c r="P5" s="52"/>
      <c r="Q5" s="52"/>
    </row>
    <row r="6" spans="1:17">
      <c r="A6" s="61">
        <v>1</v>
      </c>
      <c r="B6" s="59" t="s">
        <v>8</v>
      </c>
      <c r="C6" s="31">
        <f>0.397*3709161852</f>
        <v>1472537255.244</v>
      </c>
      <c r="D6" s="62"/>
      <c r="E6" s="52"/>
      <c r="F6" s="52"/>
      <c r="G6" s="52"/>
      <c r="H6" s="52"/>
      <c r="I6" s="52"/>
      <c r="J6" s="52"/>
      <c r="K6" s="52"/>
      <c r="L6" s="52"/>
      <c r="M6" s="52"/>
      <c r="N6" s="52"/>
      <c r="O6" s="52"/>
      <c r="P6" s="52"/>
      <c r="Q6" s="52"/>
    </row>
    <row r="7" spans="1:17">
      <c r="A7" s="61">
        <v>2</v>
      </c>
      <c r="B7" s="59" t="s">
        <v>49</v>
      </c>
      <c r="C7" s="31">
        <v>817937960.48000002</v>
      </c>
      <c r="D7" s="52"/>
      <c r="E7" s="52"/>
      <c r="F7" s="52"/>
      <c r="G7" s="52"/>
      <c r="H7" s="52"/>
      <c r="I7" s="52"/>
      <c r="J7" s="52"/>
      <c r="K7" s="52"/>
      <c r="L7" s="52"/>
      <c r="M7" s="52"/>
      <c r="N7" s="52"/>
      <c r="O7" s="52"/>
      <c r="P7" s="52"/>
      <c r="Q7" s="52"/>
    </row>
    <row r="8" spans="1:17">
      <c r="A8" s="61">
        <v>3</v>
      </c>
      <c r="B8" s="3" t="s">
        <v>45</v>
      </c>
      <c r="C8" s="31">
        <v>399500000</v>
      </c>
      <c r="D8" s="52"/>
      <c r="E8" s="52"/>
      <c r="F8" s="52"/>
      <c r="G8" s="389" t="s">
        <v>118</v>
      </c>
      <c r="H8" s="389"/>
      <c r="I8" s="52"/>
      <c r="J8" s="52"/>
      <c r="K8" s="52"/>
      <c r="L8" s="52"/>
      <c r="M8" s="52"/>
      <c r="N8" s="52"/>
      <c r="O8" s="52"/>
      <c r="P8" s="52"/>
      <c r="Q8" s="52"/>
    </row>
    <row r="9" spans="1:17">
      <c r="A9" s="61">
        <v>4</v>
      </c>
      <c r="B9" s="59" t="s">
        <v>85</v>
      </c>
      <c r="C9" s="31">
        <v>205632000</v>
      </c>
      <c r="D9" s="52"/>
      <c r="E9" s="52"/>
      <c r="F9" s="52"/>
      <c r="G9" s="4">
        <v>1</v>
      </c>
      <c r="H9" s="74" t="s">
        <v>115</v>
      </c>
      <c r="I9" s="52"/>
      <c r="J9" s="52"/>
      <c r="K9" s="52"/>
      <c r="L9" s="52"/>
      <c r="M9" s="52"/>
      <c r="N9" s="52"/>
      <c r="O9" s="52"/>
      <c r="P9" s="52"/>
      <c r="Q9" s="52"/>
    </row>
    <row r="10" spans="1:17">
      <c r="A10" s="61">
        <v>5</v>
      </c>
      <c r="B10" s="59" t="s">
        <v>12</v>
      </c>
      <c r="C10" s="31">
        <v>1646323083.8999999</v>
      </c>
      <c r="D10" s="52"/>
      <c r="E10" s="52"/>
      <c r="F10" s="52"/>
      <c r="G10" s="4">
        <v>2</v>
      </c>
      <c r="H10" s="74" t="s">
        <v>121</v>
      </c>
      <c r="I10" s="52"/>
      <c r="J10" s="52"/>
      <c r="K10" s="52"/>
      <c r="L10" s="52"/>
      <c r="M10" s="52"/>
      <c r="N10" s="52"/>
      <c r="O10" s="52"/>
      <c r="P10" s="52"/>
      <c r="Q10" s="52"/>
    </row>
    <row r="11" spans="1:17">
      <c r="A11" s="61">
        <v>6</v>
      </c>
      <c r="B11" s="59" t="s">
        <v>26</v>
      </c>
      <c r="C11" s="31">
        <v>494732586.72000003</v>
      </c>
      <c r="D11" s="52"/>
      <c r="E11" s="52"/>
      <c r="F11" s="52"/>
      <c r="G11" s="4">
        <v>3</v>
      </c>
      <c r="H11" s="74" t="s">
        <v>122</v>
      </c>
      <c r="I11" s="52"/>
      <c r="J11" s="52"/>
      <c r="K11" s="52"/>
      <c r="L11" s="52"/>
      <c r="M11" s="52"/>
      <c r="N11" s="52"/>
      <c r="O11" s="52"/>
      <c r="P11" s="52"/>
      <c r="Q11" s="52"/>
    </row>
    <row r="12" spans="1:17">
      <c r="A12" s="61">
        <v>7</v>
      </c>
      <c r="B12" s="59" t="s">
        <v>14</v>
      </c>
      <c r="C12" s="31">
        <v>986190869.70000005</v>
      </c>
      <c r="D12" s="52"/>
      <c r="E12" s="52"/>
      <c r="F12" s="52"/>
      <c r="G12" s="4">
        <v>4</v>
      </c>
      <c r="H12" s="74" t="s">
        <v>123</v>
      </c>
      <c r="I12" s="52"/>
      <c r="J12" s="52"/>
      <c r="K12" s="52"/>
      <c r="L12" s="52"/>
      <c r="M12" s="52"/>
      <c r="N12" s="52"/>
      <c r="O12" s="52"/>
      <c r="P12" s="52"/>
      <c r="Q12" s="52"/>
    </row>
    <row r="13" spans="1:17">
      <c r="A13" s="61">
        <v>8</v>
      </c>
      <c r="B13" s="59" t="s">
        <v>37</v>
      </c>
      <c r="C13" s="31">
        <v>714615000</v>
      </c>
      <c r="D13" s="52"/>
      <c r="E13" s="52"/>
      <c r="F13" s="52"/>
      <c r="G13" s="4">
        <v>5</v>
      </c>
      <c r="H13" s="74" t="s">
        <v>124</v>
      </c>
      <c r="I13" s="52"/>
      <c r="J13" s="52"/>
      <c r="K13" s="52"/>
      <c r="L13" s="52"/>
      <c r="M13" s="52"/>
      <c r="N13" s="52"/>
      <c r="O13" s="52"/>
      <c r="P13" s="52"/>
      <c r="Q13" s="52"/>
    </row>
    <row r="14" spans="1:17">
      <c r="A14" s="61">
        <v>9</v>
      </c>
      <c r="B14" s="59" t="s">
        <v>43</v>
      </c>
      <c r="C14" s="31">
        <v>2319525164.8800001</v>
      </c>
      <c r="D14" s="52"/>
      <c r="E14" s="52"/>
      <c r="F14" s="52"/>
      <c r="G14" s="4">
        <v>6</v>
      </c>
      <c r="H14" s="74" t="s">
        <v>125</v>
      </c>
      <c r="I14" s="52"/>
      <c r="J14" s="52"/>
      <c r="K14" s="52"/>
      <c r="L14" s="52"/>
      <c r="M14" s="52"/>
      <c r="N14" s="52"/>
      <c r="O14" s="52"/>
      <c r="P14" s="52"/>
      <c r="Q14" s="52"/>
    </row>
    <row r="15" spans="1:17">
      <c r="A15" s="61">
        <v>10</v>
      </c>
      <c r="B15" s="3" t="s">
        <v>55</v>
      </c>
      <c r="C15" s="31">
        <v>198839850</v>
      </c>
      <c r="D15" s="52"/>
      <c r="E15" s="52"/>
      <c r="F15" s="52"/>
      <c r="G15" s="4">
        <v>7</v>
      </c>
      <c r="H15" s="74" t="s">
        <v>126</v>
      </c>
      <c r="I15" s="52"/>
      <c r="J15" s="52"/>
      <c r="K15" s="52"/>
      <c r="L15" s="52"/>
      <c r="M15" s="52"/>
      <c r="N15" s="52"/>
      <c r="O15" s="52"/>
      <c r="P15" s="52"/>
      <c r="Q15" s="52"/>
    </row>
    <row r="16" spans="1:17">
      <c r="A16" s="61">
        <v>11</v>
      </c>
      <c r="B16" s="59" t="s">
        <v>111</v>
      </c>
      <c r="C16" s="31">
        <v>864053656.63999999</v>
      </c>
      <c r="D16" s="52"/>
      <c r="E16" s="52"/>
      <c r="F16" s="52"/>
      <c r="G16" s="52"/>
      <c r="H16" s="52"/>
      <c r="I16" s="52"/>
      <c r="J16" s="52"/>
      <c r="K16" s="52"/>
      <c r="L16" s="52"/>
      <c r="M16" s="52"/>
      <c r="N16" s="52"/>
      <c r="O16" s="52"/>
      <c r="P16" s="52"/>
      <c r="Q16" s="52"/>
    </row>
    <row r="17" spans="1:17">
      <c r="A17" s="61">
        <v>12</v>
      </c>
      <c r="B17" s="3" t="s">
        <v>65</v>
      </c>
      <c r="C17" s="31">
        <v>234460277.75999999</v>
      </c>
      <c r="D17" s="52"/>
      <c r="E17" s="52"/>
      <c r="F17" s="52"/>
      <c r="G17" s="52"/>
      <c r="H17" s="52"/>
      <c r="I17" s="52"/>
      <c r="J17" s="52"/>
      <c r="K17" s="52"/>
      <c r="L17" s="52"/>
      <c r="M17" s="52"/>
      <c r="N17" s="52"/>
      <c r="O17" s="52"/>
      <c r="P17" s="52"/>
      <c r="Q17" s="52"/>
    </row>
    <row r="18" spans="1:17">
      <c r="A18" s="61">
        <v>13</v>
      </c>
      <c r="B18" s="59" t="s">
        <v>6</v>
      </c>
      <c r="C18" s="31">
        <v>6660592476.7849998</v>
      </c>
      <c r="D18" s="52"/>
      <c r="E18" s="52"/>
      <c r="F18" s="52"/>
      <c r="G18" s="52"/>
      <c r="H18" s="52"/>
      <c r="I18" s="52"/>
      <c r="J18" s="52"/>
      <c r="K18" s="52"/>
      <c r="L18" s="52"/>
      <c r="M18" s="52"/>
      <c r="N18" s="52"/>
      <c r="O18" s="52"/>
      <c r="P18" s="52"/>
      <c r="Q18" s="52"/>
    </row>
    <row r="19" spans="1:17">
      <c r="A19" s="61">
        <v>14</v>
      </c>
      <c r="B19" s="59" t="s">
        <v>47</v>
      </c>
      <c r="C19" s="31">
        <v>5242446522.4000006</v>
      </c>
      <c r="D19" s="52"/>
      <c r="E19" s="52"/>
      <c r="F19" s="52"/>
      <c r="G19" s="52"/>
      <c r="H19" s="52"/>
      <c r="I19" s="52"/>
      <c r="J19" s="52"/>
      <c r="K19" s="52"/>
      <c r="L19" s="52"/>
      <c r="M19" s="52"/>
      <c r="N19" s="52"/>
      <c r="O19" s="52"/>
      <c r="P19" s="52"/>
      <c r="Q19" s="52"/>
    </row>
    <row r="20" spans="1:17">
      <c r="A20" s="61">
        <v>15</v>
      </c>
      <c r="B20" s="3" t="s">
        <v>71</v>
      </c>
      <c r="C20" s="31">
        <v>155627704.59600002</v>
      </c>
      <c r="D20" s="52"/>
      <c r="E20" s="52"/>
      <c r="F20" s="52"/>
      <c r="G20" s="52"/>
      <c r="H20" s="52"/>
      <c r="I20" s="52"/>
      <c r="J20" s="52"/>
      <c r="K20" s="52"/>
      <c r="L20" s="52"/>
      <c r="M20" s="52"/>
      <c r="N20" s="52"/>
      <c r="O20" s="52"/>
      <c r="P20" s="52"/>
      <c r="Q20" s="52"/>
    </row>
    <row r="21" spans="1:17">
      <c r="A21" s="52"/>
      <c r="B21" s="52"/>
      <c r="C21" s="52"/>
      <c r="D21" s="52"/>
      <c r="E21" s="52"/>
      <c r="F21" s="52"/>
      <c r="G21" s="52"/>
      <c r="H21" s="52"/>
      <c r="I21" s="52"/>
      <c r="J21" s="52"/>
      <c r="K21" s="52"/>
      <c r="L21" s="52"/>
      <c r="M21" s="52"/>
      <c r="N21" s="52"/>
      <c r="O21" s="52"/>
      <c r="P21" s="52"/>
      <c r="Q21" s="52"/>
    </row>
    <row r="22" spans="1:17">
      <c r="A22" s="52"/>
      <c r="B22" s="52"/>
      <c r="C22" s="52"/>
      <c r="D22" s="52"/>
      <c r="E22" s="52"/>
      <c r="F22" s="52"/>
      <c r="G22" s="52"/>
      <c r="H22" s="52"/>
      <c r="I22" s="52"/>
      <c r="J22" s="52"/>
      <c r="K22" s="52"/>
      <c r="L22" s="52"/>
      <c r="M22" s="52"/>
      <c r="N22" s="52"/>
      <c r="O22" s="52"/>
      <c r="P22" s="52"/>
      <c r="Q22" s="52"/>
    </row>
    <row r="23" spans="1:17">
      <c r="A23" s="52"/>
      <c r="B23" s="52"/>
      <c r="C23" s="52"/>
      <c r="D23" s="52"/>
      <c r="E23" s="52"/>
      <c r="F23" s="52"/>
      <c r="G23" s="52"/>
      <c r="H23" s="52"/>
      <c r="I23" s="52"/>
      <c r="J23" s="52"/>
      <c r="K23" s="52"/>
      <c r="L23" s="52"/>
      <c r="M23" s="52"/>
      <c r="N23" s="52"/>
      <c r="O23" s="52"/>
      <c r="P23" s="52"/>
      <c r="Q23" s="52"/>
    </row>
    <row r="24" spans="1:17">
      <c r="A24" s="52"/>
      <c r="B24" s="52"/>
      <c r="C24" s="52"/>
      <c r="D24" s="52"/>
      <c r="E24" s="52"/>
      <c r="F24" s="52"/>
      <c r="G24" s="52"/>
      <c r="H24" s="52"/>
      <c r="I24" s="52"/>
      <c r="J24" s="52"/>
      <c r="K24" s="52"/>
      <c r="L24" s="52"/>
      <c r="M24" s="52"/>
      <c r="N24" s="52"/>
      <c r="O24" s="52"/>
      <c r="P24" s="52"/>
      <c r="Q24" s="52"/>
    </row>
    <row r="25" spans="1:17">
      <c r="A25" s="52"/>
      <c r="B25" s="52"/>
      <c r="C25" s="52"/>
      <c r="D25" s="52"/>
      <c r="E25" s="52"/>
      <c r="F25" s="52"/>
      <c r="G25" s="52"/>
      <c r="H25" s="52"/>
      <c r="I25" s="52"/>
      <c r="J25" s="52"/>
      <c r="K25" s="52"/>
      <c r="L25" s="52"/>
      <c r="M25" s="52"/>
      <c r="N25" s="52"/>
      <c r="O25" s="52"/>
      <c r="P25" s="52"/>
      <c r="Q25" s="52"/>
    </row>
    <row r="26" spans="1:17">
      <c r="A26" s="52"/>
      <c r="B26" s="52"/>
      <c r="C26" s="52"/>
      <c r="D26" s="52"/>
      <c r="E26" s="52"/>
      <c r="F26" s="52"/>
      <c r="G26" s="52"/>
      <c r="H26" s="52"/>
      <c r="I26" s="52"/>
      <c r="J26" s="52"/>
      <c r="K26" s="52"/>
      <c r="L26" s="52"/>
      <c r="M26" s="52"/>
      <c r="N26" s="52"/>
      <c r="O26" s="52"/>
      <c r="P26" s="52"/>
      <c r="Q26" s="52"/>
    </row>
    <row r="27" spans="1:17">
      <c r="A27" s="52"/>
      <c r="B27" s="52"/>
      <c r="C27" s="52"/>
      <c r="D27" s="52"/>
      <c r="E27" s="52"/>
      <c r="F27" s="52"/>
      <c r="G27" s="52"/>
      <c r="H27" s="52"/>
      <c r="I27" s="52"/>
      <c r="J27" s="52"/>
      <c r="K27" s="52"/>
      <c r="L27" s="52"/>
      <c r="M27" s="52"/>
      <c r="N27" s="52"/>
      <c r="O27" s="52"/>
      <c r="P27" s="52"/>
      <c r="Q27" s="52"/>
    </row>
  </sheetData>
  <mergeCells count="1">
    <mergeCell ref="G8:H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8391-9D0B-46C8-98E7-2D76B74B0964}">
  <sheetPr>
    <tabColor theme="5" tint="0.59999389629810485"/>
  </sheetPr>
  <dimension ref="A4:D19"/>
  <sheetViews>
    <sheetView topLeftCell="A3" workbookViewId="0">
      <selection activeCell="H14" sqref="H14"/>
    </sheetView>
  </sheetViews>
  <sheetFormatPr baseColWidth="10" defaultColWidth="8.83203125" defaultRowHeight="15"/>
  <cols>
    <col min="3" max="3" width="16.5" bestFit="1" customWidth="1"/>
  </cols>
  <sheetData>
    <row r="4" spans="1:4">
      <c r="A4" s="79" t="s">
        <v>127</v>
      </c>
      <c r="B4" s="80" t="s">
        <v>114</v>
      </c>
      <c r="C4" s="80" t="s">
        <v>115</v>
      </c>
      <c r="D4" s="81" t="s">
        <v>128</v>
      </c>
    </row>
    <row r="5" spans="1:4">
      <c r="A5" s="75">
        <v>1</v>
      </c>
      <c r="B5" s="76" t="s">
        <v>6</v>
      </c>
      <c r="C5" s="77">
        <v>6660592476.7849998</v>
      </c>
      <c r="D5" s="76">
        <v>1</v>
      </c>
    </row>
    <row r="6" spans="1:4">
      <c r="A6" s="75">
        <v>2</v>
      </c>
      <c r="B6" s="76" t="s">
        <v>47</v>
      </c>
      <c r="C6" s="77">
        <v>5242446522.4000006</v>
      </c>
      <c r="D6" s="76">
        <v>1</v>
      </c>
    </row>
    <row r="7" spans="1:4">
      <c r="A7" s="75">
        <v>3</v>
      </c>
      <c r="B7" s="76" t="s">
        <v>43</v>
      </c>
      <c r="C7" s="77">
        <v>2319525164.8800001</v>
      </c>
      <c r="D7" s="76">
        <v>1</v>
      </c>
    </row>
    <row r="8" spans="1:4">
      <c r="A8" s="75">
        <v>4</v>
      </c>
      <c r="B8" s="76" t="s">
        <v>12</v>
      </c>
      <c r="C8" s="77">
        <v>1646323083.8999999</v>
      </c>
      <c r="D8" s="76">
        <v>1</v>
      </c>
    </row>
    <row r="9" spans="1:4">
      <c r="A9" s="75">
        <v>5</v>
      </c>
      <c r="B9" s="76" t="s">
        <v>8</v>
      </c>
      <c r="C9" s="77">
        <f>0.397*3709161852</f>
        <v>1472537255.244</v>
      </c>
      <c r="D9" s="76">
        <v>1</v>
      </c>
    </row>
    <row r="10" spans="1:4">
      <c r="A10" s="75">
        <v>6</v>
      </c>
      <c r="B10" s="76" t="s">
        <v>14</v>
      </c>
      <c r="C10" s="77">
        <v>986190869.70000005</v>
      </c>
      <c r="D10" s="76">
        <v>1</v>
      </c>
    </row>
    <row r="11" spans="1:4">
      <c r="A11" s="75">
        <v>7</v>
      </c>
      <c r="B11" s="76" t="s">
        <v>111</v>
      </c>
      <c r="C11" s="77">
        <v>864053656.63999999</v>
      </c>
      <c r="D11" s="76">
        <v>1</v>
      </c>
    </row>
    <row r="12" spans="1:4">
      <c r="A12" s="75">
        <v>8</v>
      </c>
      <c r="B12" s="76" t="s">
        <v>49</v>
      </c>
      <c r="C12" s="77">
        <v>817937960.48000002</v>
      </c>
      <c r="D12" s="76">
        <v>0</v>
      </c>
    </row>
    <row r="13" spans="1:4">
      <c r="A13" s="75">
        <v>9</v>
      </c>
      <c r="B13" s="76" t="s">
        <v>37</v>
      </c>
      <c r="C13" s="77">
        <v>714615000</v>
      </c>
      <c r="D13" s="76">
        <v>0</v>
      </c>
    </row>
    <row r="14" spans="1:4">
      <c r="A14" s="75">
        <v>10</v>
      </c>
      <c r="B14" s="76" t="s">
        <v>26</v>
      </c>
      <c r="C14" s="77">
        <v>494732586.72000003</v>
      </c>
      <c r="D14" s="76">
        <v>0</v>
      </c>
    </row>
    <row r="15" spans="1:4">
      <c r="A15" s="75">
        <v>11</v>
      </c>
      <c r="B15" s="78" t="s">
        <v>45</v>
      </c>
      <c r="C15" s="77">
        <v>399500000</v>
      </c>
      <c r="D15" s="76">
        <v>0</v>
      </c>
    </row>
    <row r="16" spans="1:4">
      <c r="A16" s="75">
        <v>12</v>
      </c>
      <c r="B16" s="78" t="s">
        <v>65</v>
      </c>
      <c r="C16" s="77">
        <v>234460277.75999999</v>
      </c>
      <c r="D16" s="76">
        <v>0</v>
      </c>
    </row>
    <row r="17" spans="1:4">
      <c r="A17" s="75">
        <v>13</v>
      </c>
      <c r="B17" s="76" t="s">
        <v>85</v>
      </c>
      <c r="C17" s="77">
        <v>205632000</v>
      </c>
      <c r="D17" s="76">
        <v>0</v>
      </c>
    </row>
    <row r="18" spans="1:4">
      <c r="A18" s="75">
        <v>14</v>
      </c>
      <c r="B18" s="78" t="s">
        <v>55</v>
      </c>
      <c r="C18" s="77">
        <v>198839850</v>
      </c>
      <c r="D18" s="76">
        <v>0</v>
      </c>
    </row>
    <row r="19" spans="1:4">
      <c r="A19" s="75">
        <v>15</v>
      </c>
      <c r="B19" s="78" t="s">
        <v>71</v>
      </c>
      <c r="C19" s="77">
        <v>155627704.59600002</v>
      </c>
      <c r="D19" s="76">
        <v>0</v>
      </c>
    </row>
  </sheetData>
  <sortState xmlns:xlrd2="http://schemas.microsoft.com/office/spreadsheetml/2017/richdata2" ref="B5:C19">
    <sortCondition descending="1" ref="C5:C19"/>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28265-159E-46C8-ACD1-4B2232140746}">
  <sheetPr>
    <tabColor theme="5" tint="0.59999389629810485"/>
  </sheetPr>
  <dimension ref="A1:W251"/>
  <sheetViews>
    <sheetView topLeftCell="G17" workbookViewId="0">
      <selection activeCell="U12" sqref="U12"/>
    </sheetView>
  </sheetViews>
  <sheetFormatPr baseColWidth="10" defaultColWidth="8.83203125" defaultRowHeight="15"/>
  <cols>
    <col min="1" max="1" width="10.5" style="7" bestFit="1" customWidth="1"/>
    <col min="16" max="17" width="19.33203125" bestFit="1" customWidth="1"/>
    <col min="19" max="19" width="9.33203125" customWidth="1"/>
  </cols>
  <sheetData>
    <row r="1" spans="1:23">
      <c r="A1" s="86"/>
      <c r="B1" s="2" t="s">
        <v>6</v>
      </c>
      <c r="C1" s="2" t="s">
        <v>47</v>
      </c>
      <c r="D1" s="82" t="s">
        <v>43</v>
      </c>
      <c r="E1" s="2" t="s">
        <v>12</v>
      </c>
      <c r="F1" s="2" t="s">
        <v>8</v>
      </c>
      <c r="G1" s="82" t="s">
        <v>14</v>
      </c>
      <c r="H1" s="82" t="s">
        <v>16</v>
      </c>
      <c r="I1" s="2" t="s">
        <v>49</v>
      </c>
      <c r="J1" s="2" t="s">
        <v>37</v>
      </c>
      <c r="K1" s="2" t="s">
        <v>26</v>
      </c>
      <c r="L1" s="2" t="s">
        <v>45</v>
      </c>
      <c r="M1" s="82" t="s">
        <v>65</v>
      </c>
      <c r="N1" s="2" t="s">
        <v>85</v>
      </c>
      <c r="O1" s="82" t="s">
        <v>55</v>
      </c>
      <c r="P1" s="82" t="s">
        <v>71</v>
      </c>
      <c r="Q1" s="83" t="s">
        <v>110</v>
      </c>
      <c r="R1" s="52"/>
      <c r="S1" s="52"/>
      <c r="T1" s="52"/>
      <c r="U1" s="52"/>
      <c r="V1" s="52"/>
      <c r="W1" s="52"/>
    </row>
    <row r="2" spans="1:23">
      <c r="A2" s="87">
        <v>43552</v>
      </c>
      <c r="B2" s="88">
        <v>1.9556720705107473E-3</v>
      </c>
      <c r="C2" s="88">
        <v>2.2892055187478333E-2</v>
      </c>
      <c r="D2" s="88">
        <v>2.0152943582152701E-2</v>
      </c>
      <c r="E2" s="88">
        <v>2.1681066061323948E-2</v>
      </c>
      <c r="F2" s="88">
        <v>1.4684551682921099E-2</v>
      </c>
      <c r="G2" s="88">
        <v>-1.2547216052088528E-2</v>
      </c>
      <c r="H2" s="88">
        <v>9.4192219164915582E-3</v>
      </c>
      <c r="I2" s="168">
        <v>-1.7051249872658693E-2</v>
      </c>
      <c r="J2" s="88">
        <v>-1.2951152347078006E-2</v>
      </c>
      <c r="K2" s="88">
        <v>-1.9635974516858962E-2</v>
      </c>
      <c r="L2" s="88">
        <v>-6.0569537081897962E-3</v>
      </c>
      <c r="M2" s="88">
        <v>0</v>
      </c>
      <c r="N2" s="88">
        <v>0</v>
      </c>
      <c r="O2" s="88">
        <v>-1.8519047767237642E-2</v>
      </c>
      <c r="P2" s="88">
        <v>-1.077209698191107E-2</v>
      </c>
      <c r="Q2" s="89">
        <v>-9.808111315924208E-5</v>
      </c>
      <c r="R2" s="52"/>
      <c r="S2" s="52"/>
      <c r="T2" s="52"/>
      <c r="U2" s="52"/>
      <c r="V2" s="52"/>
      <c r="W2" s="52"/>
    </row>
    <row r="3" spans="1:23">
      <c r="A3" s="87">
        <v>43553</v>
      </c>
      <c r="B3" s="88">
        <v>-8.1739869857152779E-3</v>
      </c>
      <c r="C3" s="88">
        <v>8.3787185463115568E-4</v>
      </c>
      <c r="D3" s="88">
        <v>1.8667501560250377E-2</v>
      </c>
      <c r="E3" s="88">
        <v>-1.3413818242013361E-3</v>
      </c>
      <c r="F3" s="88">
        <v>3.0153038170687457E-2</v>
      </c>
      <c r="G3" s="88">
        <v>1.5701007362315708E-2</v>
      </c>
      <c r="H3" s="88">
        <v>3.1201273362436777E-3</v>
      </c>
      <c r="I3" s="88">
        <v>6.3492276786587445E-3</v>
      </c>
      <c r="J3" s="88">
        <v>2.2100347000665922E-2</v>
      </c>
      <c r="K3" s="88">
        <v>-2.8368813351996149E-3</v>
      </c>
      <c r="L3" s="88">
        <v>2.2823813565256913E-2</v>
      </c>
      <c r="M3" s="88">
        <v>0</v>
      </c>
      <c r="N3" s="88">
        <v>0</v>
      </c>
      <c r="O3" s="88">
        <v>9.3023926623136306E-3</v>
      </c>
      <c r="P3" s="88">
        <v>2.4956731973867458E-2</v>
      </c>
      <c r="Q3" s="89">
        <v>1.0745523350643587E-2</v>
      </c>
      <c r="R3" s="52"/>
      <c r="S3" s="52"/>
      <c r="T3" s="52"/>
      <c r="U3" s="52"/>
      <c r="V3" s="52"/>
      <c r="W3" s="52"/>
    </row>
    <row r="4" spans="1:23">
      <c r="A4" s="87">
        <v>43556</v>
      </c>
      <c r="B4" s="88">
        <v>3.2824553060184372E-4</v>
      </c>
      <c r="C4" s="88">
        <v>5.0125418235444138E-3</v>
      </c>
      <c r="D4" s="88">
        <v>1.0820274361708076E-2</v>
      </c>
      <c r="E4" s="88">
        <v>-1.3431835464676259E-3</v>
      </c>
      <c r="F4" s="88">
        <v>2.514098895810201E-2</v>
      </c>
      <c r="G4" s="88">
        <v>2.92337303446875E-2</v>
      </c>
      <c r="H4" s="88">
        <v>1.1357891844409582E-2</v>
      </c>
      <c r="I4" s="88">
        <v>0</v>
      </c>
      <c r="J4" s="88">
        <v>1.0869672236903891E-2</v>
      </c>
      <c r="K4" s="88">
        <v>1.5504186535965254E-2</v>
      </c>
      <c r="L4" s="88">
        <v>4.7393453638965681E-3</v>
      </c>
      <c r="M4" s="88">
        <v>3.5583501700941784E-3</v>
      </c>
      <c r="N4" s="88">
        <v>4.040409537005127E-3</v>
      </c>
      <c r="O4" s="88">
        <v>9.2166551049240476E-3</v>
      </c>
      <c r="P4" s="88">
        <v>1.6760168857465101E-2</v>
      </c>
      <c r="Q4" s="89">
        <v>2.68619386823329E-2</v>
      </c>
      <c r="R4" s="52"/>
      <c r="S4" s="52"/>
      <c r="T4" s="52"/>
      <c r="U4" s="52"/>
      <c r="V4" s="52"/>
      <c r="W4" s="52"/>
    </row>
    <row r="5" spans="1:23">
      <c r="A5" s="87">
        <v>43557</v>
      </c>
      <c r="B5" s="88">
        <v>1.0447368938791278E-2</v>
      </c>
      <c r="C5" s="88">
        <v>0</v>
      </c>
      <c r="D5" s="88">
        <v>2.1500760809192152E-3</v>
      </c>
      <c r="E5" s="88">
        <v>-4.7154011252384439E-3</v>
      </c>
      <c r="F5" s="88">
        <v>1.3698844358161927E-2</v>
      </c>
      <c r="G5" s="88">
        <v>3.0534374868904698E-3</v>
      </c>
      <c r="H5" s="88">
        <v>-4.1152321451066549E-3</v>
      </c>
      <c r="I5" s="88">
        <v>7.7232632304626118E-3</v>
      </c>
      <c r="J5" s="88">
        <v>1.9625964456748444E-2</v>
      </c>
      <c r="K5" s="88">
        <v>2.0761991448429006E-2</v>
      </c>
      <c r="L5" s="88">
        <v>1.6413029641330051E-2</v>
      </c>
      <c r="M5" s="88">
        <v>3.3375083128798087E-3</v>
      </c>
      <c r="N5" s="88">
        <v>1.600034134644112E-2</v>
      </c>
      <c r="O5" s="88">
        <v>0</v>
      </c>
      <c r="P5" s="88">
        <v>-9.7425961988185927E-3</v>
      </c>
      <c r="Q5" s="89">
        <v>3.3008443747769606E-3</v>
      </c>
      <c r="R5" s="52"/>
      <c r="S5" s="52"/>
      <c r="T5" s="52"/>
      <c r="U5" s="52"/>
      <c r="V5" s="52"/>
      <c r="W5" s="52"/>
    </row>
    <row r="6" spans="1:23">
      <c r="A6" s="87">
        <v>43558</v>
      </c>
      <c r="B6" s="88">
        <v>-9.4632783230430319E-3</v>
      </c>
      <c r="C6" s="88">
        <v>1.4888612493750559E-2</v>
      </c>
      <c r="D6" s="88">
        <v>-1.2970350442627404E-2</v>
      </c>
      <c r="E6" s="88">
        <v>-6.7544750963796684E-4</v>
      </c>
      <c r="F6" s="88">
        <v>-1.3614705983210744E-3</v>
      </c>
      <c r="G6" s="88">
        <v>8.9457465584582667E-3</v>
      </c>
      <c r="H6" s="88">
        <v>-1.1404996613990245E-2</v>
      </c>
      <c r="I6" s="88">
        <v>0</v>
      </c>
      <c r="J6" s="88">
        <v>1.0544913176614819E-2</v>
      </c>
      <c r="K6" s="88">
        <v>0</v>
      </c>
      <c r="L6" s="88">
        <v>-9.345862418237658E-3</v>
      </c>
      <c r="M6" s="88">
        <v>3.3264063936182561E-3</v>
      </c>
      <c r="N6" s="88">
        <v>-3.9761483796392945E-3</v>
      </c>
      <c r="O6" s="88">
        <v>7.9336742236521013E-2</v>
      </c>
      <c r="P6" s="88">
        <v>-2.8011222797116675E-3</v>
      </c>
      <c r="Q6" s="89">
        <v>7.9579215031303149E-3</v>
      </c>
      <c r="R6" s="52"/>
      <c r="S6" s="93" t="s">
        <v>116</v>
      </c>
      <c r="T6" s="93" t="s">
        <v>129</v>
      </c>
      <c r="U6" s="93" t="s">
        <v>130</v>
      </c>
      <c r="V6" s="52"/>
      <c r="W6" s="52"/>
    </row>
    <row r="7" spans="1:23">
      <c r="A7" s="87">
        <v>43559</v>
      </c>
      <c r="B7" s="88">
        <v>-1.4198686612928196E-2</v>
      </c>
      <c r="C7" s="88">
        <v>-4.9382816405825663E-3</v>
      </c>
      <c r="D7" s="88">
        <v>-1.6331867095784843E-3</v>
      </c>
      <c r="E7" s="88">
        <v>-4.7409502955304845E-3</v>
      </c>
      <c r="F7" s="88">
        <v>-1.648388972168937E-2</v>
      </c>
      <c r="G7" s="88">
        <v>-5.901604177230073E-3</v>
      </c>
      <c r="H7" s="88">
        <v>-5.2274034351517994E-3</v>
      </c>
      <c r="I7" s="88">
        <v>0</v>
      </c>
      <c r="J7" s="88">
        <v>0</v>
      </c>
      <c r="K7" s="88">
        <v>1.3689256073417405E-3</v>
      </c>
      <c r="L7" s="88">
        <v>1.1668743834377424E-2</v>
      </c>
      <c r="M7" s="88">
        <v>-1.0222264876592183E-2</v>
      </c>
      <c r="N7" s="88">
        <v>-2.0121403199421063E-2</v>
      </c>
      <c r="O7" s="88">
        <v>4.9596941139371978E-2</v>
      </c>
      <c r="P7" s="88">
        <v>4.1987465463497612E-3</v>
      </c>
      <c r="Q7" s="89">
        <v>-5.8886679800273919E-3</v>
      </c>
      <c r="R7" s="52"/>
      <c r="S7" s="16" t="s">
        <v>6</v>
      </c>
      <c r="T7" s="73">
        <f>SLOPE(B2:B248,Q2:Q248)</f>
        <v>0.78418884512253861</v>
      </c>
      <c r="U7" s="73">
        <f>IF(T7&lt;1.1,1,0)</f>
        <v>1</v>
      </c>
      <c r="V7" s="52"/>
      <c r="W7" s="52"/>
    </row>
    <row r="8" spans="1:23">
      <c r="A8" s="87">
        <v>43560</v>
      </c>
      <c r="B8" s="88">
        <v>-2.6640042395200312E-3</v>
      </c>
      <c r="C8" s="88">
        <v>4.9382816405825767E-3</v>
      </c>
      <c r="D8" s="88">
        <v>1.6331867095785997E-3</v>
      </c>
      <c r="E8" s="88">
        <v>8.113634774169631E-3</v>
      </c>
      <c r="F8" s="88">
        <v>-8.3449719321806465E-3</v>
      </c>
      <c r="G8" s="88">
        <v>8.9186767318388104E-3</v>
      </c>
      <c r="H8" s="88">
        <v>-5.2548728383585855E-3</v>
      </c>
      <c r="I8" s="88">
        <v>2.978758963537343E-3</v>
      </c>
      <c r="J8" s="88">
        <v>1.7467253349418002E-3</v>
      </c>
      <c r="K8" s="88">
        <v>-6.8634449249824004E-3</v>
      </c>
      <c r="L8" s="88">
        <v>8.0878546016989062E-3</v>
      </c>
      <c r="M8" s="88">
        <v>1.3744489589170262E-2</v>
      </c>
      <c r="N8" s="88">
        <v>1.6129381929883498E-2</v>
      </c>
      <c r="O8" s="88">
        <v>1.2024192966801812E-2</v>
      </c>
      <c r="P8" s="88">
        <v>6.9589703243035225E-3</v>
      </c>
      <c r="Q8" s="89">
        <v>1.2565023722950831E-2</v>
      </c>
      <c r="R8" s="52"/>
      <c r="S8" s="16" t="s">
        <v>47</v>
      </c>
      <c r="T8" s="73">
        <f>SLOPE(C2:C248,Q2:Q248)</f>
        <v>0.5967057590198418</v>
      </c>
      <c r="U8" s="163">
        <f t="shared" ref="U8:U21" si="0">IF(T8&lt;1.1,1,0)</f>
        <v>1</v>
      </c>
      <c r="V8" s="52"/>
      <c r="W8" s="52"/>
    </row>
    <row r="9" spans="1:23">
      <c r="A9" s="87">
        <v>43563</v>
      </c>
      <c r="B9" s="88">
        <v>-1.2414183921264869E-2</v>
      </c>
      <c r="C9" s="88">
        <v>8.2068121142913535E-4</v>
      </c>
      <c r="D9" s="88">
        <v>1.0820274361708076E-2</v>
      </c>
      <c r="E9" s="88">
        <v>3.3613477027049274E-3</v>
      </c>
      <c r="F9" s="88">
        <v>-1.9746762934834558E-2</v>
      </c>
      <c r="G9" s="88">
        <v>0</v>
      </c>
      <c r="H9" s="88">
        <v>-8.4656590245482388E-3</v>
      </c>
      <c r="I9" s="88">
        <v>-2.9787589635373035E-3</v>
      </c>
      <c r="J9" s="88">
        <v>1.214238682572534E-2</v>
      </c>
      <c r="K9" s="88">
        <v>-1.1080445776571907E-2</v>
      </c>
      <c r="L9" s="88">
        <v>3.5051638058918796E-2</v>
      </c>
      <c r="M9" s="88">
        <v>0</v>
      </c>
      <c r="N9" s="88">
        <v>7.9681696491768813E-3</v>
      </c>
      <c r="O9" s="88">
        <v>3.5228691883743814E-2</v>
      </c>
      <c r="P9" s="88">
        <v>6.9108775398470101E-3</v>
      </c>
      <c r="Q9" s="89">
        <v>-1.1140584706615295E-3</v>
      </c>
      <c r="R9" s="52"/>
      <c r="S9" s="15" t="s">
        <v>43</v>
      </c>
      <c r="T9" s="73">
        <f>SLOPE(D2:D248,Q2:Q248)</f>
        <v>0.9593744019991628</v>
      </c>
      <c r="U9" s="163">
        <f t="shared" si="0"/>
        <v>1</v>
      </c>
      <c r="V9" s="52"/>
      <c r="W9" s="52"/>
    </row>
    <row r="10" spans="1:23">
      <c r="A10" s="87">
        <v>43564</v>
      </c>
      <c r="B10" s="88">
        <v>-7.1150562737491247E-3</v>
      </c>
      <c r="C10" s="88">
        <v>-4.1101578618278753E-3</v>
      </c>
      <c r="D10" s="88">
        <v>1.3893565369686662E-2</v>
      </c>
      <c r="E10" s="88">
        <v>0</v>
      </c>
      <c r="F10" s="88">
        <v>-1.2903404835907954E-2</v>
      </c>
      <c r="G10" s="88">
        <v>2.6442908133874368E-2</v>
      </c>
      <c r="H10" s="88">
        <v>9.5188450092068399E-3</v>
      </c>
      <c r="I10" s="88">
        <v>6.1047383768295443E-3</v>
      </c>
      <c r="J10" s="88">
        <v>1.3698844358161927E-2</v>
      </c>
      <c r="K10" s="88">
        <v>-8.3916576362484015E-3</v>
      </c>
      <c r="L10" s="88">
        <v>-2.2246950221110513E-3</v>
      </c>
      <c r="M10" s="88">
        <v>6.5966019460595238E-3</v>
      </c>
      <c r="N10" s="88">
        <v>3.9604012160969143E-3</v>
      </c>
      <c r="O10" s="88">
        <v>-1.1605546120308003E-2</v>
      </c>
      <c r="P10" s="88">
        <v>0</v>
      </c>
      <c r="Q10" s="89">
        <v>-5.5749500362123577E-4</v>
      </c>
      <c r="R10" s="52"/>
      <c r="S10" s="16" t="s">
        <v>12</v>
      </c>
      <c r="T10" s="73">
        <f>SLOPE(E2:E248,Q2:Q248)</f>
        <v>0.94437913783187688</v>
      </c>
      <c r="U10" s="163">
        <f t="shared" si="0"/>
        <v>1</v>
      </c>
      <c r="V10" s="52"/>
      <c r="W10" s="52"/>
    </row>
    <row r="11" spans="1:23">
      <c r="A11" s="87">
        <v>43565</v>
      </c>
      <c r="B11" s="88">
        <v>1.986262909625169E-2</v>
      </c>
      <c r="C11" s="88">
        <v>1.3093476747019604E-2</v>
      </c>
      <c r="D11" s="88">
        <v>-7.4571561080821634E-3</v>
      </c>
      <c r="E11" s="88">
        <v>-4.0349752121791056E-3</v>
      </c>
      <c r="F11" s="88">
        <v>1.441961316901184E-3</v>
      </c>
      <c r="G11" s="88">
        <v>-1.0087770810268449E-2</v>
      </c>
      <c r="H11" s="88">
        <v>-8.4567100182235087E-3</v>
      </c>
      <c r="I11" s="88">
        <v>4.5153833044207503E-3</v>
      </c>
      <c r="J11" s="88">
        <v>0</v>
      </c>
      <c r="K11" s="88">
        <v>1.1173300598125255E-2</v>
      </c>
      <c r="L11" s="88">
        <v>2.7459166200652505E-2</v>
      </c>
      <c r="M11" s="88">
        <v>1.670780511843176E-2</v>
      </c>
      <c r="N11" s="88">
        <v>0</v>
      </c>
      <c r="O11" s="88">
        <v>-3.8986404156571976E-3</v>
      </c>
      <c r="P11" s="88">
        <v>0</v>
      </c>
      <c r="Q11" s="89">
        <v>3.1418010983106908E-3</v>
      </c>
      <c r="R11" s="52"/>
      <c r="S11" s="16" t="s">
        <v>8</v>
      </c>
      <c r="T11" s="73">
        <f>SLOPE(F2:F248,Q2:Q248)</f>
        <v>1.4508211854779769</v>
      </c>
      <c r="U11" s="163">
        <f t="shared" si="0"/>
        <v>0</v>
      </c>
      <c r="V11" s="52"/>
      <c r="W11" s="52"/>
    </row>
    <row r="12" spans="1:23">
      <c r="A12" s="87">
        <v>43566</v>
      </c>
      <c r="B12" s="88">
        <v>-9.3771618125970436E-3</v>
      </c>
      <c r="C12" s="88">
        <v>1.8526506529604993E-2</v>
      </c>
      <c r="D12" s="88">
        <v>1.0687187081115956E-3</v>
      </c>
      <c r="E12" s="88">
        <v>-2.6990569691649467E-3</v>
      </c>
      <c r="F12" s="88">
        <v>7.1787817270057702E-3</v>
      </c>
      <c r="G12" s="88">
        <v>1.4028526967496337E-3</v>
      </c>
      <c r="H12" s="88">
        <v>1.1609629077838942E-2</v>
      </c>
      <c r="I12" s="88">
        <v>4.4950862327624817E-3</v>
      </c>
      <c r="J12" s="88">
        <v>2.3530497410194036E-2</v>
      </c>
      <c r="K12" s="88">
        <v>1.3793322132335769E-2</v>
      </c>
      <c r="L12" s="88">
        <v>1.8250640761197433E-2</v>
      </c>
      <c r="M12" s="88">
        <v>7.0029580500212074E-2</v>
      </c>
      <c r="N12" s="88">
        <v>0</v>
      </c>
      <c r="O12" s="88">
        <v>0</v>
      </c>
      <c r="P12" s="88">
        <v>5.4945193176407798E-3</v>
      </c>
      <c r="Q12" s="89">
        <v>1.1318442032973032E-2</v>
      </c>
      <c r="R12" s="52"/>
      <c r="S12" s="15" t="s">
        <v>14</v>
      </c>
      <c r="T12" s="73">
        <f>SLOPE(G2:G248,Q2:Q248)</f>
        <v>1.0268198254416081</v>
      </c>
      <c r="U12" s="163">
        <f t="shared" si="0"/>
        <v>1</v>
      </c>
      <c r="V12" s="52"/>
      <c r="W12" s="52"/>
    </row>
    <row r="13" spans="1:23">
      <c r="A13" s="87">
        <v>43567</v>
      </c>
      <c r="B13" s="88">
        <v>8.7102728248933201E-3</v>
      </c>
      <c r="C13" s="88">
        <v>-8.8176924026441943E-3</v>
      </c>
      <c r="D13" s="88">
        <v>0</v>
      </c>
      <c r="E13" s="88">
        <v>1.6750810424815351E-2</v>
      </c>
      <c r="F13" s="88">
        <v>-1.8773114507924887E-2</v>
      </c>
      <c r="G13" s="88">
        <v>7.2942047625859782E-3</v>
      </c>
      <c r="H13" s="88">
        <v>6.2761712292362043E-3</v>
      </c>
      <c r="I13" s="88">
        <v>2.8510201456509111E-2</v>
      </c>
      <c r="J13" s="88">
        <v>-3.3277900926745796E-3</v>
      </c>
      <c r="K13" s="88">
        <v>1.8996500690655085E-2</v>
      </c>
      <c r="L13" s="88">
        <v>7.4192179220286467E-3</v>
      </c>
      <c r="M13" s="88">
        <v>4.512320578950918E-2</v>
      </c>
      <c r="N13" s="88">
        <v>5.7597491783336542E-2</v>
      </c>
      <c r="O13" s="88">
        <v>-1.178795575204224E-2</v>
      </c>
      <c r="P13" s="88">
        <v>-1.3708021337787146E-3</v>
      </c>
      <c r="Q13" s="89">
        <v>2.0133357565718228E-3</v>
      </c>
      <c r="R13" s="52"/>
      <c r="S13" s="15" t="s">
        <v>16</v>
      </c>
      <c r="T13" s="163">
        <f>SLOPE(H2:H248,Q2:Q248)</f>
        <v>0.80509639224771412</v>
      </c>
      <c r="U13" s="163">
        <f t="shared" si="0"/>
        <v>1</v>
      </c>
      <c r="V13" s="52"/>
      <c r="W13" s="52"/>
    </row>
    <row r="14" spans="1:23">
      <c r="A14" s="87">
        <v>43570</v>
      </c>
      <c r="B14" s="88">
        <v>2.2428380769216376E-2</v>
      </c>
      <c r="C14" s="88">
        <v>-1.6116038943415328E-3</v>
      </c>
      <c r="D14" s="88">
        <v>0</v>
      </c>
      <c r="E14" s="88">
        <v>5.9622568144180434E-3</v>
      </c>
      <c r="F14" s="88">
        <v>6.4902886235426172E-2</v>
      </c>
      <c r="G14" s="88">
        <v>-1.3926501283721847E-3</v>
      </c>
      <c r="H14" s="88">
        <v>5.2002197271074982E-3</v>
      </c>
      <c r="I14" s="88">
        <v>2.8517842966951654E-3</v>
      </c>
      <c r="J14" s="88">
        <v>4.9875415110391882E-3</v>
      </c>
      <c r="K14" s="88">
        <v>-8.0972102326194745E-3</v>
      </c>
      <c r="L14" s="88">
        <v>2.8112210456456781E-2</v>
      </c>
      <c r="M14" s="88">
        <v>2.3316887975384008E-2</v>
      </c>
      <c r="N14" s="88">
        <v>4.0224801310508797E-2</v>
      </c>
      <c r="O14" s="88">
        <v>3.9447782910163251E-3</v>
      </c>
      <c r="P14" s="88">
        <v>1.3708021337786216E-3</v>
      </c>
      <c r="Q14" s="89">
        <v>1.0187330661690905E-2</v>
      </c>
      <c r="R14" s="52"/>
      <c r="S14" s="16" t="s">
        <v>49</v>
      </c>
      <c r="T14" s="73">
        <f>SLOPE(I2:I248,Q2:Q248)</f>
        <v>0.700836188731917</v>
      </c>
      <c r="U14" s="163">
        <f t="shared" si="0"/>
        <v>1</v>
      </c>
      <c r="V14" s="52"/>
      <c r="W14" s="52"/>
    </row>
    <row r="15" spans="1:23">
      <c r="A15" s="87">
        <v>43571</v>
      </c>
      <c r="B15" s="88">
        <v>1.4248945741520492E-2</v>
      </c>
      <c r="C15" s="88">
        <v>7.2318515264951869E-3</v>
      </c>
      <c r="D15" s="88">
        <v>-2.1385807979624927E-3</v>
      </c>
      <c r="E15" s="88">
        <v>3.5683318735638396E-2</v>
      </c>
      <c r="F15" s="88">
        <v>1.2220111334775397E-2</v>
      </c>
      <c r="G15" s="88">
        <v>-1.1838144480031792E-2</v>
      </c>
      <c r="H15" s="88">
        <v>0</v>
      </c>
      <c r="I15" s="88">
        <v>-1.4999252849577148E-3</v>
      </c>
      <c r="J15" s="88">
        <v>8.2576852389816373E-3</v>
      </c>
      <c r="K15" s="88">
        <v>-2.7137058715961618E-3</v>
      </c>
      <c r="L15" s="88">
        <v>1.02145934097182E-2</v>
      </c>
      <c r="M15" s="88">
        <v>-2.6202372394024072E-2</v>
      </c>
      <c r="N15" s="88">
        <v>2.8270433938255526E-2</v>
      </c>
      <c r="O15" s="88">
        <v>-7.9051795071132611E-3</v>
      </c>
      <c r="P15" s="88">
        <v>0</v>
      </c>
      <c r="Q15" s="89">
        <v>2.930376655621967E-3</v>
      </c>
      <c r="R15" s="52"/>
      <c r="S15" s="16" t="s">
        <v>37</v>
      </c>
      <c r="T15" s="73">
        <f>SLOPE(J2:J248,Q2:Q248)</f>
        <v>0.73748079467064831</v>
      </c>
      <c r="U15" s="163">
        <f t="shared" si="0"/>
        <v>1</v>
      </c>
      <c r="V15" s="52"/>
      <c r="W15" s="52"/>
    </row>
    <row r="16" spans="1:23">
      <c r="A16" s="87">
        <v>43572</v>
      </c>
      <c r="B16" s="88">
        <v>-3.2159511452609243E-4</v>
      </c>
      <c r="C16" s="88">
        <v>-1.9402387146750365E-2</v>
      </c>
      <c r="D16" s="88">
        <v>1.0698620898509212E-3</v>
      </c>
      <c r="E16" s="88">
        <v>2.8896482923724286E-2</v>
      </c>
      <c r="F16" s="88">
        <v>-1.4956091153650104E-2</v>
      </c>
      <c r="G16" s="88">
        <v>1.4621507959336958E-2</v>
      </c>
      <c r="H16" s="88">
        <v>-1.3577232065155372E-2</v>
      </c>
      <c r="I16" s="88">
        <v>5.9862495436308052E-3</v>
      </c>
      <c r="J16" s="88">
        <v>-1.6460909066686805E-3</v>
      </c>
      <c r="K16" s="88">
        <v>2.7137058715961042E-3</v>
      </c>
      <c r="L16" s="88">
        <v>-9.1884260544062551E-3</v>
      </c>
      <c r="M16" s="88">
        <v>8.8106296821549059E-3</v>
      </c>
      <c r="N16" s="88">
        <v>3.4782643763247925E-3</v>
      </c>
      <c r="O16" s="88">
        <v>1.1834457647002798E-2</v>
      </c>
      <c r="P16" s="88">
        <v>0</v>
      </c>
      <c r="Q16" s="89">
        <v>-3.0208773182776772E-3</v>
      </c>
      <c r="R16" s="52"/>
      <c r="S16" s="16" t="s">
        <v>26</v>
      </c>
      <c r="T16" s="73">
        <f>SLOPE(K2:K248,Q2:Q248)</f>
        <v>0.64478519471940132</v>
      </c>
      <c r="U16" s="163">
        <f t="shared" si="0"/>
        <v>1</v>
      </c>
      <c r="V16" s="52"/>
      <c r="W16" s="52"/>
    </row>
    <row r="17" spans="1:23">
      <c r="A17" s="87">
        <v>43573</v>
      </c>
      <c r="B17" s="88">
        <v>2.5698697085832986E-3</v>
      </c>
      <c r="C17" s="88">
        <v>5.6980211146377959E-3</v>
      </c>
      <c r="D17" s="88">
        <v>0</v>
      </c>
      <c r="E17" s="88">
        <v>-5.5883411500499301E-3</v>
      </c>
      <c r="F17" s="88">
        <v>9.543358046899696E-3</v>
      </c>
      <c r="G17" s="88">
        <v>0</v>
      </c>
      <c r="H17" s="88">
        <v>-1.0520779508037803E-3</v>
      </c>
      <c r="I17" s="88">
        <v>4.3177317134572811E-3</v>
      </c>
      <c r="J17" s="88">
        <v>9.8361448767129694E-3</v>
      </c>
      <c r="K17" s="88">
        <v>9.4403937790871265E-3</v>
      </c>
      <c r="L17" s="88">
        <v>0</v>
      </c>
      <c r="M17" s="88">
        <v>2.8762459118168673E-2</v>
      </c>
      <c r="N17" s="88">
        <v>-1.0471299867295478E-2</v>
      </c>
      <c r="O17" s="88">
        <v>-7.874056430905883E-3</v>
      </c>
      <c r="P17" s="88">
        <v>4.1011677442146068E-3</v>
      </c>
      <c r="Q17" s="89">
        <v>6.418126757328356E-3</v>
      </c>
      <c r="R17" s="52"/>
      <c r="S17" s="16" t="s">
        <v>45</v>
      </c>
      <c r="T17" s="73">
        <f>SLOPE(L2:L248,Q2:Q248)</f>
        <v>0.79165651819562965</v>
      </c>
      <c r="U17" s="163">
        <f t="shared" si="0"/>
        <v>1</v>
      </c>
      <c r="V17" s="52"/>
      <c r="W17" s="52"/>
    </row>
    <row r="18" spans="1:23">
      <c r="A18" s="87">
        <v>43578</v>
      </c>
      <c r="B18" s="88">
        <v>2.7216869841821034E-2</v>
      </c>
      <c r="C18" s="88">
        <v>-6.5146810211937538E-3</v>
      </c>
      <c r="D18" s="88">
        <v>2.1362964757818174E-3</v>
      </c>
      <c r="E18" s="88">
        <v>-1.1271252699625771E-2</v>
      </c>
      <c r="F18" s="88">
        <v>-1.3577734604603596E-3</v>
      </c>
      <c r="G18" s="88">
        <v>-1.3055827351415125E-2</v>
      </c>
      <c r="H18" s="88">
        <v>-2.1074823395646983E-3</v>
      </c>
      <c r="I18" s="88">
        <v>5.7773658956076137E-3</v>
      </c>
      <c r="J18" s="88">
        <v>-4.9059787688545183E-3</v>
      </c>
      <c r="K18" s="88">
        <v>-5.3835930834726427E-3</v>
      </c>
      <c r="L18" s="88">
        <v>2.0305266160745523E-2</v>
      </c>
      <c r="M18" s="88">
        <v>2.9526725750566923E-3</v>
      </c>
      <c r="N18" s="88">
        <v>0</v>
      </c>
      <c r="O18" s="88">
        <v>-7.9365495957363034E-3</v>
      </c>
      <c r="P18" s="88">
        <v>-1.3651879253399699E-3</v>
      </c>
      <c r="Q18" s="89">
        <v>-2.5983729775915826E-3</v>
      </c>
      <c r="R18" s="52"/>
      <c r="S18" s="15" t="s">
        <v>65</v>
      </c>
      <c r="T18" s="73">
        <f>SLOPE(M2:M248,Q2:Q248)</f>
        <v>0.90471615077725409</v>
      </c>
      <c r="U18" s="163">
        <f t="shared" si="0"/>
        <v>1</v>
      </c>
      <c r="V18" s="52"/>
      <c r="W18" s="52"/>
    </row>
    <row r="19" spans="1:23">
      <c r="A19" s="87">
        <v>43579</v>
      </c>
      <c r="B19" s="88">
        <v>-2.8138208342004508E-3</v>
      </c>
      <c r="C19" s="88">
        <v>8.1665990655596524E-4</v>
      </c>
      <c r="D19" s="88">
        <v>0</v>
      </c>
      <c r="E19" s="88">
        <v>1.9950786419348693E-2</v>
      </c>
      <c r="F19" s="88">
        <v>-2.7210901143606132E-3</v>
      </c>
      <c r="G19" s="88">
        <v>-5.9626726166491948E-3</v>
      </c>
      <c r="H19" s="88">
        <v>1.0542963549059923E-3</v>
      </c>
      <c r="I19" s="88">
        <v>-1.4781968693108945E-3</v>
      </c>
      <c r="J19" s="88">
        <v>-1.486402263214928E-2</v>
      </c>
      <c r="K19" s="88">
        <v>-6.7705065672106022E-3</v>
      </c>
      <c r="L19" s="88">
        <v>5.0125418235444138E-3</v>
      </c>
      <c r="M19" s="88">
        <v>-2.0146078568504248E-2</v>
      </c>
      <c r="N19" s="88">
        <v>-1.4134510934904693E-2</v>
      </c>
      <c r="O19" s="88">
        <v>-3.9920212695375608E-3</v>
      </c>
      <c r="P19" s="88">
        <v>0</v>
      </c>
      <c r="Q19" s="89">
        <v>-4.8287442281866313E-3</v>
      </c>
      <c r="R19" s="52"/>
      <c r="S19" s="16" t="s">
        <v>85</v>
      </c>
      <c r="T19" s="73">
        <f>SLOPE(N2:N248,Q2:Q248)</f>
        <v>0.51344832299076448</v>
      </c>
      <c r="U19" s="163">
        <f t="shared" si="0"/>
        <v>1</v>
      </c>
      <c r="V19" s="52"/>
      <c r="W19" s="52"/>
    </row>
    <row r="20" spans="1:23">
      <c r="A20" s="87">
        <v>43580</v>
      </c>
      <c r="B20" s="88">
        <v>-1.2531329960675333E-3</v>
      </c>
      <c r="C20" s="88">
        <v>4.0733253876358688E-3</v>
      </c>
      <c r="D20" s="88">
        <v>-3.2061585656328498E-3</v>
      </c>
      <c r="E20" s="88">
        <v>3.0816665374081144E-3</v>
      </c>
      <c r="F20" s="88">
        <v>-1.3633267278640533E-3</v>
      </c>
      <c r="G20" s="88">
        <v>5.9626726166492287E-3</v>
      </c>
      <c r="H20" s="88">
        <v>1.1524485851953918E-2</v>
      </c>
      <c r="I20" s="88">
        <v>0</v>
      </c>
      <c r="J20" s="88">
        <v>9.9338565242906747E-3</v>
      </c>
      <c r="K20" s="88">
        <v>-1.6438726343159835E-2</v>
      </c>
      <c r="L20" s="88">
        <v>0</v>
      </c>
      <c r="M20" s="88">
        <v>0</v>
      </c>
      <c r="N20" s="88">
        <v>3.5524016043677006E-3</v>
      </c>
      <c r="O20" s="88">
        <v>3.9920212695374567E-3</v>
      </c>
      <c r="P20" s="88">
        <v>2.7285146532039142E-3</v>
      </c>
      <c r="Q20" s="89">
        <v>1.0353306596537067E-4</v>
      </c>
      <c r="R20" s="52"/>
      <c r="S20" s="15" t="s">
        <v>55</v>
      </c>
      <c r="T20" s="73">
        <f>SLOPE(O2:O248,Q2:Q248)</f>
        <v>0.86878163496385297</v>
      </c>
      <c r="U20" s="163">
        <f t="shared" si="0"/>
        <v>1</v>
      </c>
      <c r="V20" s="52"/>
      <c r="W20" s="52"/>
    </row>
    <row r="21" spans="1:23">
      <c r="A21" s="87">
        <v>43585</v>
      </c>
      <c r="B21" s="88">
        <v>6.2676279080933252E-4</v>
      </c>
      <c r="C21" s="88">
        <v>6.483004878078312E-3</v>
      </c>
      <c r="D21" s="88">
        <v>2.6409055645296838E-2</v>
      </c>
      <c r="E21" s="88">
        <v>-3.0816665374081122E-3</v>
      </c>
      <c r="F21" s="88">
        <v>1.2203541280729063E-2</v>
      </c>
      <c r="G21" s="88">
        <v>2.9680565411466346E-3</v>
      </c>
      <c r="H21" s="88">
        <v>8.2988028146950641E-3</v>
      </c>
      <c r="I21" s="88">
        <v>5.899722127188322E-3</v>
      </c>
      <c r="J21" s="88">
        <v>-1.9967385513868497E-2</v>
      </c>
      <c r="K21" s="88">
        <v>2.0506528562485277E-2</v>
      </c>
      <c r="L21" s="88">
        <v>3.4401426717332317E-2</v>
      </c>
      <c r="M21" s="88">
        <v>8.8090774017384622E-3</v>
      </c>
      <c r="N21" s="88">
        <v>7.0671672230923528E-3</v>
      </c>
      <c r="O21" s="88">
        <v>-3.9920212695375608E-3</v>
      </c>
      <c r="P21" s="88">
        <v>1.3614705983211706E-3</v>
      </c>
      <c r="Q21" s="89">
        <v>6.4683892085712423E-4</v>
      </c>
      <c r="R21" s="52"/>
      <c r="S21" s="15" t="s">
        <v>71</v>
      </c>
      <c r="T21" s="73">
        <f>SLOPE(P2:P248,Q2:Q248)</f>
        <v>0.23786078404301481</v>
      </c>
      <c r="U21" s="163">
        <f t="shared" si="0"/>
        <v>1</v>
      </c>
      <c r="V21" s="52"/>
      <c r="W21" s="52"/>
    </row>
    <row r="22" spans="1:23">
      <c r="A22" s="87">
        <v>43587</v>
      </c>
      <c r="B22" s="88">
        <v>2.1079515791053913E-2</v>
      </c>
      <c r="C22" s="88">
        <v>-1.0556330265714136E-2</v>
      </c>
      <c r="D22" s="88">
        <v>-1.0430792642827065E-3</v>
      </c>
      <c r="E22" s="88">
        <v>-9.3023926623134485E-3</v>
      </c>
      <c r="F22" s="88">
        <v>1.0723963362975642E-2</v>
      </c>
      <c r="G22" s="88">
        <v>2.8037401544295714E-3</v>
      </c>
      <c r="H22" s="88">
        <v>-3.1039859375909962E-3</v>
      </c>
      <c r="I22" s="88">
        <v>-2.3358943498956883E-2</v>
      </c>
      <c r="J22" s="88">
        <v>8.3682496705165792E-3</v>
      </c>
      <c r="K22" s="88">
        <v>-5.4274217353651281E-3</v>
      </c>
      <c r="L22" s="88">
        <v>3.7919234862293677E-2</v>
      </c>
      <c r="M22" s="88">
        <v>0</v>
      </c>
      <c r="N22" s="88">
        <v>3.1198370855861333E-2</v>
      </c>
      <c r="O22" s="88">
        <v>1.980262729617973E-2</v>
      </c>
      <c r="P22" s="88">
        <v>-1.3614705983210744E-3</v>
      </c>
      <c r="Q22" s="89">
        <v>2.479980604557563E-3</v>
      </c>
      <c r="R22" s="52"/>
      <c r="S22" s="52"/>
      <c r="T22" s="52"/>
      <c r="U22" s="52"/>
      <c r="V22" s="52"/>
      <c r="W22" s="52"/>
    </row>
    <row r="23" spans="1:23">
      <c r="A23" s="87">
        <v>43588</v>
      </c>
      <c r="B23" s="88">
        <v>-1.2035325029554544E-2</v>
      </c>
      <c r="C23" s="88">
        <v>-2.0619287202735703E-2</v>
      </c>
      <c r="D23" s="88">
        <v>-1.5248205421734563E-2</v>
      </c>
      <c r="E23" s="88">
        <v>2.4891114282669258E-3</v>
      </c>
      <c r="F23" s="88">
        <v>9.290046907092734E-3</v>
      </c>
      <c r="G23" s="88">
        <v>-1.315190399319878E-2</v>
      </c>
      <c r="H23" s="88">
        <v>-1.0368067284402492E-3</v>
      </c>
      <c r="I23" s="88">
        <v>1.745922137176855E-2</v>
      </c>
      <c r="J23" s="88">
        <v>1.3245226750020723E-2</v>
      </c>
      <c r="K23" s="88">
        <v>-1.3614705983210744E-3</v>
      </c>
      <c r="L23" s="88">
        <v>3.203935374461666E-2</v>
      </c>
      <c r="M23" s="88">
        <v>0</v>
      </c>
      <c r="N23" s="88">
        <v>-3.418806748785609E-3</v>
      </c>
      <c r="O23" s="88">
        <v>-1.5810606026642204E-2</v>
      </c>
      <c r="P23" s="88">
        <v>-1.3633267278640533E-3</v>
      </c>
      <c r="Q23" s="89">
        <v>-1.0196641155032304E-3</v>
      </c>
      <c r="R23" s="52"/>
      <c r="S23" s="129"/>
      <c r="T23" s="129"/>
      <c r="U23" s="129"/>
      <c r="V23" s="52"/>
      <c r="W23" s="52"/>
    </row>
    <row r="24" spans="1:23">
      <c r="A24" s="87">
        <v>43591</v>
      </c>
      <c r="B24" s="88">
        <v>-1.15536023669252E-2</v>
      </c>
      <c r="C24" s="88">
        <v>-2.1053409197832381E-2</v>
      </c>
      <c r="D24" s="88">
        <v>-2.4674068733486987E-2</v>
      </c>
      <c r="E24" s="88">
        <v>-1.1878851778105954E-2</v>
      </c>
      <c r="F24" s="88">
        <v>-3.3582739476137262E-2</v>
      </c>
      <c r="G24" s="88">
        <v>-1.9575702690905621E-2</v>
      </c>
      <c r="H24" s="88">
        <v>-2.0768439448392282E-3</v>
      </c>
      <c r="I24" s="88">
        <v>-8.6169007397540083E-3</v>
      </c>
      <c r="J24" s="88">
        <v>-2.1613476420537188E-2</v>
      </c>
      <c r="K24" s="88">
        <v>-4.0955688647370822E-3</v>
      </c>
      <c r="L24" s="88">
        <v>-6.9958588606910344E-2</v>
      </c>
      <c r="M24" s="88">
        <v>-2.9188760208614665E-2</v>
      </c>
      <c r="N24" s="88">
        <v>-4.1964199099032082E-2</v>
      </c>
      <c r="O24" s="88">
        <v>-3.9920212695375608E-3</v>
      </c>
      <c r="P24" s="88">
        <v>1.3633267278641253E-3</v>
      </c>
      <c r="Q24" s="89">
        <v>-2.6392210718288657E-2</v>
      </c>
      <c r="R24" s="52"/>
      <c r="S24" s="52"/>
      <c r="T24" s="52"/>
      <c r="U24" s="52"/>
      <c r="V24" s="52"/>
      <c r="W24" s="52"/>
    </row>
    <row r="25" spans="1:23">
      <c r="A25" s="87">
        <v>43592</v>
      </c>
      <c r="B25" s="88">
        <v>1.1553602366925209E-2</v>
      </c>
      <c r="C25" s="88">
        <v>-1.4573768445318783E-2</v>
      </c>
      <c r="D25" s="88">
        <v>1.6278694788049227E-3</v>
      </c>
      <c r="E25" s="88">
        <v>1.8692133012152546E-2</v>
      </c>
      <c r="F25" s="88">
        <v>2.0284671171505717E-2</v>
      </c>
      <c r="G25" s="88">
        <v>-3.0583524844648153E-3</v>
      </c>
      <c r="H25" s="88">
        <v>-2.0811662038245117E-3</v>
      </c>
      <c r="I25" s="88">
        <v>5.8022925561830177E-3</v>
      </c>
      <c r="J25" s="88">
        <v>1.1696039763191236E-2</v>
      </c>
      <c r="K25" s="88">
        <v>1.7627575083313456E-2</v>
      </c>
      <c r="L25" s="88">
        <v>-4.8426244757879032E-3</v>
      </c>
      <c r="M25" s="88">
        <v>-1.1808657520580693E-2</v>
      </c>
      <c r="N25" s="88">
        <v>0</v>
      </c>
      <c r="O25" s="88">
        <v>-4.0080213975388218E-3</v>
      </c>
      <c r="P25" s="88">
        <v>0</v>
      </c>
      <c r="Q25" s="89">
        <v>6.3046660985129049E-3</v>
      </c>
      <c r="R25" s="52"/>
      <c r="S25" s="52"/>
      <c r="T25" s="52"/>
      <c r="U25" s="52"/>
      <c r="V25" s="52"/>
      <c r="W25" s="52"/>
    </row>
    <row r="26" spans="1:23">
      <c r="A26" s="87">
        <v>43593</v>
      </c>
      <c r="B26" s="88">
        <v>-5.9162557745387461E-3</v>
      </c>
      <c r="C26" s="88">
        <v>-6.9324367756447907E-3</v>
      </c>
      <c r="D26" s="88">
        <v>-1.4197027794216961E-2</v>
      </c>
      <c r="E26" s="88">
        <v>-4.1593897298837015E-2</v>
      </c>
      <c r="F26" s="88">
        <v>-4.2385018172171766E-2</v>
      </c>
      <c r="G26" s="88">
        <v>-9.0688880661080485E-3</v>
      </c>
      <c r="H26" s="88">
        <v>-1.9990144876502271E-2</v>
      </c>
      <c r="I26" s="88">
        <v>-7.2954987467242337E-3</v>
      </c>
      <c r="J26" s="88">
        <v>-1.0016778243471232E-2</v>
      </c>
      <c r="K26" s="88">
        <v>-1.3532006218576385E-2</v>
      </c>
      <c r="L26" s="88">
        <v>0</v>
      </c>
      <c r="M26" s="88">
        <v>-6.0489598794257046E-3</v>
      </c>
      <c r="N26" s="88">
        <v>7.1174677688639549E-3</v>
      </c>
      <c r="O26" s="88">
        <v>-1.6194685919980606E-2</v>
      </c>
      <c r="P26" s="88">
        <v>0</v>
      </c>
      <c r="Q26" s="89">
        <v>-2.1252747345379495E-2</v>
      </c>
      <c r="R26" s="52"/>
      <c r="S26" s="52"/>
      <c r="T26" s="52"/>
      <c r="U26" s="52"/>
      <c r="V26" s="52"/>
      <c r="W26" s="52"/>
    </row>
    <row r="27" spans="1:23">
      <c r="A27" s="87">
        <v>43594</v>
      </c>
      <c r="B27" s="88">
        <v>-6.2480476884219582E-4</v>
      </c>
      <c r="C27" s="88">
        <v>-1.5775962594167435E-2</v>
      </c>
      <c r="D27" s="88">
        <v>-3.0713229885406833E-2</v>
      </c>
      <c r="E27" s="88">
        <v>-1.4258180627056076E-2</v>
      </c>
      <c r="F27" s="88">
        <v>-4.1345874738296186E-2</v>
      </c>
      <c r="G27" s="88">
        <v>-4.5654734444689603E-3</v>
      </c>
      <c r="H27" s="88">
        <v>-3.3498540074484009E-2</v>
      </c>
      <c r="I27" s="88">
        <v>-1.323725706669595E-2</v>
      </c>
      <c r="J27" s="88">
        <v>-3.4133006369458582E-2</v>
      </c>
      <c r="K27" s="88">
        <v>-5.4644944720787375E-3</v>
      </c>
      <c r="L27" s="88">
        <v>-3.055930257512797E-2</v>
      </c>
      <c r="M27" s="88">
        <v>-3.3654325833616501E-2</v>
      </c>
      <c r="N27" s="88">
        <v>-2.5135973271542274E-2</v>
      </c>
      <c r="O27" s="88">
        <v>0</v>
      </c>
      <c r="P27" s="88">
        <v>-2.7285146532040625E-3</v>
      </c>
      <c r="Q27" s="89">
        <v>-1.9557169475743166E-2</v>
      </c>
      <c r="R27" s="52"/>
      <c r="S27" s="52"/>
      <c r="T27" s="52"/>
      <c r="U27" s="52"/>
      <c r="V27" s="52"/>
      <c r="W27" s="52"/>
    </row>
    <row r="28" spans="1:23">
      <c r="A28" s="87">
        <v>43595</v>
      </c>
      <c r="B28" s="88">
        <v>-1.1313759900273404E-2</v>
      </c>
      <c r="C28" s="88">
        <v>1.7652255245691492E-3</v>
      </c>
      <c r="D28" s="88">
        <v>1.07170070800383E-2</v>
      </c>
      <c r="E28" s="88">
        <v>-1.4464420491566612E-2</v>
      </c>
      <c r="F28" s="88">
        <v>2.5863510589919154E-2</v>
      </c>
      <c r="G28" s="88">
        <v>1.4697479578867161E-3</v>
      </c>
      <c r="H28" s="88">
        <v>-1.5504186535965086E-2</v>
      </c>
      <c r="I28" s="88">
        <v>-3.0330626831129252E-3</v>
      </c>
      <c r="J28" s="88">
        <v>1.7212128881121426E-2</v>
      </c>
      <c r="K28" s="88">
        <v>-2.7434859457508326E-3</v>
      </c>
      <c r="L28" s="88">
        <v>6.8659148807398193E-2</v>
      </c>
      <c r="M28" s="88">
        <v>2.4604490313698463E-2</v>
      </c>
      <c r="N28" s="88">
        <v>1.8018505502678212E-2</v>
      </c>
      <c r="O28" s="88">
        <v>-1.2320484388040624E-2</v>
      </c>
      <c r="P28" s="88">
        <v>0</v>
      </c>
      <c r="Q28" s="89">
        <v>1.009137149144901E-2</v>
      </c>
      <c r="R28" s="52"/>
      <c r="S28" s="52"/>
      <c r="T28" s="52"/>
      <c r="U28" s="52"/>
      <c r="V28" s="52"/>
      <c r="W28" s="52"/>
    </row>
    <row r="29" spans="1:23">
      <c r="A29" s="87">
        <v>43598</v>
      </c>
      <c r="B29" s="88">
        <v>-1.4324612279741264E-2</v>
      </c>
      <c r="C29" s="88">
        <v>0</v>
      </c>
      <c r="D29" s="88">
        <v>-1.3556466083608075E-2</v>
      </c>
      <c r="E29" s="88">
        <v>-2.0067563050809142E-2</v>
      </c>
      <c r="F29" s="88">
        <v>-2.7320175086383239E-2</v>
      </c>
      <c r="G29" s="88">
        <v>-1.5458291701420834E-2</v>
      </c>
      <c r="H29" s="88">
        <v>-1.9155515289753716E-2</v>
      </c>
      <c r="I29" s="88">
        <v>-4.4143461591054731E-3</v>
      </c>
      <c r="J29" s="88">
        <v>-2.0690393257446166E-2</v>
      </c>
      <c r="K29" s="88">
        <v>-1.6620881236040407E-2</v>
      </c>
      <c r="L29" s="88">
        <v>-9.3897403498390316E-3</v>
      </c>
      <c r="M29" s="88">
        <v>6.1037829380178859E-3</v>
      </c>
      <c r="N29" s="88">
        <v>-3.2670782289548707E-2</v>
      </c>
      <c r="O29" s="88">
        <v>4.1237171838621562E-3</v>
      </c>
      <c r="P29" s="88">
        <v>-1.3670542115330011E-3</v>
      </c>
      <c r="Q29" s="89">
        <v>-1.5554925924570773E-2</v>
      </c>
      <c r="R29" s="52"/>
      <c r="S29" s="52"/>
      <c r="T29" s="52"/>
      <c r="U29" s="52"/>
      <c r="V29" s="52"/>
      <c r="W29" s="52"/>
    </row>
    <row r="30" spans="1:23">
      <c r="A30" s="87">
        <v>43599</v>
      </c>
      <c r="B30" s="88">
        <v>1.6219150263523049E-2</v>
      </c>
      <c r="C30" s="88">
        <v>1.0526412986987603E-2</v>
      </c>
      <c r="D30" s="88">
        <v>-1.9409165131132878E-2</v>
      </c>
      <c r="E30" s="88">
        <v>-1.29209550074613E-2</v>
      </c>
      <c r="F30" s="88">
        <v>2.4479264084779628E-2</v>
      </c>
      <c r="G30" s="88">
        <v>1.0878630442396208E-2</v>
      </c>
      <c r="H30" s="88">
        <v>-2.1852508437623493E-2</v>
      </c>
      <c r="I30" s="88">
        <v>0</v>
      </c>
      <c r="J30" s="88">
        <v>3.4782643763247925E-3</v>
      </c>
      <c r="K30" s="88">
        <v>1.2491487894029053E-2</v>
      </c>
      <c r="L30" s="88">
        <v>1.6374634871790104E-2</v>
      </c>
      <c r="M30" s="88">
        <v>2.946052581900175E-3</v>
      </c>
      <c r="N30" s="88">
        <v>1.1009285508369175E-2</v>
      </c>
      <c r="O30" s="88">
        <v>2.8399474521697957E-2</v>
      </c>
      <c r="P30" s="88">
        <v>0</v>
      </c>
      <c r="Q30" s="89">
        <v>1.0173698146772469E-2</v>
      </c>
      <c r="R30" s="52"/>
      <c r="S30" s="52"/>
      <c r="T30" s="52"/>
      <c r="U30" s="52"/>
      <c r="V30" s="52"/>
      <c r="W30" s="52"/>
    </row>
    <row r="31" spans="1:23">
      <c r="A31" s="87">
        <v>43600</v>
      </c>
      <c r="B31" s="88">
        <v>5.9758001387313726E-3</v>
      </c>
      <c r="C31" s="88">
        <v>-9.6449673591819558E-3</v>
      </c>
      <c r="D31" s="88">
        <v>-2.9420808747892629E-2</v>
      </c>
      <c r="E31" s="88">
        <v>-1.3783815751177337E-2</v>
      </c>
      <c r="F31" s="88">
        <v>1.2721019601310861E-2</v>
      </c>
      <c r="G31" s="88">
        <v>-1.5529801618126926E-2</v>
      </c>
      <c r="H31" s="88">
        <v>-1.996543124569793E-2</v>
      </c>
      <c r="I31" s="88">
        <v>-1.0582109330536972E-2</v>
      </c>
      <c r="J31" s="88">
        <v>1.0362787035546658E-2</v>
      </c>
      <c r="K31" s="88">
        <v>-5.5325175697256666E-3</v>
      </c>
      <c r="L31" s="88">
        <v>-2.5853378826333782E-2</v>
      </c>
      <c r="M31" s="88">
        <v>0</v>
      </c>
      <c r="N31" s="88">
        <v>-3.6563112031104319E-3</v>
      </c>
      <c r="O31" s="88">
        <v>-1.2072581234269249E-2</v>
      </c>
      <c r="P31" s="88">
        <v>-1.3689256073417322E-3</v>
      </c>
      <c r="Q31" s="89">
        <v>-1.2619244535659329E-2</v>
      </c>
      <c r="R31" s="52"/>
      <c r="S31" s="52"/>
      <c r="T31" s="52"/>
      <c r="U31" s="52"/>
      <c r="V31" s="52"/>
      <c r="W31" s="52"/>
    </row>
    <row r="32" spans="1:23">
      <c r="A32" s="87">
        <v>43601</v>
      </c>
      <c r="B32" s="88">
        <v>6.2519740997994035E-3</v>
      </c>
      <c r="C32" s="88">
        <v>-1.7636688874967041E-3</v>
      </c>
      <c r="D32" s="88">
        <v>-3.5893793023571946E-3</v>
      </c>
      <c r="E32" s="88">
        <v>6.2262394150978777E-3</v>
      </c>
      <c r="F32" s="88">
        <v>-4.2223848798482498E-3</v>
      </c>
      <c r="G32" s="88">
        <v>9.2808090744727831E-3</v>
      </c>
      <c r="H32" s="88">
        <v>1.4134510934904934E-2</v>
      </c>
      <c r="I32" s="88">
        <v>1.0582109330537008E-2</v>
      </c>
      <c r="J32" s="88">
        <v>-3.4423441909729015E-3</v>
      </c>
      <c r="K32" s="88">
        <v>-5.5632966853287153E-3</v>
      </c>
      <c r="L32" s="88">
        <v>1.8868484304382736E-2</v>
      </c>
      <c r="M32" s="88">
        <v>2.0743101818646505E-2</v>
      </c>
      <c r="N32" s="88">
        <v>0</v>
      </c>
      <c r="O32" s="88">
        <v>8.0645598367304946E-3</v>
      </c>
      <c r="P32" s="88">
        <v>0</v>
      </c>
      <c r="Q32" s="89">
        <v>5.0090142608815603E-3</v>
      </c>
      <c r="R32" s="52"/>
      <c r="S32" s="52"/>
      <c r="T32" s="52"/>
      <c r="U32" s="52"/>
      <c r="V32" s="52"/>
      <c r="W32" s="52"/>
    </row>
    <row r="33" spans="1:23">
      <c r="A33" s="87">
        <v>43602</v>
      </c>
      <c r="B33" s="88">
        <v>1.6687655483463744E-2</v>
      </c>
      <c r="C33" s="88">
        <v>1.7636688874967138E-3</v>
      </c>
      <c r="D33" s="88">
        <v>7.7607696547124707E-3</v>
      </c>
      <c r="E33" s="88">
        <v>1.709443335930004E-2</v>
      </c>
      <c r="F33" s="88">
        <v>9.8246404285181003E-3</v>
      </c>
      <c r="G33" s="88">
        <v>1.648261457717386E-3</v>
      </c>
      <c r="H33" s="88">
        <v>-5.8651194523981339E-3</v>
      </c>
      <c r="I33" s="88">
        <v>1.0320322287179322E-2</v>
      </c>
      <c r="J33" s="88">
        <v>1.722653311446156E-3</v>
      </c>
      <c r="K33" s="88">
        <v>8.3333815591444607E-3</v>
      </c>
      <c r="L33" s="88">
        <v>6.984894521951189E-3</v>
      </c>
      <c r="M33" s="88">
        <v>5.9251452635148676E-3</v>
      </c>
      <c r="N33" s="88">
        <v>0</v>
      </c>
      <c r="O33" s="88">
        <v>0</v>
      </c>
      <c r="P33" s="88">
        <v>0</v>
      </c>
      <c r="Q33" s="89">
        <v>3.8466341340794032E-3</v>
      </c>
      <c r="R33" s="52"/>
      <c r="S33" s="52"/>
      <c r="T33" s="52"/>
      <c r="U33" s="52"/>
      <c r="V33" s="52"/>
      <c r="W33" s="52"/>
    </row>
    <row r="34" spans="1:23">
      <c r="A34" s="87">
        <v>43605</v>
      </c>
      <c r="B34" s="88">
        <v>-5.804214866882032E-2</v>
      </c>
      <c r="C34" s="88">
        <v>1.7605638350329589E-3</v>
      </c>
      <c r="D34" s="88">
        <v>-2.3815205349764271E-3</v>
      </c>
      <c r="E34" s="88">
        <v>-2.7493140580198732E-2</v>
      </c>
      <c r="F34" s="88">
        <v>-7.0077371574046891E-3</v>
      </c>
      <c r="G34" s="88">
        <v>-1.409758815011382E-2</v>
      </c>
      <c r="H34" s="88">
        <v>-8.2693914825067421E-3</v>
      </c>
      <c r="I34" s="88">
        <v>-1.5110308103170899E-3</v>
      </c>
      <c r="J34" s="88">
        <v>3.4364294985813186E-3</v>
      </c>
      <c r="K34" s="88">
        <v>-4.158010148663677E-3</v>
      </c>
      <c r="L34" s="88">
        <v>-2.8237170181610111E-2</v>
      </c>
      <c r="M34" s="88">
        <v>-2.8684135837923333E-3</v>
      </c>
      <c r="N34" s="88">
        <v>7.2993024816115351E-3</v>
      </c>
      <c r="O34" s="88">
        <v>-5.7867382320548569E-2</v>
      </c>
      <c r="P34" s="88">
        <v>0</v>
      </c>
      <c r="Q34" s="89">
        <v>-1.673019692872323E-2</v>
      </c>
      <c r="R34" s="52"/>
      <c r="S34" s="52"/>
      <c r="T34" s="52"/>
      <c r="U34" s="52"/>
      <c r="V34" s="52"/>
      <c r="W34" s="52"/>
    </row>
    <row r="35" spans="1:23">
      <c r="A35" s="87">
        <v>43606</v>
      </c>
      <c r="B35" s="88">
        <v>2.3114993832774246E-2</v>
      </c>
      <c r="C35" s="88">
        <v>7.0114222378040826E-3</v>
      </c>
      <c r="D35" s="88">
        <v>5.9591206101707484E-4</v>
      </c>
      <c r="E35" s="88">
        <v>4.895607043277405E-2</v>
      </c>
      <c r="F35" s="88">
        <v>5.8719938204715195E-2</v>
      </c>
      <c r="G35" s="88">
        <v>4.0106856625232216E-2</v>
      </c>
      <c r="H35" s="88">
        <v>2.3447733081572632E-2</v>
      </c>
      <c r="I35" s="88">
        <v>0</v>
      </c>
      <c r="J35" s="88">
        <v>1.0238997301094286E-2</v>
      </c>
      <c r="K35" s="88">
        <v>2.061928720273561E-2</v>
      </c>
      <c r="L35" s="88">
        <v>1.4218249002279172E-2</v>
      </c>
      <c r="M35" s="88">
        <v>-3.0567316797225495E-3</v>
      </c>
      <c r="N35" s="88">
        <v>0</v>
      </c>
      <c r="O35" s="88">
        <v>4.2462908814512243E-3</v>
      </c>
      <c r="P35" s="88">
        <v>-1.3708021337787146E-3</v>
      </c>
      <c r="Q35" s="89">
        <v>2.2022553160778596E-2</v>
      </c>
      <c r="R35" s="52"/>
      <c r="S35" s="52"/>
      <c r="T35" s="52"/>
      <c r="U35" s="52"/>
      <c r="V35" s="52"/>
      <c r="W35" s="52"/>
    </row>
    <row r="36" spans="1:23">
      <c r="A36" s="87">
        <v>43607</v>
      </c>
      <c r="B36" s="88">
        <v>2.4762274459427462E-2</v>
      </c>
      <c r="C36" s="88">
        <v>-2.4758116919139237E-2</v>
      </c>
      <c r="D36" s="88">
        <v>0</v>
      </c>
      <c r="E36" s="88">
        <v>-1.3360252166340493E-2</v>
      </c>
      <c r="F36" s="88">
        <v>-1.2008149628396607E-2</v>
      </c>
      <c r="G36" s="88">
        <v>-3.0534374868903431E-3</v>
      </c>
      <c r="H36" s="88">
        <v>-2.8203984616221735E-2</v>
      </c>
      <c r="I36" s="88">
        <v>0</v>
      </c>
      <c r="J36" s="88">
        <v>-6.8143364197301654E-3</v>
      </c>
      <c r="K36" s="88">
        <v>0</v>
      </c>
      <c r="L36" s="88">
        <v>-3.5932009226063329E-2</v>
      </c>
      <c r="M36" s="88">
        <v>0</v>
      </c>
      <c r="N36" s="88">
        <v>-1.4652276786870375E-2</v>
      </c>
      <c r="O36" s="88">
        <v>-2.1414094503816473E-2</v>
      </c>
      <c r="P36" s="88">
        <v>-1.3726838119721356E-3</v>
      </c>
      <c r="Q36" s="89">
        <v>-2.3076880799048106E-3</v>
      </c>
      <c r="R36" s="52"/>
      <c r="S36" s="52"/>
      <c r="T36" s="52"/>
      <c r="U36" s="52"/>
      <c r="V36" s="52"/>
      <c r="W36" s="52"/>
    </row>
    <row r="37" spans="1:23">
      <c r="A37" s="87">
        <v>43608</v>
      </c>
      <c r="B37" s="88">
        <v>-1.2461220437811889E-2</v>
      </c>
      <c r="C37" s="88">
        <v>1.0685765080461316E-2</v>
      </c>
      <c r="D37" s="88">
        <v>1.6542974453757221E-2</v>
      </c>
      <c r="E37" s="88">
        <v>-1.1498266687373134E-2</v>
      </c>
      <c r="F37" s="88">
        <v>-6.2303883336154865E-2</v>
      </c>
      <c r="G37" s="88">
        <v>-1.3775438643266602E-2</v>
      </c>
      <c r="H37" s="88">
        <v>3.2828270313335649E-2</v>
      </c>
      <c r="I37" s="88">
        <v>-1.3618826346438176E-3</v>
      </c>
      <c r="J37" s="88">
        <v>1.7079423451563376E-3</v>
      </c>
      <c r="K37" s="88">
        <v>-2.3400930164612473E-2</v>
      </c>
      <c r="L37" s="88">
        <v>-4.8899852941919038E-3</v>
      </c>
      <c r="M37" s="88">
        <v>-1.1774431835886003E-2</v>
      </c>
      <c r="N37" s="88">
        <v>1.4652276786870415E-2</v>
      </c>
      <c r="O37" s="88">
        <v>1.716780362236528E-2</v>
      </c>
      <c r="P37" s="88">
        <v>-1.3745706631665985E-3</v>
      </c>
      <c r="Q37" s="89">
        <v>-8.1397793369814096E-3</v>
      </c>
      <c r="R37" s="52"/>
      <c r="S37" s="52"/>
      <c r="T37" s="52"/>
      <c r="U37" s="52"/>
      <c r="V37" s="52"/>
      <c r="W37" s="52"/>
    </row>
    <row r="38" spans="1:23">
      <c r="A38" s="87">
        <v>43609</v>
      </c>
      <c r="B38" s="88">
        <v>1.5552413007484785E-2</v>
      </c>
      <c r="C38" s="88">
        <v>1.4072351838678037E-2</v>
      </c>
      <c r="D38" s="88">
        <v>7.0069187766383422E-3</v>
      </c>
      <c r="E38" s="88">
        <v>2.0202707317519469E-2</v>
      </c>
      <c r="F38" s="88">
        <v>-7.168489478612516E-3</v>
      </c>
      <c r="G38" s="88">
        <v>9.2585734061609061E-3</v>
      </c>
      <c r="H38" s="88">
        <v>-4.6242856971137917E-3</v>
      </c>
      <c r="I38" s="88">
        <v>4.381664485537385E-3</v>
      </c>
      <c r="J38" s="88">
        <v>5.1063940745740555E-3</v>
      </c>
      <c r="K38" s="88">
        <v>1.1080445776571959E-2</v>
      </c>
      <c r="L38" s="88">
        <v>-2.4539889615665914E-3</v>
      </c>
      <c r="M38" s="88">
        <v>4.3675063502661426E-2</v>
      </c>
      <c r="N38" s="88">
        <v>-7.299302481611496E-3</v>
      </c>
      <c r="O38" s="88">
        <v>-4.2643987864575397E-3</v>
      </c>
      <c r="P38" s="88">
        <v>2.747254475138702E-3</v>
      </c>
      <c r="Q38" s="89">
        <v>8.8640655026645029E-3</v>
      </c>
      <c r="R38" s="52"/>
      <c r="S38" s="52"/>
      <c r="T38" s="52"/>
      <c r="U38" s="52"/>
      <c r="V38" s="52"/>
      <c r="W38" s="52"/>
    </row>
    <row r="39" spans="1:23">
      <c r="A39" s="87">
        <v>43612</v>
      </c>
      <c r="B39" s="88">
        <v>7.3801072976226803E-3</v>
      </c>
      <c r="C39" s="88">
        <v>3.8548670117235243E-2</v>
      </c>
      <c r="D39" s="88">
        <v>5.6446987659210822E-2</v>
      </c>
      <c r="E39" s="88">
        <v>4.8790164169432049E-2</v>
      </c>
      <c r="F39" s="88">
        <v>7.2153339568025193E-2</v>
      </c>
      <c r="G39" s="88">
        <v>0.10808920653061971</v>
      </c>
      <c r="H39" s="88">
        <v>2.8557051908742061E-2</v>
      </c>
      <c r="I39" s="88">
        <v>3.4815752491810112E-2</v>
      </c>
      <c r="J39" s="88">
        <v>4.4820779881933163E-2</v>
      </c>
      <c r="K39" s="88">
        <v>8.2304991365154435E-3</v>
      </c>
      <c r="L39" s="88">
        <v>0.1114842335083553</v>
      </c>
      <c r="M39" s="88">
        <v>1.1446534968058008E-2</v>
      </c>
      <c r="N39" s="88">
        <v>3.9502442976246173E-2</v>
      </c>
      <c r="O39" s="88">
        <v>-1.7241806434505992E-2</v>
      </c>
      <c r="P39" s="88">
        <v>0</v>
      </c>
      <c r="Q39" s="89">
        <v>5.9117581305133927E-2</v>
      </c>
      <c r="R39" s="52"/>
      <c r="S39" s="52"/>
      <c r="T39" s="52"/>
      <c r="U39" s="52"/>
      <c r="V39" s="52"/>
      <c r="W39" s="52"/>
    </row>
    <row r="40" spans="1:23">
      <c r="A40" s="87">
        <v>43613</v>
      </c>
      <c r="B40" s="88">
        <v>-1.668249995993602E-2</v>
      </c>
      <c r="C40" s="88">
        <v>-2.1232220105774167E-2</v>
      </c>
      <c r="D40" s="88">
        <v>8.7604590053613381E-3</v>
      </c>
      <c r="E40" s="88">
        <v>1.7621601349819629E-2</v>
      </c>
      <c r="F40" s="88">
        <v>9.3239155125481379E-2</v>
      </c>
      <c r="G40" s="88">
        <v>1.0824959568738612E-2</v>
      </c>
      <c r="H40" s="88">
        <v>-1.7036187152567852E-2</v>
      </c>
      <c r="I40" s="88">
        <v>-1.4570889945005928E-3</v>
      </c>
      <c r="J40" s="88">
        <v>5.0643732818754936E-2</v>
      </c>
      <c r="K40" s="88">
        <v>6.7352182029491559E-2</v>
      </c>
      <c r="L40" s="88">
        <v>1.5267472130788599E-2</v>
      </c>
      <c r="M40" s="88">
        <v>1.9467827944389355E-2</v>
      </c>
      <c r="N40" s="88">
        <v>3.5149421074445919E-3</v>
      </c>
      <c r="O40" s="88">
        <v>0</v>
      </c>
      <c r="P40" s="88">
        <v>0</v>
      </c>
      <c r="Q40" s="89">
        <v>2.2951180215440434E-2</v>
      </c>
      <c r="R40" s="52"/>
      <c r="S40" s="52"/>
      <c r="T40" s="52"/>
      <c r="U40" s="52"/>
      <c r="V40" s="52"/>
      <c r="W40" s="52"/>
    </row>
    <row r="41" spans="1:23">
      <c r="A41" s="87">
        <v>43614</v>
      </c>
      <c r="B41" s="88">
        <v>1.2453301733962143E-3</v>
      </c>
      <c r="C41" s="88">
        <v>3.789927259098573E-2</v>
      </c>
      <c r="D41" s="88">
        <v>-3.2761850861054852E-3</v>
      </c>
      <c r="E41" s="88">
        <v>-1.4452026588540452E-2</v>
      </c>
      <c r="F41" s="88">
        <v>0</v>
      </c>
      <c r="G41" s="88">
        <v>-1.2928250023051934E-3</v>
      </c>
      <c r="H41" s="88">
        <v>7.9863516326499229E-3</v>
      </c>
      <c r="I41" s="88">
        <v>-2.1667882864626255E-2</v>
      </c>
      <c r="J41" s="88">
        <v>-2.500130220541727E-2</v>
      </c>
      <c r="K41" s="88">
        <v>-1.9342962843130987E-2</v>
      </c>
      <c r="L41" s="88">
        <v>-5.5631695986148699E-2</v>
      </c>
      <c r="M41" s="88">
        <v>1.0932747023053108E-2</v>
      </c>
      <c r="N41" s="88">
        <v>-1.7699577099400975E-2</v>
      </c>
      <c r="O41" s="88">
        <v>-5.818195538273583E-2</v>
      </c>
      <c r="P41" s="88">
        <v>-5.5020771539834217E-3</v>
      </c>
      <c r="Q41" s="89">
        <v>-1.9777166975124072E-3</v>
      </c>
      <c r="R41" s="52"/>
      <c r="S41" s="52"/>
      <c r="T41" s="52"/>
      <c r="U41" s="52"/>
      <c r="V41" s="52"/>
      <c r="W41" s="52"/>
    </row>
    <row r="42" spans="1:23">
      <c r="A42" s="87">
        <v>43615</v>
      </c>
      <c r="B42" s="88">
        <v>6.8217318809244793E-3</v>
      </c>
      <c r="C42" s="88">
        <v>1.3136477905369981E-2</v>
      </c>
      <c r="D42" s="88">
        <v>1.5197860909431522E-2</v>
      </c>
      <c r="E42" s="88">
        <v>1.2578782206859965E-2</v>
      </c>
      <c r="F42" s="88">
        <v>6.0337636594204047E-2</v>
      </c>
      <c r="G42" s="88">
        <v>2.5839807659250678E-3</v>
      </c>
      <c r="H42" s="88">
        <v>2.2701485345390775E-3</v>
      </c>
      <c r="I42" s="88">
        <v>7.2749188787703681E-3</v>
      </c>
      <c r="J42" s="88">
        <v>1.4140062773812693E-2</v>
      </c>
      <c r="K42" s="88">
        <v>-1.7071983898647503E-2</v>
      </c>
      <c r="L42" s="88">
        <v>2.9314387668775307E-2</v>
      </c>
      <c r="M42" s="88">
        <v>0.11357360106616704</v>
      </c>
      <c r="N42" s="88">
        <v>3.1637084943182445E-2</v>
      </c>
      <c r="O42" s="88">
        <v>3.174869831458027E-2</v>
      </c>
      <c r="P42" s="88">
        <v>2.7548226788446837E-3</v>
      </c>
      <c r="Q42" s="89">
        <v>3.1366797416964687E-2</v>
      </c>
      <c r="R42" s="52"/>
      <c r="S42" s="52"/>
      <c r="T42" s="52"/>
      <c r="U42" s="52"/>
      <c r="V42" s="52"/>
      <c r="W42" s="52"/>
    </row>
    <row r="43" spans="1:23">
      <c r="A43" s="87">
        <v>43616</v>
      </c>
      <c r="B43" s="88">
        <v>-1.149973822886436E-2</v>
      </c>
      <c r="C43" s="88">
        <v>-8.1599351732930254E-4</v>
      </c>
      <c r="D43" s="88">
        <v>9.1158334080096333E-3</v>
      </c>
      <c r="E43" s="88">
        <v>-6.2696130135953742E-3</v>
      </c>
      <c r="F43" s="88">
        <v>4.5819095051115441E-3</v>
      </c>
      <c r="G43" s="88">
        <v>1.2112723797721475E-2</v>
      </c>
      <c r="H43" s="88">
        <v>3.1252543504104315E-2</v>
      </c>
      <c r="I43" s="88">
        <v>5.899722127188322E-3</v>
      </c>
      <c r="J43" s="88">
        <v>2.465456156394058E-2</v>
      </c>
      <c r="K43" s="88">
        <v>-6.6445427186685013E-3</v>
      </c>
      <c r="L43" s="88">
        <v>-2.474816968919414E-2</v>
      </c>
      <c r="M43" s="88">
        <v>-2.4640351749034797E-2</v>
      </c>
      <c r="N43" s="88">
        <v>0</v>
      </c>
      <c r="O43" s="88">
        <v>2.2075951699199826E-2</v>
      </c>
      <c r="P43" s="88">
        <v>6.8540364277922131E-3</v>
      </c>
      <c r="Q43" s="89">
        <v>1.4449137386969802E-2</v>
      </c>
      <c r="R43" s="52"/>
      <c r="S43" s="52"/>
      <c r="T43" s="52"/>
      <c r="U43" s="52"/>
      <c r="V43" s="52"/>
      <c r="W43" s="52"/>
    </row>
    <row r="44" spans="1:23">
      <c r="A44" s="87">
        <v>43619</v>
      </c>
      <c r="B44" s="88">
        <v>-1.0685205371241457E-2</v>
      </c>
      <c r="C44" s="88">
        <v>1.6997576368571077E-2</v>
      </c>
      <c r="D44" s="88">
        <v>1.6936998497648716E-2</v>
      </c>
      <c r="E44" s="88">
        <v>3.096222560396689E-2</v>
      </c>
      <c r="F44" s="88">
        <v>-2.4292692569044587E-2</v>
      </c>
      <c r="G44" s="88">
        <v>6.6351623396074593E-3</v>
      </c>
      <c r="H44" s="88">
        <v>-1.1049836186584935E-2</v>
      </c>
      <c r="I44" s="88">
        <v>-1.4716706114562507E-3</v>
      </c>
      <c r="J44" s="88">
        <v>1.5106027431013096E-2</v>
      </c>
      <c r="K44" s="88">
        <v>3.9920212695374567E-3</v>
      </c>
      <c r="L44" s="88">
        <v>-6.8571697261369125E-3</v>
      </c>
      <c r="M44" s="88">
        <v>-5.063301956546651E-3</v>
      </c>
      <c r="N44" s="88">
        <v>1.3745920904635136E-2</v>
      </c>
      <c r="O44" s="88">
        <v>8.695706967553913E-3</v>
      </c>
      <c r="P44" s="88">
        <v>5.4496047675646848E-3</v>
      </c>
      <c r="Q44" s="89">
        <v>7.9180776960179906E-3</v>
      </c>
      <c r="R44" s="52"/>
      <c r="S44" s="52"/>
      <c r="T44" s="52"/>
      <c r="U44" s="52"/>
      <c r="V44" s="52"/>
      <c r="W44" s="52"/>
    </row>
    <row r="45" spans="1:23">
      <c r="A45" s="87">
        <v>43620</v>
      </c>
      <c r="B45" s="88">
        <v>2.032908163842569E-2</v>
      </c>
      <c r="C45" s="88">
        <v>-3.2154368539744657E-3</v>
      </c>
      <c r="D45" s="88">
        <v>-2.4976057816479592E-2</v>
      </c>
      <c r="E45" s="88">
        <v>-1.3505423199807007E-2</v>
      </c>
      <c r="F45" s="88">
        <v>-7.7898248327502653E-2</v>
      </c>
      <c r="G45" s="88">
        <v>-6.6351623396075071E-3</v>
      </c>
      <c r="H45" s="88">
        <v>1.1104942840271153E-3</v>
      </c>
      <c r="I45" s="88">
        <v>-5.7602995108713096E-3</v>
      </c>
      <c r="J45" s="88">
        <v>-4.5078964391899283E-3</v>
      </c>
      <c r="K45" s="88">
        <v>6.6181578424780738E-3</v>
      </c>
      <c r="L45" s="88">
        <v>0</v>
      </c>
      <c r="M45" s="88">
        <v>-5.4203961720023085E-2</v>
      </c>
      <c r="N45" s="88">
        <v>-3.418806748785609E-3</v>
      </c>
      <c r="O45" s="88">
        <v>-4.3384015985982417E-3</v>
      </c>
      <c r="P45" s="88">
        <v>2.7137058715963258E-3</v>
      </c>
      <c r="Q45" s="89">
        <v>-2.8495962065363742E-2</v>
      </c>
      <c r="R45" s="52"/>
      <c r="S45" s="52"/>
      <c r="T45" s="52"/>
      <c r="U45" s="52"/>
      <c r="V45" s="52"/>
      <c r="W45" s="52"/>
    </row>
    <row r="46" spans="1:23">
      <c r="A46" s="87">
        <v>43621</v>
      </c>
      <c r="B46" s="88">
        <v>9.2450581440512089E-3</v>
      </c>
      <c r="C46" s="88">
        <v>-3.2258092488825657E-3</v>
      </c>
      <c r="D46" s="88">
        <v>0</v>
      </c>
      <c r="E46" s="88">
        <v>1.8978224941161873E-2</v>
      </c>
      <c r="F46" s="88">
        <v>1.3828001607292115E-2</v>
      </c>
      <c r="G46" s="88">
        <v>-1.2756007682470716E-3</v>
      </c>
      <c r="H46" s="88">
        <v>-1.1104942840271764E-3</v>
      </c>
      <c r="I46" s="88">
        <v>1.0022191478782336E-2</v>
      </c>
      <c r="J46" s="88">
        <v>-1.5071592905713629E-3</v>
      </c>
      <c r="K46" s="88">
        <v>-7.947061692531945E-3</v>
      </c>
      <c r="L46" s="88">
        <v>0</v>
      </c>
      <c r="M46" s="88">
        <v>2.3590919914574078E-2</v>
      </c>
      <c r="N46" s="88">
        <v>6.8259650703998906E-3</v>
      </c>
      <c r="O46" s="88">
        <v>0</v>
      </c>
      <c r="P46" s="88">
        <v>-5.4347959859569446E-3</v>
      </c>
      <c r="Q46" s="89">
        <v>9.8732702723744094E-3</v>
      </c>
      <c r="R46" s="52"/>
      <c r="S46" s="52"/>
      <c r="T46" s="52"/>
      <c r="U46" s="52"/>
      <c r="V46" s="52"/>
      <c r="W46" s="52"/>
    </row>
    <row r="47" spans="1:23">
      <c r="A47" s="87">
        <v>43622</v>
      </c>
      <c r="B47" s="88">
        <v>-1.2277472383224036E-3</v>
      </c>
      <c r="C47" s="88">
        <v>-2.0400544300491302E-2</v>
      </c>
      <c r="D47" s="88">
        <v>1.7072544416498681E-2</v>
      </c>
      <c r="E47" s="88">
        <v>-2.4286593601266274E-3</v>
      </c>
      <c r="F47" s="88">
        <v>1.3639393093318764E-2</v>
      </c>
      <c r="G47" s="88">
        <v>0</v>
      </c>
      <c r="H47" s="88">
        <v>0</v>
      </c>
      <c r="I47" s="88">
        <v>-1.4675670376862679E-3</v>
      </c>
      <c r="J47" s="88">
        <v>-3.2186686495901333E-2</v>
      </c>
      <c r="K47" s="88">
        <v>2.6560440581162104E-3</v>
      </c>
      <c r="L47" s="88">
        <v>9.1324835632724723E-3</v>
      </c>
      <c r="M47" s="88">
        <v>-1.0523056288233544E-2</v>
      </c>
      <c r="N47" s="88">
        <v>-3.4071583216141975E-3</v>
      </c>
      <c r="O47" s="88">
        <v>2.1506205220963682E-2</v>
      </c>
      <c r="P47" s="88">
        <v>1.3614705983211706E-3</v>
      </c>
      <c r="Q47" s="89">
        <v>-5.4323080456255505E-3</v>
      </c>
      <c r="R47" s="52"/>
      <c r="S47" s="52"/>
      <c r="T47" s="52"/>
      <c r="U47" s="52"/>
      <c r="V47" s="52"/>
      <c r="W47" s="52"/>
    </row>
    <row r="48" spans="1:23">
      <c r="A48" s="87">
        <v>43623</v>
      </c>
      <c r="B48" s="88">
        <v>7.039049722217249E-3</v>
      </c>
      <c r="C48" s="88">
        <v>-8.2474231479049472E-4</v>
      </c>
      <c r="D48" s="88">
        <v>6.3278000638193809E-3</v>
      </c>
      <c r="E48" s="88">
        <v>-1.6549565581035274E-2</v>
      </c>
      <c r="F48" s="88">
        <v>-9.9010709827115698E-3</v>
      </c>
      <c r="G48" s="88">
        <v>-6.6880363132982394E-3</v>
      </c>
      <c r="H48" s="88">
        <v>-1.5677812719229904E-2</v>
      </c>
      <c r="I48" s="88">
        <v>5.8573897149385226E-3</v>
      </c>
      <c r="J48" s="88">
        <v>1.0844413014128876E-2</v>
      </c>
      <c r="K48" s="88">
        <v>-7.98939003347875E-3</v>
      </c>
      <c r="L48" s="88">
        <v>0</v>
      </c>
      <c r="M48" s="88">
        <v>2.7210901143608075E-3</v>
      </c>
      <c r="N48" s="88">
        <v>6.8027473227523999E-3</v>
      </c>
      <c r="O48" s="88">
        <v>0</v>
      </c>
      <c r="P48" s="88">
        <v>-1.3614705983210744E-3</v>
      </c>
      <c r="Q48" s="89">
        <v>-1.2003038944462367E-3</v>
      </c>
      <c r="R48" s="52"/>
      <c r="S48" s="52"/>
      <c r="T48" s="52"/>
      <c r="U48" s="52"/>
      <c r="V48" s="52"/>
      <c r="W48" s="52"/>
    </row>
    <row r="49" spans="1:23">
      <c r="A49" s="87">
        <v>43626</v>
      </c>
      <c r="B49" s="88">
        <v>-2.7485129533490484E-3</v>
      </c>
      <c r="C49" s="88">
        <v>2.6060106669865087E-2</v>
      </c>
      <c r="D49" s="88">
        <v>3.805956182434498E-2</v>
      </c>
      <c r="E49" s="88">
        <v>1.9584469276189394E-2</v>
      </c>
      <c r="F49" s="88">
        <v>4.380262265839284E-2</v>
      </c>
      <c r="G49" s="88">
        <v>2.9126223511017124E-2</v>
      </c>
      <c r="H49" s="88">
        <v>1.3453117697118676E-2</v>
      </c>
      <c r="I49" s="88">
        <v>1.3131978249603929E-3</v>
      </c>
      <c r="J49" s="88">
        <v>4.0760359338873974E-2</v>
      </c>
      <c r="K49" s="88">
        <v>2.8987536873252187E-2</v>
      </c>
      <c r="L49" s="88">
        <v>1.8018505502678212E-2</v>
      </c>
      <c r="M49" s="88">
        <v>-1.5788953740701304E-2</v>
      </c>
      <c r="N49" s="88">
        <v>0</v>
      </c>
      <c r="O49" s="88">
        <v>1.2685159527315861E-2</v>
      </c>
      <c r="P49" s="88">
        <v>0</v>
      </c>
      <c r="Q49" s="89">
        <v>3.2304630376543082E-2</v>
      </c>
      <c r="R49" s="52"/>
      <c r="S49" s="52"/>
      <c r="T49" s="52"/>
      <c r="U49" s="52"/>
      <c r="V49" s="52"/>
      <c r="W49" s="52"/>
    </row>
    <row r="50" spans="1:23">
      <c r="A50" s="87">
        <v>43627</v>
      </c>
      <c r="B50" s="88">
        <v>6.4014850520406688E-3</v>
      </c>
      <c r="C50" s="88">
        <v>3.2102756302481894E-3</v>
      </c>
      <c r="D50" s="88">
        <v>6.0538980171823418E-3</v>
      </c>
      <c r="E50" s="88">
        <v>-9.7442914746781635E-3</v>
      </c>
      <c r="F50" s="88">
        <v>2.3781224049674193E-3</v>
      </c>
      <c r="G50" s="88">
        <v>4.8321193814954574E-2</v>
      </c>
      <c r="H50" s="88">
        <v>-6.7039357221903295E-3</v>
      </c>
      <c r="I50" s="88">
        <v>8.5662955777190304E-3</v>
      </c>
      <c r="J50" s="88">
        <v>0</v>
      </c>
      <c r="K50" s="88">
        <v>-2.4984863083594853E-2</v>
      </c>
      <c r="L50" s="88">
        <v>0</v>
      </c>
      <c r="M50" s="88">
        <v>5.1830371941960079E-3</v>
      </c>
      <c r="N50" s="88">
        <v>0</v>
      </c>
      <c r="O50" s="88">
        <v>4.1928782600359578E-3</v>
      </c>
      <c r="P50" s="88">
        <v>0</v>
      </c>
      <c r="Q50" s="89">
        <v>3.7780362458758963E-3</v>
      </c>
      <c r="R50" s="52"/>
      <c r="S50" s="52"/>
      <c r="T50" s="52"/>
      <c r="U50" s="52"/>
      <c r="V50" s="52"/>
      <c r="W50" s="52"/>
    </row>
    <row r="51" spans="1:23">
      <c r="A51" s="87">
        <v>43628</v>
      </c>
      <c r="B51" s="88">
        <v>5.7567194277686915E-3</v>
      </c>
      <c r="C51" s="88">
        <v>-9.6619109117369716E-3</v>
      </c>
      <c r="D51" s="88">
        <v>-1.5101893460037928E-2</v>
      </c>
      <c r="E51" s="88">
        <v>-1.6661909682435534E-2</v>
      </c>
      <c r="F51" s="88">
        <v>1.9988907741928602E-2</v>
      </c>
      <c r="G51" s="88">
        <v>-7.4270898436153412E-3</v>
      </c>
      <c r="H51" s="88">
        <v>-1.3544225107757149E-2</v>
      </c>
      <c r="I51" s="88">
        <v>-1.4467595116118268E-3</v>
      </c>
      <c r="J51" s="88">
        <v>5.899722127188322E-3</v>
      </c>
      <c r="K51" s="88">
        <v>-2.6666682469152284E-3</v>
      </c>
      <c r="L51" s="88">
        <v>-8.9686699827603751E-3</v>
      </c>
      <c r="M51" s="88">
        <v>0</v>
      </c>
      <c r="N51" s="88">
        <v>-6.8027473227525231E-3</v>
      </c>
      <c r="O51" s="88">
        <v>4.175371410480592E-3</v>
      </c>
      <c r="P51" s="88">
        <v>0</v>
      </c>
      <c r="Q51" s="89">
        <v>-2.6277180027067266E-3</v>
      </c>
      <c r="R51" s="52"/>
      <c r="S51" s="52"/>
      <c r="T51" s="52"/>
      <c r="U51" s="52"/>
      <c r="V51" s="52"/>
      <c r="W51" s="52"/>
    </row>
    <row r="52" spans="1:23">
      <c r="A52" s="87">
        <v>43629</v>
      </c>
      <c r="B52" s="88">
        <v>-6.6687121950380615E-3</v>
      </c>
      <c r="C52" s="88">
        <v>2.0024697947283433E-2</v>
      </c>
      <c r="D52" s="88">
        <v>1.5604734522576588E-2</v>
      </c>
      <c r="E52" s="88">
        <v>-2.2656727481891417E-2</v>
      </c>
      <c r="F52" s="88">
        <v>1.1634672632980494E-3</v>
      </c>
      <c r="G52" s="88">
        <v>9.9345144499760618E-3</v>
      </c>
      <c r="H52" s="88">
        <v>-2.2989518224698833E-2</v>
      </c>
      <c r="I52" s="88">
        <v>-1.1357140127883721E-2</v>
      </c>
      <c r="J52" s="88">
        <v>1.8937201019750782E-2</v>
      </c>
      <c r="K52" s="88">
        <v>-5.3547651376599156E-3</v>
      </c>
      <c r="L52" s="88">
        <v>2.0067563050809173E-2</v>
      </c>
      <c r="M52" s="88">
        <v>2.7426007350107784E-3</v>
      </c>
      <c r="N52" s="88">
        <v>6.8027473227523999E-3</v>
      </c>
      <c r="O52" s="88">
        <v>-1.2578782206860185E-2</v>
      </c>
      <c r="P52" s="88">
        <v>0</v>
      </c>
      <c r="Q52" s="89">
        <v>7.8390106869103623E-3</v>
      </c>
      <c r="R52" s="52"/>
      <c r="S52" s="52"/>
      <c r="T52" s="52"/>
      <c r="U52" s="52"/>
      <c r="V52" s="52"/>
      <c r="W52" s="52"/>
    </row>
    <row r="53" spans="1:23">
      <c r="A53" s="87">
        <v>43630</v>
      </c>
      <c r="B53" s="88">
        <v>-5.4894922847714802E-3</v>
      </c>
      <c r="C53" s="88">
        <v>-4.7694843990351687E-3</v>
      </c>
      <c r="D53" s="88">
        <v>-1.152808802881298E-2</v>
      </c>
      <c r="E53" s="88">
        <v>-1.5394787682555021E-2</v>
      </c>
      <c r="F53" s="88">
        <v>-1.4051753455650302E-2</v>
      </c>
      <c r="G53" s="88">
        <v>4.9960661375374679E-3</v>
      </c>
      <c r="H53" s="88">
        <v>-1.1696039763191187E-2</v>
      </c>
      <c r="I53" s="88">
        <v>2.9244062368161275E-3</v>
      </c>
      <c r="J53" s="88">
        <v>2.8818463748889502E-3</v>
      </c>
      <c r="K53" s="88">
        <v>-8.0862974313578185E-3</v>
      </c>
      <c r="L53" s="88">
        <v>1.0977058631150994E-2</v>
      </c>
      <c r="M53" s="88">
        <v>0</v>
      </c>
      <c r="N53" s="88">
        <v>0</v>
      </c>
      <c r="O53" s="88">
        <v>8.4034107963793792E-3</v>
      </c>
      <c r="P53" s="88">
        <v>0</v>
      </c>
      <c r="Q53" s="89">
        <v>-3.545915020475114E-3</v>
      </c>
      <c r="R53" s="52"/>
      <c r="S53" s="52"/>
      <c r="T53" s="52"/>
      <c r="U53" s="52"/>
      <c r="V53" s="52"/>
      <c r="W53" s="52"/>
    </row>
    <row r="54" spans="1:23">
      <c r="A54" s="87">
        <v>43634</v>
      </c>
      <c r="B54" s="88">
        <v>1.0041161499490497E-2</v>
      </c>
      <c r="C54" s="88">
        <v>1.1093616148503259E-2</v>
      </c>
      <c r="D54" s="88">
        <v>1.3035095899294899E-2</v>
      </c>
      <c r="E54" s="88">
        <v>4.980543953468982E-2</v>
      </c>
      <c r="F54" s="88">
        <v>-7.1006215495763155E-3</v>
      </c>
      <c r="G54" s="88">
        <v>1.4710933784845902E-2</v>
      </c>
      <c r="H54" s="88">
        <v>-2.3557136924590365E-3</v>
      </c>
      <c r="I54" s="88">
        <v>-1.307976616089546E-2</v>
      </c>
      <c r="J54" s="88">
        <v>7.168489478612497E-3</v>
      </c>
      <c r="K54" s="88">
        <v>1.4775285582154459E-2</v>
      </c>
      <c r="L54" s="88">
        <v>-1.0977058631150907E-2</v>
      </c>
      <c r="M54" s="88">
        <v>-5.3307613515480709E-3</v>
      </c>
      <c r="N54" s="88">
        <v>0</v>
      </c>
      <c r="O54" s="88">
        <v>0</v>
      </c>
      <c r="P54" s="88">
        <v>0</v>
      </c>
      <c r="Q54" s="89">
        <v>7.0089898148928539E-3</v>
      </c>
      <c r="R54" s="52"/>
      <c r="S54" s="52"/>
      <c r="T54" s="52"/>
      <c r="U54" s="52"/>
      <c r="V54" s="52"/>
      <c r="W54" s="52"/>
    </row>
    <row r="55" spans="1:23">
      <c r="A55" s="87">
        <v>43635</v>
      </c>
      <c r="B55" s="88">
        <v>-8.2079804178297328E-3</v>
      </c>
      <c r="C55" s="88">
        <v>-7.1174677688639896E-3</v>
      </c>
      <c r="D55" s="88">
        <v>-1.7622493719346159E-2</v>
      </c>
      <c r="E55" s="88">
        <v>-1.8467225931647741E-3</v>
      </c>
      <c r="F55" s="88">
        <v>-1.1947573421118175E-2</v>
      </c>
      <c r="G55" s="88">
        <v>-6.092442203404512E-3</v>
      </c>
      <c r="H55" s="88">
        <v>3.9311420214888142E-2</v>
      </c>
      <c r="I55" s="88">
        <v>-1.160554612030789E-2</v>
      </c>
      <c r="J55" s="88">
        <v>-2.0202707317519355E-2</v>
      </c>
      <c r="K55" s="88">
        <v>5.3191614776000266E-3</v>
      </c>
      <c r="L55" s="88">
        <v>-2.4582243405335793E-2</v>
      </c>
      <c r="M55" s="88">
        <v>5.3307613515480735E-3</v>
      </c>
      <c r="N55" s="88">
        <v>0</v>
      </c>
      <c r="O55" s="88">
        <v>0</v>
      </c>
      <c r="P55" s="88">
        <v>2.7210901143605863E-3</v>
      </c>
      <c r="Q55" s="89">
        <v>-1.0982129087469799E-2</v>
      </c>
      <c r="R55" s="52"/>
      <c r="S55" s="52"/>
      <c r="T55" s="52"/>
      <c r="U55" s="52"/>
      <c r="V55" s="52"/>
      <c r="W55" s="52"/>
    </row>
    <row r="56" spans="1:23">
      <c r="A56" s="87">
        <v>43636</v>
      </c>
      <c r="B56" s="88">
        <v>1.6949558313773424E-2</v>
      </c>
      <c r="C56" s="88">
        <v>-7.9681696491768449E-3</v>
      </c>
      <c r="D56" s="88">
        <v>-2.557676978726746E-3</v>
      </c>
      <c r="E56" s="88">
        <v>1.9524720296572162E-2</v>
      </c>
      <c r="F56" s="88">
        <v>-6.0277457975173128E-3</v>
      </c>
      <c r="G56" s="88">
        <v>2.4673735003214159E-3</v>
      </c>
      <c r="H56" s="88">
        <v>-7.9681696491769576E-3</v>
      </c>
      <c r="I56" s="88">
        <v>5.8196090532640025E-3</v>
      </c>
      <c r="J56" s="88">
        <v>1.4566644964641641E-3</v>
      </c>
      <c r="K56" s="88">
        <v>3.3901551675681416E-2</v>
      </c>
      <c r="L56" s="88">
        <v>-1.1376686982107934E-2</v>
      </c>
      <c r="M56" s="88">
        <v>-2.7426007350108256E-3</v>
      </c>
      <c r="N56" s="88">
        <v>-1.7094433359300068E-2</v>
      </c>
      <c r="O56" s="88">
        <v>0</v>
      </c>
      <c r="P56" s="88">
        <v>-2.7210901143606132E-3</v>
      </c>
      <c r="Q56" s="89">
        <v>-8.5913021445357014E-3</v>
      </c>
      <c r="R56" s="52"/>
      <c r="S56" s="52"/>
      <c r="T56" s="52"/>
      <c r="U56" s="52"/>
      <c r="V56" s="52"/>
      <c r="W56" s="52"/>
    </row>
    <row r="57" spans="1:23">
      <c r="A57" s="87">
        <v>43637</v>
      </c>
      <c r="B57" s="88">
        <v>1.4302985190331043E-2</v>
      </c>
      <c r="C57" s="88">
        <v>-2.6754737308819613E-2</v>
      </c>
      <c r="D57" s="88">
        <v>2.2686814613461885E-2</v>
      </c>
      <c r="E57" s="88">
        <v>1.3801599215988294E-2</v>
      </c>
      <c r="F57" s="88">
        <v>-1.2165600163688476E-2</v>
      </c>
      <c r="G57" s="88">
        <v>6.0774739334963869E-3</v>
      </c>
      <c r="H57" s="88">
        <v>-4.6792161506758939E-2</v>
      </c>
      <c r="I57" s="88">
        <v>2.7298437119007125E-2</v>
      </c>
      <c r="J57" s="88">
        <v>1.8746042821055412E-2</v>
      </c>
      <c r="K57" s="88">
        <v>4.756841691910968E-2</v>
      </c>
      <c r="L57" s="88">
        <v>-1.1507606851479802E-2</v>
      </c>
      <c r="M57" s="88">
        <v>2.7426007350107784E-3</v>
      </c>
      <c r="N57" s="88">
        <v>1.0291686036547724E-2</v>
      </c>
      <c r="O57" s="88">
        <v>-4.1928782600359274E-3</v>
      </c>
      <c r="P57" s="88">
        <v>2.7210901143605863E-3</v>
      </c>
      <c r="Q57" s="89">
        <v>2.3157276836201649E-3</v>
      </c>
      <c r="R57" s="52"/>
      <c r="S57" s="52"/>
      <c r="T57" s="52"/>
      <c r="U57" s="52"/>
      <c r="V57" s="52"/>
      <c r="W57" s="52"/>
    </row>
    <row r="58" spans="1:23">
      <c r="A58" s="87">
        <v>43640</v>
      </c>
      <c r="B58" s="88">
        <v>-1.0409015914735526E-2</v>
      </c>
      <c r="C58" s="88">
        <v>1.8722565611555362E-2</v>
      </c>
      <c r="D58" s="88">
        <v>2.4238214818385256E-2</v>
      </c>
      <c r="E58" s="88">
        <v>-7.7774846126074468E-3</v>
      </c>
      <c r="F58" s="88">
        <v>3.6652453982958738E-3</v>
      </c>
      <c r="G58" s="88">
        <v>6.040761252130409E-3</v>
      </c>
      <c r="H58" s="88">
        <v>2.9500664396697841E-2</v>
      </c>
      <c r="I58" s="88">
        <v>-7.119536066107276E-3</v>
      </c>
      <c r="J58" s="88">
        <v>1.4184634991956381E-2</v>
      </c>
      <c r="K58" s="88">
        <v>6.0938640743228127E-3</v>
      </c>
      <c r="L58" s="88">
        <v>1.8349138668196398E-2</v>
      </c>
      <c r="M58" s="88">
        <v>-2.7426007350108256E-3</v>
      </c>
      <c r="N58" s="88">
        <v>0</v>
      </c>
      <c r="O58" s="88">
        <v>8.3682496705165792E-3</v>
      </c>
      <c r="P58" s="88">
        <v>-2.7210901143606132E-3</v>
      </c>
      <c r="Q58" s="89">
        <v>1.2594430930278476E-2</v>
      </c>
      <c r="R58" s="52"/>
      <c r="S58" s="52"/>
      <c r="T58" s="52"/>
      <c r="U58" s="52"/>
      <c r="V58" s="52"/>
      <c r="W58" s="52"/>
    </row>
    <row r="59" spans="1:23">
      <c r="A59" s="87">
        <v>43641</v>
      </c>
      <c r="B59" s="88">
        <v>1.0113114151960902E-2</v>
      </c>
      <c r="C59" s="88">
        <v>8.0321716972642527E-3</v>
      </c>
      <c r="D59" s="88">
        <v>-1.5762320230795344E-2</v>
      </c>
      <c r="E59" s="88">
        <v>-9.0498355199178145E-3</v>
      </c>
      <c r="F59" s="88">
        <v>-1.59806719883499E-2</v>
      </c>
      <c r="G59" s="88">
        <v>6.0044894552537297E-3</v>
      </c>
      <c r="H59" s="88">
        <v>0</v>
      </c>
      <c r="I59" s="88">
        <v>-2.7743319247694989E-3</v>
      </c>
      <c r="J59" s="88">
        <v>-1.4094435032336043E-3</v>
      </c>
      <c r="K59" s="88">
        <v>2.5196293918887266E-2</v>
      </c>
      <c r="L59" s="88">
        <v>2.4692612590371633E-2</v>
      </c>
      <c r="M59" s="88">
        <v>-7.9474913492426792E-3</v>
      </c>
      <c r="N59" s="88">
        <v>3.4071583216141346E-3</v>
      </c>
      <c r="O59" s="88">
        <v>3.9220713153281329E-2</v>
      </c>
      <c r="P59" s="88">
        <v>0</v>
      </c>
      <c r="Q59" s="89">
        <v>-3.1721537675958498E-3</v>
      </c>
      <c r="R59" s="52"/>
      <c r="S59" s="52"/>
      <c r="T59" s="52"/>
      <c r="U59" s="52"/>
      <c r="V59" s="52"/>
      <c r="W59" s="52"/>
    </row>
    <row r="60" spans="1:23">
      <c r="A60" s="87">
        <v>43642</v>
      </c>
      <c r="B60" s="88">
        <v>2.0504526222551028E-2</v>
      </c>
      <c r="C60" s="88">
        <v>7.9681696491768813E-3</v>
      </c>
      <c r="D60" s="88">
        <v>-5.8157703901277939E-2</v>
      </c>
      <c r="E60" s="88">
        <v>1.2048338516174355E-2</v>
      </c>
      <c r="F60" s="88">
        <v>1.5980671988349869E-2</v>
      </c>
      <c r="G60" s="88">
        <v>3.295005256813717E-2</v>
      </c>
      <c r="H60" s="88">
        <v>-1.1634672632980698E-3</v>
      </c>
      <c r="I60" s="88">
        <v>7.1392450094705925E-3</v>
      </c>
      <c r="J60" s="88">
        <v>2.2316128322547243E-2</v>
      </c>
      <c r="K60" s="88">
        <v>-3.5608346230089579E-3</v>
      </c>
      <c r="L60" s="88">
        <v>-1.11483874826143E-2</v>
      </c>
      <c r="M60" s="88">
        <v>1.0690092084253556E-2</v>
      </c>
      <c r="N60" s="88">
        <v>0</v>
      </c>
      <c r="O60" s="88">
        <v>6.3897980987709883E-3</v>
      </c>
      <c r="P60" s="88">
        <v>-5.4644944720787375E-3</v>
      </c>
      <c r="Q60" s="89">
        <v>6.6041807373967854E-3</v>
      </c>
      <c r="R60" s="52"/>
      <c r="S60" s="52"/>
      <c r="T60" s="52"/>
      <c r="U60" s="52"/>
      <c r="V60" s="52"/>
      <c r="W60" s="52"/>
    </row>
    <row r="61" spans="1:23">
      <c r="A61" s="87">
        <v>43643</v>
      </c>
      <c r="B61" s="88">
        <v>-1.4507473892196212E-3</v>
      </c>
      <c r="C61" s="88">
        <v>2.0424904852040942E-2</v>
      </c>
      <c r="D61" s="88">
        <v>3.0063423005240654E-2</v>
      </c>
      <c r="E61" s="88">
        <v>0</v>
      </c>
      <c r="F61" s="88">
        <v>1.212136053234482E-2</v>
      </c>
      <c r="G61" s="88">
        <v>3.201825774058762E-2</v>
      </c>
      <c r="H61" s="88">
        <v>-1.0532572499893268E-2</v>
      </c>
      <c r="I61" s="88">
        <v>2.7546229814062388E-3</v>
      </c>
      <c r="J61" s="88">
        <v>2.317758831270559E-2</v>
      </c>
      <c r="K61" s="88">
        <v>6.5578408329251645E-2</v>
      </c>
      <c r="L61" s="88">
        <v>4.4742803949211069E-3</v>
      </c>
      <c r="M61" s="88">
        <v>3.3584654898125371E-2</v>
      </c>
      <c r="N61" s="88">
        <v>3.3955890011383287E-3</v>
      </c>
      <c r="O61" s="88">
        <v>-1.9293202934678896E-2</v>
      </c>
      <c r="P61" s="88">
        <v>4.1011677442146068E-3</v>
      </c>
      <c r="Q61" s="89">
        <v>8.0052315148401304E-3</v>
      </c>
      <c r="R61" s="52"/>
      <c r="S61" s="52"/>
      <c r="T61" s="52"/>
      <c r="U61" s="52"/>
      <c r="V61" s="52"/>
      <c r="W61" s="52"/>
    </row>
    <row r="62" spans="1:23">
      <c r="A62" s="87">
        <v>43644</v>
      </c>
      <c r="B62" s="88">
        <v>7.5210073932835061E-3</v>
      </c>
      <c r="C62" s="88">
        <v>1.0827638652063393E-2</v>
      </c>
      <c r="D62" s="88">
        <v>5.0932166738162921E-3</v>
      </c>
      <c r="E62" s="88">
        <v>1.7804624633506686E-2</v>
      </c>
      <c r="F62" s="88">
        <v>4.1303806141235792E-2</v>
      </c>
      <c r="G62" s="88">
        <v>1.2219144854719796E-2</v>
      </c>
      <c r="H62" s="88">
        <v>9.367750003600241E-3</v>
      </c>
      <c r="I62" s="88">
        <v>0</v>
      </c>
      <c r="J62" s="88">
        <v>-1.220354128072889E-2</v>
      </c>
      <c r="K62" s="88">
        <v>-1.0072832788294957E-2</v>
      </c>
      <c r="L62" s="88">
        <v>-1.801850550267825E-2</v>
      </c>
      <c r="M62" s="88">
        <v>-7.6628727455690252E-3</v>
      </c>
      <c r="N62" s="88">
        <v>1.3468217050866611E-2</v>
      </c>
      <c r="O62" s="88">
        <v>-1.9672765598704893E-2</v>
      </c>
      <c r="P62" s="88">
        <v>2.7247973261852569E-3</v>
      </c>
      <c r="Q62" s="89">
        <v>1.0835947656488529E-2</v>
      </c>
      <c r="R62" s="52"/>
      <c r="S62" s="52"/>
      <c r="T62" s="52"/>
      <c r="U62" s="52"/>
      <c r="V62" s="52"/>
      <c r="W62" s="52"/>
    </row>
    <row r="63" spans="1:23">
      <c r="A63" s="87">
        <v>43647</v>
      </c>
      <c r="B63" s="88">
        <v>-1.4514042884254071E-2</v>
      </c>
      <c r="C63" s="88">
        <v>-8.4975405104406633E-3</v>
      </c>
      <c r="D63" s="88">
        <v>-5.0932166738163242E-3</v>
      </c>
      <c r="E63" s="88">
        <v>1.4598799421152631E-2</v>
      </c>
      <c r="F63" s="88">
        <v>3.4622077284707912E-3</v>
      </c>
      <c r="G63" s="88">
        <v>4.4508153018307059E-2</v>
      </c>
      <c r="H63" s="88">
        <v>2.5317807984290001E-2</v>
      </c>
      <c r="I63" s="88">
        <v>0</v>
      </c>
      <c r="J63" s="88">
        <v>5.4421903026850363E-3</v>
      </c>
      <c r="K63" s="88">
        <v>-9.0396095777250211E-3</v>
      </c>
      <c r="L63" s="88">
        <v>9.0498355199178562E-3</v>
      </c>
      <c r="M63" s="88">
        <v>2.0356541638259701E-2</v>
      </c>
      <c r="N63" s="88">
        <v>6.6666913581892974E-3</v>
      </c>
      <c r="O63" s="88">
        <v>9.8847592325419249E-3</v>
      </c>
      <c r="P63" s="88">
        <v>-3.3198069409595861E-2</v>
      </c>
      <c r="Q63" s="89">
        <v>6.7705065672107071E-3</v>
      </c>
      <c r="R63" s="52"/>
      <c r="S63" s="52"/>
      <c r="T63" s="52"/>
      <c r="U63" s="52"/>
      <c r="V63" s="52"/>
      <c r="W63" s="52"/>
    </row>
    <row r="64" spans="1:23">
      <c r="A64" s="87">
        <v>43648</v>
      </c>
      <c r="B64" s="88">
        <v>5.5401803756153509E-3</v>
      </c>
      <c r="C64" s="88">
        <v>5.4158739730326378E-3</v>
      </c>
      <c r="D64" s="88">
        <v>5.0932166738162921E-3</v>
      </c>
      <c r="E64" s="88">
        <v>0</v>
      </c>
      <c r="F64" s="88">
        <v>0</v>
      </c>
      <c r="G64" s="88">
        <v>-3.1627723190590855E-3</v>
      </c>
      <c r="H64" s="88">
        <v>1.1357184639274286E-3</v>
      </c>
      <c r="I64" s="88">
        <v>1.4467595116118576E-3</v>
      </c>
      <c r="J64" s="88">
        <v>-2.7173929765000266E-3</v>
      </c>
      <c r="K64" s="88">
        <v>-1.9484857132123914E-2</v>
      </c>
      <c r="L64" s="88">
        <v>1.3423020332140771E-2</v>
      </c>
      <c r="M64" s="88">
        <v>-2.6184073489020319E-3</v>
      </c>
      <c r="N64" s="88">
        <v>2.9462032730316067E-2</v>
      </c>
      <c r="O64" s="88">
        <v>-6.578971098042511E-3</v>
      </c>
      <c r="P64" s="88">
        <v>2.8089906110549518E-3</v>
      </c>
      <c r="Q64" s="89">
        <v>1.0292477923153343E-4</v>
      </c>
      <c r="R64" s="52"/>
      <c r="S64" s="52"/>
      <c r="T64" s="52"/>
      <c r="U64" s="52"/>
      <c r="V64" s="52"/>
      <c r="W64" s="52"/>
    </row>
    <row r="65" spans="1:23">
      <c r="A65" s="87">
        <v>43649</v>
      </c>
      <c r="B65" s="88">
        <v>2.0150365150949052E-2</v>
      </c>
      <c r="C65" s="88">
        <v>7.7130740422382677E-4</v>
      </c>
      <c r="D65" s="88">
        <v>1.5025745307095039E-2</v>
      </c>
      <c r="E65" s="88">
        <v>2.0086758566737511E-2</v>
      </c>
      <c r="F65" s="88">
        <v>6.8886609951853157E-3</v>
      </c>
      <c r="G65" s="88">
        <v>-1.0187334629423242E-3</v>
      </c>
      <c r="H65" s="88">
        <v>2.7981680106799849E-2</v>
      </c>
      <c r="I65" s="88">
        <v>8.4935369882308039E-3</v>
      </c>
      <c r="J65" s="88">
        <v>3.3447934067540125E-2</v>
      </c>
      <c r="K65" s="88">
        <v>2.061928720273561E-2</v>
      </c>
      <c r="L65" s="88">
        <v>2.1978906718775167E-2</v>
      </c>
      <c r="M65" s="88">
        <v>0</v>
      </c>
      <c r="N65" s="88">
        <v>-6.4725145056174788E-3</v>
      </c>
      <c r="O65" s="88">
        <v>0</v>
      </c>
      <c r="P65" s="88">
        <v>1.3927801744468804E-2</v>
      </c>
      <c r="Q65" s="89">
        <v>1.9074302087765661E-2</v>
      </c>
      <c r="R65" s="52"/>
      <c r="S65" s="52"/>
      <c r="T65" s="52"/>
      <c r="U65" s="52"/>
      <c r="V65" s="52"/>
      <c r="W65" s="52"/>
    </row>
    <row r="66" spans="1:23">
      <c r="A66" s="87">
        <v>43650</v>
      </c>
      <c r="B66" s="88">
        <v>-5.4764085409975106E-2</v>
      </c>
      <c r="C66" s="88">
        <v>-1.0073700066537508E-2</v>
      </c>
      <c r="D66" s="88">
        <v>-1.0059434993177827E-2</v>
      </c>
      <c r="E66" s="88">
        <v>2.3583350136085597E-2</v>
      </c>
      <c r="F66" s="88">
        <v>2.0385756924473961E-2</v>
      </c>
      <c r="G66" s="88">
        <v>2.8359609627443307E-2</v>
      </c>
      <c r="H66" s="88">
        <v>6.6006840313518724E-3</v>
      </c>
      <c r="I66" s="88">
        <v>1.1119145207181796E-2</v>
      </c>
      <c r="J66" s="88">
        <v>0</v>
      </c>
      <c r="K66" s="88">
        <v>1.9090978464829027E-2</v>
      </c>
      <c r="L66" s="88">
        <v>0</v>
      </c>
      <c r="M66" s="88">
        <v>2.6184073489019669E-3</v>
      </c>
      <c r="N66" s="88">
        <v>-2.6317308317373417E-2</v>
      </c>
      <c r="O66" s="88">
        <v>-9.9503308531679793E-3</v>
      </c>
      <c r="P66" s="88">
        <v>2.7624326959100796E-3</v>
      </c>
      <c r="Q66" s="89">
        <v>1.8270987288228038E-3</v>
      </c>
      <c r="R66" s="52"/>
      <c r="S66" s="52"/>
      <c r="T66" s="52"/>
      <c r="U66" s="52"/>
      <c r="V66" s="52"/>
      <c r="W66" s="52"/>
    </row>
    <row r="67" spans="1:23">
      <c r="A67" s="87">
        <v>43651</v>
      </c>
      <c r="B67" s="88">
        <v>-2.3143542098703573E-2</v>
      </c>
      <c r="C67" s="88">
        <v>-1.4117881545784932E-2</v>
      </c>
      <c r="D67" s="88">
        <v>1.5051458139595646E-2</v>
      </c>
      <c r="E67" s="88">
        <v>4.2374617655711717E-2</v>
      </c>
      <c r="F67" s="88">
        <v>-2.2446698538238618E-3</v>
      </c>
      <c r="G67" s="88">
        <v>2.3499775915898382E-2</v>
      </c>
      <c r="H67" s="88">
        <v>5.4674821821336156E-3</v>
      </c>
      <c r="I67" s="88">
        <v>1.9374465355458802E-2</v>
      </c>
      <c r="J67" s="88">
        <v>-1.0582109330536972E-2</v>
      </c>
      <c r="K67" s="88">
        <v>-1.909097846482891E-2</v>
      </c>
      <c r="L67" s="88">
        <v>0</v>
      </c>
      <c r="M67" s="88">
        <v>-1.0048782092194938E-2</v>
      </c>
      <c r="N67" s="88">
        <v>-1.6807118316381289E-2</v>
      </c>
      <c r="O67" s="88">
        <v>9.950330853168092E-3</v>
      </c>
      <c r="P67" s="88">
        <v>-2.0906684819313712E-2</v>
      </c>
      <c r="Q67" s="89">
        <v>1.9243684613906901E-3</v>
      </c>
      <c r="R67" s="52"/>
      <c r="S67" s="52"/>
      <c r="T67" s="52"/>
      <c r="U67" s="52"/>
      <c r="V67" s="52"/>
      <c r="W67" s="52"/>
    </row>
    <row r="68" spans="1:23">
      <c r="A68" s="87">
        <v>43654</v>
      </c>
      <c r="B68" s="88">
        <v>-1.1152531950475003E-2</v>
      </c>
      <c r="C68" s="88">
        <v>7.8957761701758207E-4</v>
      </c>
      <c r="D68" s="88">
        <v>0</v>
      </c>
      <c r="E68" s="88">
        <v>-2.969178980740304E-2</v>
      </c>
      <c r="F68" s="88">
        <v>-5.1884835369011686E-2</v>
      </c>
      <c r="G68" s="88">
        <v>-1.320508418656844E-2</v>
      </c>
      <c r="H68" s="88">
        <v>-1.9824437784844544E-2</v>
      </c>
      <c r="I68" s="88">
        <v>5.4080420234956794E-3</v>
      </c>
      <c r="J68" s="88">
        <v>-1.3306721857050613E-3</v>
      </c>
      <c r="K68" s="88">
        <v>1.4631662268064049E-2</v>
      </c>
      <c r="L68" s="88">
        <v>-2.1762794225955173E-3</v>
      </c>
      <c r="M68" s="88">
        <v>-1.0307759546064761E-2</v>
      </c>
      <c r="N68" s="88">
        <v>0</v>
      </c>
      <c r="O68" s="88">
        <v>-3.3057881344994329E-3</v>
      </c>
      <c r="P68" s="88">
        <v>-7.067167223092443E-3</v>
      </c>
      <c r="Q68" s="89">
        <v>-1.860356107016746E-2</v>
      </c>
      <c r="R68" s="52"/>
      <c r="S68" s="52"/>
      <c r="T68" s="52"/>
      <c r="U68" s="52"/>
      <c r="V68" s="52"/>
      <c r="W68" s="52"/>
    </row>
    <row r="69" spans="1:23">
      <c r="A69" s="87">
        <v>43655</v>
      </c>
      <c r="B69" s="88">
        <v>-2.2048137221762614E-2</v>
      </c>
      <c r="C69" s="88">
        <v>-2.6390975855805909E-2</v>
      </c>
      <c r="D69" s="88">
        <v>-4.1066854028148858E-2</v>
      </c>
      <c r="E69" s="88">
        <v>-5.8093581028915854E-2</v>
      </c>
      <c r="F69" s="88">
        <v>-5.222801949065925E-2</v>
      </c>
      <c r="G69" s="88">
        <v>-7.2282527636871485E-2</v>
      </c>
      <c r="H69" s="88">
        <v>-3.0493610562640629E-2</v>
      </c>
      <c r="I69" s="88">
        <v>-4.4395189574367194E-2</v>
      </c>
      <c r="J69" s="88">
        <v>-3.6614259378418314E-2</v>
      </c>
      <c r="K69" s="88">
        <v>-5.1587368790493117E-2</v>
      </c>
      <c r="L69" s="88">
        <v>-3.0975927894304905E-2</v>
      </c>
      <c r="M69" s="88">
        <v>-2.8664382887567206E-2</v>
      </c>
      <c r="N69" s="88">
        <v>-3.3955890011382718E-3</v>
      </c>
      <c r="O69" s="88">
        <v>-1.6694878572169992E-2</v>
      </c>
      <c r="P69" s="88">
        <v>-1.2848142477849024E-2</v>
      </c>
      <c r="Q69" s="89">
        <v>-4.374806700187972E-2</v>
      </c>
      <c r="R69" s="52"/>
      <c r="S69" s="52"/>
      <c r="T69" s="52"/>
      <c r="U69" s="52"/>
      <c r="V69" s="52"/>
      <c r="W69" s="52"/>
    </row>
    <row r="70" spans="1:23">
      <c r="A70" s="87">
        <v>43656</v>
      </c>
      <c r="B70" s="88">
        <v>-1.2820688429061434E-2</v>
      </c>
      <c r="C70" s="88">
        <v>9.6774948820654381E-3</v>
      </c>
      <c r="D70" s="88">
        <v>8.7815017541132689E-3</v>
      </c>
      <c r="E70" s="88">
        <v>1.2694919481248944E-2</v>
      </c>
      <c r="F70" s="88">
        <v>3.431709292412894E-2</v>
      </c>
      <c r="G70" s="88">
        <v>3.0452180053129167E-2</v>
      </c>
      <c r="H70" s="88">
        <v>2.4916351264534418E-2</v>
      </c>
      <c r="I70" s="88">
        <v>4.3011297850596979E-2</v>
      </c>
      <c r="J70" s="88">
        <v>2.1858793812499017E-2</v>
      </c>
      <c r="K70" s="88">
        <v>2.3501773449534514E-3</v>
      </c>
      <c r="L70" s="88">
        <v>8.9486055760140144E-3</v>
      </c>
      <c r="M70" s="88">
        <v>3.3831543840160253E-2</v>
      </c>
      <c r="N70" s="88">
        <v>0</v>
      </c>
      <c r="O70" s="88">
        <v>1.0050335853501286E-2</v>
      </c>
      <c r="P70" s="88">
        <v>-4.3196611445163961E-3</v>
      </c>
      <c r="Q70" s="89">
        <v>2.4664176535657452E-2</v>
      </c>
      <c r="R70" s="52"/>
      <c r="S70" s="52"/>
      <c r="T70" s="52"/>
      <c r="U70" s="52"/>
      <c r="V70" s="52"/>
      <c r="W70" s="52"/>
    </row>
    <row r="71" spans="1:23">
      <c r="A71" s="87">
        <v>43657</v>
      </c>
      <c r="B71" s="88">
        <v>-6.453694964236418E-4</v>
      </c>
      <c r="C71" s="88">
        <v>4.0048111195124915E-3</v>
      </c>
      <c r="D71" s="88">
        <v>-1.7640801973017428E-2</v>
      </c>
      <c r="E71" s="88">
        <v>2.9380644393219961E-2</v>
      </c>
      <c r="F71" s="88">
        <v>-8.469500113573834E-3</v>
      </c>
      <c r="G71" s="88">
        <v>3.176046226968929E-3</v>
      </c>
      <c r="H71" s="88">
        <v>7.7994824348238895E-3</v>
      </c>
      <c r="I71" s="88">
        <v>0</v>
      </c>
      <c r="J71" s="88">
        <v>1.6086137751624225E-2</v>
      </c>
      <c r="K71" s="88">
        <v>-7.0671672230923311E-3</v>
      </c>
      <c r="L71" s="88">
        <v>2.2027322318290909E-2</v>
      </c>
      <c r="M71" s="88">
        <v>-2.6585362440748215E-3</v>
      </c>
      <c r="N71" s="88">
        <v>-3.4071583216141975E-3</v>
      </c>
      <c r="O71" s="88">
        <v>-6.688988150796652E-3</v>
      </c>
      <c r="P71" s="88">
        <v>2.8818463748889502E-3</v>
      </c>
      <c r="Q71" s="89">
        <v>2.0406987196778365E-3</v>
      </c>
      <c r="R71" s="52"/>
      <c r="S71" s="52"/>
      <c r="T71" s="52"/>
      <c r="U71" s="52"/>
      <c r="V71" s="52"/>
      <c r="W71" s="52"/>
    </row>
    <row r="72" spans="1:23">
      <c r="A72" s="87">
        <v>43658</v>
      </c>
      <c r="B72" s="88">
        <v>-9.4049663570776893E-3</v>
      </c>
      <c r="C72" s="88">
        <v>-7.9968017056429011E-4</v>
      </c>
      <c r="D72" s="88">
        <v>1.4034223794001554E-2</v>
      </c>
      <c r="E72" s="88">
        <v>-1.4017611079311347E-2</v>
      </c>
      <c r="F72" s="88">
        <v>-1.4688146561656788E-2</v>
      </c>
      <c r="G72" s="88">
        <v>0</v>
      </c>
      <c r="H72" s="88">
        <v>8.839836569141021E-3</v>
      </c>
      <c r="I72" s="88">
        <v>-5.4155516651534534E-3</v>
      </c>
      <c r="J72" s="88">
        <v>1.0582109330537008E-2</v>
      </c>
      <c r="K72" s="88">
        <v>4.9577875907681319E-2</v>
      </c>
      <c r="L72" s="88">
        <v>0</v>
      </c>
      <c r="M72" s="88">
        <v>1.0282065970372234E-2</v>
      </c>
      <c r="N72" s="88">
        <v>2.0270964373618985E-2</v>
      </c>
      <c r="O72" s="88">
        <v>-1.0118130165584554E-2</v>
      </c>
      <c r="P72" s="88">
        <v>-7.2202479734870201E-3</v>
      </c>
      <c r="Q72" s="89">
        <v>-5.7850632972207819E-3</v>
      </c>
      <c r="R72" s="52"/>
      <c r="S72" s="52"/>
      <c r="T72" s="52"/>
      <c r="U72" s="52"/>
      <c r="V72" s="52"/>
      <c r="W72" s="52"/>
    </row>
    <row r="73" spans="1:23">
      <c r="A73" s="87">
        <v>43661</v>
      </c>
      <c r="B73" s="88">
        <v>-1.5432911787051317E-2</v>
      </c>
      <c r="C73" s="88">
        <v>0</v>
      </c>
      <c r="D73" s="88">
        <v>2.5774538728946632E-3</v>
      </c>
      <c r="E73" s="88">
        <v>1.1787955752042393E-2</v>
      </c>
      <c r="F73" s="88">
        <v>-3.7059955943175358E-3</v>
      </c>
      <c r="G73" s="88">
        <v>1.2716088748175411E-2</v>
      </c>
      <c r="H73" s="88">
        <v>-4.5001968912086847E-2</v>
      </c>
      <c r="I73" s="88">
        <v>-6.8459925079901139E-3</v>
      </c>
      <c r="J73" s="88">
        <v>-2.6350476380050023E-3</v>
      </c>
      <c r="K73" s="88">
        <v>1.3408022094433156E-2</v>
      </c>
      <c r="L73" s="88">
        <v>-4.2275483148238306E-2</v>
      </c>
      <c r="M73" s="88">
        <v>1.0023987087280948E-2</v>
      </c>
      <c r="N73" s="88">
        <v>-6.7114345879868038E-3</v>
      </c>
      <c r="O73" s="88">
        <v>-3.3955890011382718E-3</v>
      </c>
      <c r="P73" s="88">
        <v>-2.1978906718775115E-2</v>
      </c>
      <c r="Q73" s="89">
        <v>-8.2708425834621836E-3</v>
      </c>
      <c r="R73" s="52"/>
      <c r="S73" s="52"/>
      <c r="T73" s="52"/>
      <c r="U73" s="52"/>
      <c r="V73" s="52"/>
      <c r="W73" s="52"/>
    </row>
    <row r="74" spans="1:23">
      <c r="A74" s="87">
        <v>43662</v>
      </c>
      <c r="B74" s="88">
        <v>-7.3065751824381393E-3</v>
      </c>
      <c r="C74" s="88">
        <v>0</v>
      </c>
      <c r="D74" s="88">
        <v>-3.0937427996398075E-3</v>
      </c>
      <c r="E74" s="88">
        <v>1.6727073875033088E-3</v>
      </c>
      <c r="F74" s="88">
        <v>4.9382816405825767E-3</v>
      </c>
      <c r="G74" s="88">
        <v>-5.2693658558174402E-3</v>
      </c>
      <c r="H74" s="88">
        <v>5.2673239408738332E-2</v>
      </c>
      <c r="I74" s="88">
        <v>-2.8078075445228568E-3</v>
      </c>
      <c r="J74" s="88">
        <v>6.5746456420853853E-3</v>
      </c>
      <c r="K74" s="88">
        <v>-1.678830700325705E-2</v>
      </c>
      <c r="L74" s="88">
        <v>1.8018505502678212E-2</v>
      </c>
      <c r="M74" s="88">
        <v>2.724551757766978E-2</v>
      </c>
      <c r="N74" s="88">
        <v>3.3613477027049274E-3</v>
      </c>
      <c r="O74" s="88">
        <v>1.3513719166722855E-2</v>
      </c>
      <c r="P74" s="88">
        <v>2.7759269634274567E-2</v>
      </c>
      <c r="Q74" s="89">
        <v>5.4241312937332422E-3</v>
      </c>
      <c r="R74" s="52"/>
      <c r="S74" s="52"/>
      <c r="T74" s="52"/>
      <c r="U74" s="52"/>
      <c r="V74" s="52"/>
      <c r="W74" s="52"/>
    </row>
    <row r="75" spans="1:23">
      <c r="A75" s="87">
        <v>43663</v>
      </c>
      <c r="B75" s="88">
        <v>2.3716526617316065E-2</v>
      </c>
      <c r="C75" s="88">
        <v>-3.2051309489483358E-3</v>
      </c>
      <c r="D75" s="88">
        <v>2.3376759907068806E-2</v>
      </c>
      <c r="E75" s="88">
        <v>2.7816429618767705E-3</v>
      </c>
      <c r="F75" s="88">
        <v>1.5883046173002933E-2</v>
      </c>
      <c r="G75" s="88">
        <v>1.9921642642687778E-2</v>
      </c>
      <c r="H75" s="88">
        <v>-2.1857932199802082E-3</v>
      </c>
      <c r="I75" s="88">
        <v>1.4048892448386403E-3</v>
      </c>
      <c r="J75" s="88">
        <v>-3.9395980040803141E-3</v>
      </c>
      <c r="K75" s="88">
        <v>1.1223462369849576E-2</v>
      </c>
      <c r="L75" s="88">
        <v>1.5504186535965254E-2</v>
      </c>
      <c r="M75" s="88">
        <v>1.4527382675193769E-2</v>
      </c>
      <c r="N75" s="88">
        <v>0</v>
      </c>
      <c r="O75" s="88">
        <v>6.6889881507967101E-3</v>
      </c>
      <c r="P75" s="88">
        <v>-5.7803629154994252E-3</v>
      </c>
      <c r="Q75" s="89">
        <v>1.4038004904104853E-2</v>
      </c>
      <c r="R75" s="52"/>
      <c r="S75" s="52"/>
      <c r="T75" s="52"/>
      <c r="U75" s="52"/>
      <c r="V75" s="52"/>
      <c r="W75" s="52"/>
    </row>
    <row r="76" spans="1:23">
      <c r="A76" s="87">
        <v>43664</v>
      </c>
      <c r="B76" s="88">
        <v>-2.6075634070808302E-3</v>
      </c>
      <c r="C76" s="88">
        <v>2.4048107781791494E-3</v>
      </c>
      <c r="D76" s="88">
        <v>-7.4944648939505405E-3</v>
      </c>
      <c r="E76" s="88">
        <v>-2.7816429618768026E-3</v>
      </c>
      <c r="F76" s="88">
        <v>2.0396627907645654E-2</v>
      </c>
      <c r="G76" s="88">
        <v>-9.4105316673855095E-3</v>
      </c>
      <c r="H76" s="88">
        <v>5.8434040436616201E-2</v>
      </c>
      <c r="I76" s="88">
        <v>1.4029182996841668E-3</v>
      </c>
      <c r="J76" s="88">
        <v>-1.3166558847467851E-3</v>
      </c>
      <c r="K76" s="88">
        <v>-3.6367644170874833E-2</v>
      </c>
      <c r="L76" s="88">
        <v>1.092907053219023E-2</v>
      </c>
      <c r="M76" s="88">
        <v>0</v>
      </c>
      <c r="N76" s="88">
        <v>-3.3613477027048832E-3</v>
      </c>
      <c r="O76" s="88">
        <v>0</v>
      </c>
      <c r="P76" s="88">
        <v>0</v>
      </c>
      <c r="Q76" s="89">
        <v>2.956420860475754E-3</v>
      </c>
      <c r="R76" s="52"/>
      <c r="S76" s="52"/>
      <c r="T76" s="52"/>
      <c r="U76" s="52"/>
      <c r="V76" s="52"/>
      <c r="W76" s="52"/>
    </row>
    <row r="77" spans="1:23">
      <c r="A77" s="87">
        <v>43665</v>
      </c>
      <c r="B77" s="88">
        <v>-6.5488118789054396E-3</v>
      </c>
      <c r="C77" s="88">
        <v>-7.2318515264950889E-3</v>
      </c>
      <c r="D77" s="88">
        <v>8.5029361371444061E-3</v>
      </c>
      <c r="E77" s="88">
        <v>-8.3916576362482887E-3</v>
      </c>
      <c r="F77" s="88">
        <v>9.4563352420354435E-3</v>
      </c>
      <c r="G77" s="88">
        <v>-1.264918639734651E-2</v>
      </c>
      <c r="H77" s="88">
        <v>1.3326696463699736E-2</v>
      </c>
      <c r="I77" s="88">
        <v>-8.3058125126122314E-3</v>
      </c>
      <c r="J77" s="88">
        <v>1.3166558847469028E-3</v>
      </c>
      <c r="K77" s="88">
        <v>-2.8170876966696335E-2</v>
      </c>
      <c r="L77" s="88">
        <v>2.9980832211935857E-2</v>
      </c>
      <c r="M77" s="88">
        <v>0</v>
      </c>
      <c r="N77" s="88">
        <v>6.7114345879867778E-3</v>
      </c>
      <c r="O77" s="88">
        <v>-6.688988150796652E-3</v>
      </c>
      <c r="P77" s="88">
        <v>1.448226176364748E-3</v>
      </c>
      <c r="Q77" s="89">
        <v>-3.1868595014466826E-3</v>
      </c>
      <c r="R77" s="52"/>
      <c r="S77" s="52"/>
      <c r="T77" s="52"/>
      <c r="U77" s="52"/>
      <c r="V77" s="52"/>
      <c r="W77" s="52"/>
    </row>
    <row r="78" spans="1:23">
      <c r="A78" s="87">
        <v>43668</v>
      </c>
      <c r="B78" s="88">
        <v>1.969150619880896E-3</v>
      </c>
      <c r="C78" s="88">
        <v>-1.6142053545411135E-3</v>
      </c>
      <c r="D78" s="88">
        <v>2.013896562242894E-3</v>
      </c>
      <c r="E78" s="88">
        <v>-3.9403372119229405E-3</v>
      </c>
      <c r="F78" s="88">
        <v>-1.1834457647002796E-2</v>
      </c>
      <c r="G78" s="88">
        <v>-3.1592038009691827E-3</v>
      </c>
      <c r="H78" s="88">
        <v>0</v>
      </c>
      <c r="I78" s="88">
        <v>-2.8312589694285384E-3</v>
      </c>
      <c r="J78" s="88">
        <v>1.6960615307045197E-2</v>
      </c>
      <c r="K78" s="88">
        <v>0</v>
      </c>
      <c r="L78" s="88">
        <v>4.210532536343679E-3</v>
      </c>
      <c r="M78" s="88">
        <v>1.4319356300407819E-2</v>
      </c>
      <c r="N78" s="88">
        <v>-3.350086885281863E-3</v>
      </c>
      <c r="O78" s="88">
        <v>-1.351371916672282E-2</v>
      </c>
      <c r="P78" s="88">
        <v>1.2940511275734732E-2</v>
      </c>
      <c r="Q78" s="89">
        <v>-3.2548505189308888E-3</v>
      </c>
      <c r="R78" s="52"/>
      <c r="S78" s="52"/>
      <c r="T78" s="52"/>
      <c r="U78" s="52"/>
      <c r="V78" s="52"/>
      <c r="W78" s="52"/>
    </row>
    <row r="79" spans="1:23">
      <c r="A79" s="87">
        <v>43669</v>
      </c>
      <c r="B79" s="88">
        <v>1.9159540457296443E-2</v>
      </c>
      <c r="C79" s="88">
        <v>-6.483004878078266E-3</v>
      </c>
      <c r="D79" s="88">
        <v>4.5164928484094351E-3</v>
      </c>
      <c r="E79" s="88">
        <v>-3.9559249103025664E-3</v>
      </c>
      <c r="F79" s="88">
        <v>-1.1976191046715649E-2</v>
      </c>
      <c r="G79" s="88">
        <v>-2.3786141425950889E-2</v>
      </c>
      <c r="H79" s="88">
        <v>-1.5910009706080471E-2</v>
      </c>
      <c r="I79" s="88">
        <v>-1.2766864632167202E-3</v>
      </c>
      <c r="J79" s="88">
        <v>0</v>
      </c>
      <c r="K79" s="88">
        <v>3.0483016725075751E-2</v>
      </c>
      <c r="L79" s="88">
        <v>-2.1030501967787877E-3</v>
      </c>
      <c r="M79" s="88">
        <v>-4.7989621657208688E-3</v>
      </c>
      <c r="N79" s="88">
        <v>-1.6920877488337177E-2</v>
      </c>
      <c r="O79" s="88">
        <v>3.3955890011383287E-3</v>
      </c>
      <c r="P79" s="88">
        <v>1.4184634991956381E-2</v>
      </c>
      <c r="Q79" s="89">
        <v>5.3613867377778996E-3</v>
      </c>
      <c r="R79" s="52"/>
      <c r="S79" s="52"/>
      <c r="T79" s="52"/>
      <c r="U79" s="52"/>
      <c r="V79" s="52"/>
      <c r="W79" s="52"/>
    </row>
    <row r="80" spans="1:23">
      <c r="A80" s="87">
        <v>43670</v>
      </c>
      <c r="B80" s="88">
        <v>-7.7494737192655896E-3</v>
      </c>
      <c r="C80" s="88">
        <v>1.1317824932661437E-2</v>
      </c>
      <c r="D80" s="88">
        <v>-4.5164928484095089E-3</v>
      </c>
      <c r="E80" s="88">
        <v>-1.6557614922800293E-2</v>
      </c>
      <c r="F80" s="88">
        <v>1.7910926566530243E-2</v>
      </c>
      <c r="G80" s="88">
        <v>9.7887578421556737E-3</v>
      </c>
      <c r="H80" s="88">
        <v>-1.5531973093995486E-3</v>
      </c>
      <c r="I80" s="88">
        <v>8.1990846650292926E-3</v>
      </c>
      <c r="J80" s="88">
        <v>3.8734715957966189E-3</v>
      </c>
      <c r="K80" s="88">
        <v>-1.2783439625674926E-2</v>
      </c>
      <c r="L80" s="88">
        <v>-2.5587749948407169E-2</v>
      </c>
      <c r="M80" s="88">
        <v>0</v>
      </c>
      <c r="N80" s="88">
        <v>1.3559529785632294E-2</v>
      </c>
      <c r="O80" s="88">
        <v>1.3468217050866611E-2</v>
      </c>
      <c r="P80" s="88">
        <v>-2.8208763416413406E-3</v>
      </c>
      <c r="Q80" s="89">
        <v>5.389983117538617E-3</v>
      </c>
      <c r="R80" s="52"/>
      <c r="S80" s="52"/>
      <c r="T80" s="52"/>
      <c r="U80" s="52"/>
      <c r="V80" s="52"/>
      <c r="W80" s="52"/>
    </row>
    <row r="81" spans="1:23">
      <c r="A81" s="87">
        <v>43671</v>
      </c>
      <c r="B81" s="88">
        <v>1.7033996953489554E-2</v>
      </c>
      <c r="C81" s="88">
        <v>-2.414488094517464E-3</v>
      </c>
      <c r="D81" s="88">
        <v>1.2992387435999333E-2</v>
      </c>
      <c r="E81" s="88">
        <v>3.5071467709428053E-2</v>
      </c>
      <c r="F81" s="88">
        <v>2.5702349423368048E-2</v>
      </c>
      <c r="G81" s="88">
        <v>3.6015596354233452E-2</v>
      </c>
      <c r="H81" s="88">
        <v>3.0614635819606734E-2</v>
      </c>
      <c r="I81" s="88">
        <v>5.6156261571626174E-3</v>
      </c>
      <c r="J81" s="88">
        <v>1.6613800662655432E-2</v>
      </c>
      <c r="K81" s="88">
        <v>-7.0422826254129232E-3</v>
      </c>
      <c r="L81" s="88">
        <v>1.5005640617870176E-2</v>
      </c>
      <c r="M81" s="88">
        <v>-4.8221033016506779E-3</v>
      </c>
      <c r="N81" s="88">
        <v>6.7114345879867778E-3</v>
      </c>
      <c r="O81" s="88">
        <v>-3.3500868852820854E-3</v>
      </c>
      <c r="P81" s="88">
        <v>9.8384490002879407E-3</v>
      </c>
      <c r="Q81" s="89">
        <v>1.3236347832941427E-2</v>
      </c>
      <c r="R81" s="52"/>
      <c r="S81" s="52"/>
      <c r="T81" s="52"/>
      <c r="U81" s="52"/>
      <c r="V81" s="52"/>
      <c r="W81" s="52"/>
    </row>
    <row r="82" spans="1:23">
      <c r="A82" s="87">
        <v>43672</v>
      </c>
      <c r="B82" s="88">
        <v>5.0858342300057462E-3</v>
      </c>
      <c r="C82" s="88">
        <v>2.4144880945175533E-3</v>
      </c>
      <c r="D82" s="88">
        <v>2.2580971235548801E-2</v>
      </c>
      <c r="E82" s="88">
        <v>-1.1123471669740592E-3</v>
      </c>
      <c r="F82" s="88">
        <v>-2.3094698486625289E-3</v>
      </c>
      <c r="G82" s="88">
        <v>1.0337714410407347E-2</v>
      </c>
      <c r="H82" s="88">
        <v>-2.0120731134201197E-3</v>
      </c>
      <c r="I82" s="88">
        <v>-2.8038711766186193E-3</v>
      </c>
      <c r="J82" s="88">
        <v>1.2594624920400458E-2</v>
      </c>
      <c r="K82" s="88">
        <v>1.1771631730148311E-3</v>
      </c>
      <c r="L82" s="88">
        <v>2.521141934649607E-2</v>
      </c>
      <c r="M82" s="88">
        <v>2.8305138740740202E-2</v>
      </c>
      <c r="N82" s="88">
        <v>0</v>
      </c>
      <c r="O82" s="88">
        <v>-3.3613477027047717E-3</v>
      </c>
      <c r="P82" s="88">
        <v>-7.0175726586465346E-3</v>
      </c>
      <c r="Q82" s="89">
        <v>5.3020065781536506E-3</v>
      </c>
      <c r="R82" s="52"/>
      <c r="S82" s="52"/>
      <c r="T82" s="52"/>
      <c r="U82" s="52"/>
      <c r="V82" s="52"/>
      <c r="W82" s="52"/>
    </row>
    <row r="83" spans="1:23">
      <c r="A83" s="87">
        <v>43675</v>
      </c>
      <c r="B83" s="88">
        <v>2.5332502464336074E-3</v>
      </c>
      <c r="C83" s="88">
        <v>0</v>
      </c>
      <c r="D83" s="88">
        <v>-1.3684115397812006E-2</v>
      </c>
      <c r="E83" s="88">
        <v>-2.2284131784261162E-3</v>
      </c>
      <c r="F83" s="88">
        <v>1.6055390753297778E-2</v>
      </c>
      <c r="G83" s="88">
        <v>-2.2908100746356738E-2</v>
      </c>
      <c r="H83" s="88">
        <v>0</v>
      </c>
      <c r="I83" s="88">
        <v>-2.8117549805438988E-3</v>
      </c>
      <c r="J83" s="88">
        <v>9.962722503674068E-3</v>
      </c>
      <c r="K83" s="88">
        <v>0</v>
      </c>
      <c r="L83" s="88">
        <v>-6.2435166396851592E-3</v>
      </c>
      <c r="M83" s="88">
        <v>0</v>
      </c>
      <c r="N83" s="88">
        <v>-3.350086885281863E-3</v>
      </c>
      <c r="O83" s="88">
        <v>-3.3726844786393416E-3</v>
      </c>
      <c r="P83" s="88">
        <v>0</v>
      </c>
      <c r="Q83" s="89">
        <v>4.8607395757710708E-3</v>
      </c>
      <c r="R83" s="52"/>
      <c r="S83" s="52"/>
      <c r="T83" s="52"/>
      <c r="U83" s="52"/>
      <c r="V83" s="52"/>
      <c r="W83" s="52"/>
    </row>
    <row r="84" spans="1:23">
      <c r="A84" s="87">
        <v>43676</v>
      </c>
      <c r="B84" s="88">
        <v>3.1620553623144804E-4</v>
      </c>
      <c r="C84" s="88">
        <v>-1.1317824932661461E-2</v>
      </c>
      <c r="D84" s="88">
        <v>-4.9329223944822699E-3</v>
      </c>
      <c r="E84" s="88">
        <v>-2.792517871673522E-3</v>
      </c>
      <c r="F84" s="88">
        <v>-4.5610113275625624E-3</v>
      </c>
      <c r="G84" s="88">
        <v>-1.2730414701002012E-2</v>
      </c>
      <c r="H84" s="88">
        <v>-7.0743094425371536E-3</v>
      </c>
      <c r="I84" s="88">
        <v>2.8117549805439018E-3</v>
      </c>
      <c r="J84" s="88">
        <v>-2.4813908513853979E-3</v>
      </c>
      <c r="K84" s="88">
        <v>1.1696039763191236E-2</v>
      </c>
      <c r="L84" s="88">
        <v>-1.4721611825359738E-2</v>
      </c>
      <c r="M84" s="88">
        <v>1.6662345390089584E-2</v>
      </c>
      <c r="N84" s="88">
        <v>6.6889881507964889E-3</v>
      </c>
      <c r="O84" s="88">
        <v>-3.3840979842404569E-3</v>
      </c>
      <c r="P84" s="88">
        <v>4.2164503789348254E-3</v>
      </c>
      <c r="Q84" s="89">
        <v>-5.8604532242473636E-3</v>
      </c>
      <c r="R84" s="52"/>
      <c r="S84" s="52"/>
      <c r="T84" s="52"/>
      <c r="U84" s="52"/>
      <c r="V84" s="52"/>
      <c r="W84" s="52"/>
    </row>
    <row r="85" spans="1:23">
      <c r="A85" s="87">
        <v>43677</v>
      </c>
      <c r="B85" s="88">
        <v>-1.0487939771449867E-2</v>
      </c>
      <c r="C85" s="88">
        <v>1.1317824932661437E-2</v>
      </c>
      <c r="D85" s="88">
        <v>5.9165935341970385E-3</v>
      </c>
      <c r="E85" s="88">
        <v>-1.2946986366062282E-2</v>
      </c>
      <c r="F85" s="88">
        <v>6.833739578565117E-3</v>
      </c>
      <c r="G85" s="88">
        <v>3.2825882665132476E-3</v>
      </c>
      <c r="H85" s="88">
        <v>-5.0838950372721729E-3</v>
      </c>
      <c r="I85" s="88">
        <v>-2.8117549805438988E-3</v>
      </c>
      <c r="J85" s="88">
        <v>2.6962417605127822E-2</v>
      </c>
      <c r="K85" s="88">
        <v>8.1065875329884938E-3</v>
      </c>
      <c r="L85" s="88">
        <v>4.9596941139371978E-2</v>
      </c>
      <c r="M85" s="88">
        <v>0</v>
      </c>
      <c r="N85" s="88">
        <v>0</v>
      </c>
      <c r="O85" s="88">
        <v>0</v>
      </c>
      <c r="P85" s="88">
        <v>2.8011222797117733E-3</v>
      </c>
      <c r="Q85" s="89">
        <v>1.1309025732337281E-2</v>
      </c>
      <c r="R85" s="52"/>
      <c r="S85" s="52"/>
      <c r="T85" s="52"/>
      <c r="U85" s="52"/>
      <c r="V85" s="52"/>
      <c r="W85" s="52"/>
    </row>
    <row r="86" spans="1:23">
      <c r="A86" s="87">
        <v>43678</v>
      </c>
      <c r="B86" s="88">
        <v>9.5390230467589099E-3</v>
      </c>
      <c r="C86" s="88">
        <v>-1.0505147114671194E-2</v>
      </c>
      <c r="D86" s="88">
        <v>-1.2863822746159839E-2</v>
      </c>
      <c r="E86" s="88">
        <v>-5.1121951723351964E-3</v>
      </c>
      <c r="F86" s="88">
        <v>-3.2298078444500389E-2</v>
      </c>
      <c r="G86" s="88">
        <v>1.0566645078830822E-2</v>
      </c>
      <c r="H86" s="88">
        <v>-8.188377379358033E-3</v>
      </c>
      <c r="I86" s="88">
        <v>0</v>
      </c>
      <c r="J86" s="88">
        <v>6.0277457975174663E-3</v>
      </c>
      <c r="K86" s="88">
        <v>3.4542348680873824E-3</v>
      </c>
      <c r="L86" s="88">
        <v>0</v>
      </c>
      <c r="M86" s="88">
        <v>-2.2231004029671913E-2</v>
      </c>
      <c r="N86" s="88">
        <v>-1.0050335853501451E-2</v>
      </c>
      <c r="O86" s="88">
        <v>-6.8027473227525231E-3</v>
      </c>
      <c r="P86" s="88">
        <v>0</v>
      </c>
      <c r="Q86" s="89">
        <v>-5.4485725080898745E-3</v>
      </c>
      <c r="R86" s="52"/>
      <c r="S86" s="52"/>
      <c r="T86" s="52"/>
      <c r="U86" s="52"/>
      <c r="V86" s="52"/>
      <c r="W86" s="52"/>
    </row>
    <row r="87" spans="1:23">
      <c r="A87" s="87">
        <v>43679</v>
      </c>
      <c r="B87" s="88">
        <v>-1.4663954187014237E-2</v>
      </c>
      <c r="C87" s="88">
        <v>-4.8860032056262086E-3</v>
      </c>
      <c r="D87" s="88">
        <v>-4.9920231464177798E-3</v>
      </c>
      <c r="E87" s="88">
        <v>-1.4917086703237267E-2</v>
      </c>
      <c r="F87" s="88">
        <v>-3.2164773970701055E-2</v>
      </c>
      <c r="G87" s="88">
        <v>-1.2716088748175368E-2</v>
      </c>
      <c r="H87" s="88">
        <v>-2.057613894680154E-3</v>
      </c>
      <c r="I87" s="88">
        <v>-6.9223982018125846E-3</v>
      </c>
      <c r="J87" s="88">
        <v>1.2012013456341492E-3</v>
      </c>
      <c r="K87" s="88">
        <v>-1.1560822401075971E-2</v>
      </c>
      <c r="L87" s="88">
        <v>-2.0181641562372361E-3</v>
      </c>
      <c r="M87" s="88">
        <v>-1.6894488898761797E-2</v>
      </c>
      <c r="N87" s="88">
        <v>0</v>
      </c>
      <c r="O87" s="88">
        <v>-3.418806748785609E-3</v>
      </c>
      <c r="P87" s="88">
        <v>0</v>
      </c>
      <c r="Q87" s="89">
        <v>-1.1156478944187094E-2</v>
      </c>
      <c r="R87" s="52"/>
      <c r="S87" s="52"/>
      <c r="T87" s="52"/>
      <c r="U87" s="52"/>
      <c r="V87" s="52"/>
      <c r="W87" s="52"/>
    </row>
    <row r="88" spans="1:23">
      <c r="A88" s="87">
        <v>43682</v>
      </c>
      <c r="B88" s="88">
        <v>-3.3635823912209817E-2</v>
      </c>
      <c r="C88" s="88">
        <v>2.4459857282604423E-3</v>
      </c>
      <c r="D88" s="88">
        <v>-9.0489256105038985E-3</v>
      </c>
      <c r="E88" s="88">
        <v>-4.0099712076431107E-2</v>
      </c>
      <c r="F88" s="88">
        <v>-7.6718939694442101E-2</v>
      </c>
      <c r="G88" s="88">
        <v>-4.3633606669078166E-2</v>
      </c>
      <c r="H88" s="88">
        <v>-2.2917669681397058E-2</v>
      </c>
      <c r="I88" s="88">
        <v>-1.5284920103116415E-2</v>
      </c>
      <c r="J88" s="88">
        <v>-5.3000696705775473E-2</v>
      </c>
      <c r="K88" s="88">
        <v>-5.129329438755046E-2</v>
      </c>
      <c r="L88" s="88">
        <v>-4.3350440873613859E-2</v>
      </c>
      <c r="M88" s="88">
        <v>-2.6113455498402206E-2</v>
      </c>
      <c r="N88" s="88">
        <v>-3.3726844786391187E-3</v>
      </c>
      <c r="O88" s="88">
        <v>-6.8728792877620643E-3</v>
      </c>
      <c r="P88" s="88">
        <v>-8.4270161618801159E-3</v>
      </c>
      <c r="Q88" s="89">
        <v>-3.9064812482027721E-2</v>
      </c>
      <c r="R88" s="52"/>
      <c r="S88" s="52"/>
      <c r="T88" s="52"/>
      <c r="U88" s="52"/>
      <c r="V88" s="52"/>
      <c r="W88" s="52"/>
    </row>
    <row r="89" spans="1:23">
      <c r="A89" s="87">
        <v>43683</v>
      </c>
      <c r="B89" s="88">
        <v>5.9602825455033672E-3</v>
      </c>
      <c r="C89" s="88">
        <v>1.6273396593754076E-3</v>
      </c>
      <c r="D89" s="88">
        <v>-1.516336996140707E-2</v>
      </c>
      <c r="E89" s="88">
        <v>-6.0186580209867343E-4</v>
      </c>
      <c r="F89" s="88">
        <v>-2.515023362277501E-2</v>
      </c>
      <c r="G89" s="88">
        <v>-2.5885207987678849E-2</v>
      </c>
      <c r="H89" s="88">
        <v>-4.2238711161851714E-3</v>
      </c>
      <c r="I89" s="88">
        <v>1.294684781292773E-3</v>
      </c>
      <c r="J89" s="88">
        <v>6.3091691932647556E-3</v>
      </c>
      <c r="K89" s="88">
        <v>-4.6345175176365487E-2</v>
      </c>
      <c r="L89" s="88">
        <v>-4.2283361095210642E-3</v>
      </c>
      <c r="M89" s="88">
        <v>8.7804716211323328E-3</v>
      </c>
      <c r="N89" s="88">
        <v>0</v>
      </c>
      <c r="O89" s="88">
        <v>-3.4542348680874461E-3</v>
      </c>
      <c r="P89" s="88">
        <v>-2.8248606355547388E-3</v>
      </c>
      <c r="Q89" s="89">
        <v>-7.9379069492023363E-3</v>
      </c>
      <c r="R89" s="52"/>
      <c r="S89" s="52"/>
      <c r="T89" s="52"/>
      <c r="U89" s="52"/>
      <c r="V89" s="52"/>
      <c r="W89" s="52"/>
    </row>
    <row r="90" spans="1:23">
      <c r="A90" s="87">
        <v>43684</v>
      </c>
      <c r="B90" s="88">
        <v>6.6006603056574433E-4</v>
      </c>
      <c r="C90" s="88">
        <v>-5.7073126792908666E-3</v>
      </c>
      <c r="D90" s="88">
        <v>-5.6558328565613509E-3</v>
      </c>
      <c r="E90" s="88">
        <v>5.4037957975058056E-3</v>
      </c>
      <c r="F90" s="88">
        <v>-1.3413818242013361E-3</v>
      </c>
      <c r="G90" s="88">
        <v>-1.7266087414001954E-2</v>
      </c>
      <c r="H90" s="88">
        <v>-1.0638398205055754E-2</v>
      </c>
      <c r="I90" s="88">
        <v>-1.4188742451308104E-2</v>
      </c>
      <c r="J90" s="88">
        <v>-1.011386623692867E-2</v>
      </c>
      <c r="K90" s="88">
        <v>-1.0309369658861213E-2</v>
      </c>
      <c r="L90" s="88">
        <v>-1.7094433359300183E-2</v>
      </c>
      <c r="M90" s="88">
        <v>-8.7804716211322669E-3</v>
      </c>
      <c r="N90" s="88">
        <v>0</v>
      </c>
      <c r="O90" s="88">
        <v>-6.9444723528110461E-3</v>
      </c>
      <c r="P90" s="88">
        <v>-1.415428403330728E-3</v>
      </c>
      <c r="Q90" s="89">
        <v>-8.2163087140620372E-3</v>
      </c>
      <c r="R90" s="52"/>
      <c r="S90" s="52"/>
      <c r="T90" s="52"/>
      <c r="U90" s="52"/>
      <c r="V90" s="52"/>
      <c r="W90" s="52"/>
    </row>
    <row r="91" spans="1:23">
      <c r="A91" s="87">
        <v>43685</v>
      </c>
      <c r="B91" s="88">
        <v>-3.6357666888878577E-3</v>
      </c>
      <c r="C91" s="88">
        <v>9.7641133749051413E-3</v>
      </c>
      <c r="D91" s="88">
        <v>-5.1575636812981767E-4</v>
      </c>
      <c r="E91" s="88">
        <v>0</v>
      </c>
      <c r="F91" s="88">
        <v>1.8617559016070515E-2</v>
      </c>
      <c r="G91" s="88">
        <v>2.1747955494109933E-2</v>
      </c>
      <c r="H91" s="88">
        <v>3.7779939002637972E-2</v>
      </c>
      <c r="I91" s="88">
        <v>7.1195360661072543E-3</v>
      </c>
      <c r="J91" s="88">
        <v>1.6383479250524125E-2</v>
      </c>
      <c r="K91" s="88">
        <v>4.0614719154190126E-2</v>
      </c>
      <c r="L91" s="88">
        <v>1.4973541790162583E-2</v>
      </c>
      <c r="M91" s="88">
        <v>-1.4757081532966633E-2</v>
      </c>
      <c r="N91" s="88">
        <v>0</v>
      </c>
      <c r="O91" s="88">
        <v>1.0398707220898517E-2</v>
      </c>
      <c r="P91" s="88">
        <v>-1.4174346809733935E-3</v>
      </c>
      <c r="Q91" s="89">
        <v>1.0971636336594469E-2</v>
      </c>
      <c r="R91" s="52"/>
      <c r="S91" s="52"/>
      <c r="T91" s="52"/>
      <c r="U91" s="52"/>
      <c r="V91" s="52"/>
      <c r="W91" s="52"/>
    </row>
    <row r="92" spans="1:23">
      <c r="A92" s="87">
        <v>43686</v>
      </c>
      <c r="B92" s="88">
        <v>-9.9834439841832625E-3</v>
      </c>
      <c r="C92" s="88">
        <v>-1.3040119580806035E-2</v>
      </c>
      <c r="D92" s="88">
        <v>1.2305323441963426E-2</v>
      </c>
      <c r="E92" s="88">
        <v>-8.4185704655957896E-3</v>
      </c>
      <c r="F92" s="88">
        <v>-1.8617559016070453E-2</v>
      </c>
      <c r="G92" s="88">
        <v>1.2491154485623542E-2</v>
      </c>
      <c r="H92" s="88">
        <v>6.1601837514576414E-3</v>
      </c>
      <c r="I92" s="88">
        <v>-8.4327338910676654E-3</v>
      </c>
      <c r="J92" s="88">
        <v>-1.6383479250524056E-2</v>
      </c>
      <c r="K92" s="88">
        <v>-1.1257154524634334E-2</v>
      </c>
      <c r="L92" s="88">
        <v>-1.9293202934678896E-2</v>
      </c>
      <c r="M92" s="88">
        <v>-5.9338325498107638E-3</v>
      </c>
      <c r="N92" s="88">
        <v>1.0084119066626008E-2</v>
      </c>
      <c r="O92" s="88">
        <v>0</v>
      </c>
      <c r="P92" s="88">
        <v>0</v>
      </c>
      <c r="Q92" s="89">
        <v>-7.7412704990185485E-3</v>
      </c>
      <c r="R92" s="52"/>
      <c r="S92" s="52"/>
      <c r="T92" s="52"/>
      <c r="U92" s="52"/>
      <c r="V92" s="52"/>
      <c r="W92" s="52"/>
    </row>
    <row r="93" spans="1:23">
      <c r="A93" s="87">
        <v>43689</v>
      </c>
      <c r="B93" s="88">
        <v>9.6522633221068389E-3</v>
      </c>
      <c r="C93" s="88">
        <v>8.2000824603074601E-4</v>
      </c>
      <c r="D93" s="88">
        <v>-5.6211502704298479E-3</v>
      </c>
      <c r="E93" s="88">
        <v>-7.2727593290795849E-3</v>
      </c>
      <c r="F93" s="88">
        <v>-3.4133006369458582E-2</v>
      </c>
      <c r="G93" s="88">
        <v>1.0094498163125649E-2</v>
      </c>
      <c r="H93" s="88">
        <v>1.0183387390698871E-2</v>
      </c>
      <c r="I93" s="88">
        <v>-1.160156929158462E-2</v>
      </c>
      <c r="J93" s="88">
        <v>1.6383479250524125E-2</v>
      </c>
      <c r="K93" s="88">
        <v>2.9741969198737516E-2</v>
      </c>
      <c r="L93" s="88">
        <v>-4.3384015985982417E-3</v>
      </c>
      <c r="M93" s="88">
        <v>-1.817111900926989E-2</v>
      </c>
      <c r="N93" s="88">
        <v>-1.0084119066625935E-2</v>
      </c>
      <c r="O93" s="88">
        <v>-1.0398707220898511E-2</v>
      </c>
      <c r="P93" s="88">
        <v>-7.1174677688639896E-3</v>
      </c>
      <c r="Q93" s="89">
        <v>-1.0900953330012206E-2</v>
      </c>
      <c r="R93" s="52"/>
      <c r="S93" s="52"/>
      <c r="T93" s="52"/>
      <c r="U93" s="52"/>
      <c r="V93" s="52"/>
      <c r="W93" s="52"/>
    </row>
    <row r="94" spans="1:23">
      <c r="A94" s="87">
        <v>43690</v>
      </c>
      <c r="B94" s="88">
        <v>-1.6575505203980791E-3</v>
      </c>
      <c r="C94" s="88">
        <v>-1.486402263214928E-2</v>
      </c>
      <c r="D94" s="88">
        <v>-6.6841731715336613E-3</v>
      </c>
      <c r="E94" s="88">
        <v>-2.7128667388252699E-2</v>
      </c>
      <c r="F94" s="88">
        <v>-2.8170876966696335E-2</v>
      </c>
      <c r="G94" s="88">
        <v>-2.7067520728857122E-2</v>
      </c>
      <c r="H94" s="88">
        <v>-1.7373967936053069E-2</v>
      </c>
      <c r="I94" s="88">
        <v>-1.4581421867738026E-2</v>
      </c>
      <c r="J94" s="88">
        <v>-1.765493523872071E-2</v>
      </c>
      <c r="K94" s="88">
        <v>-2.5975486403260563E-2</v>
      </c>
      <c r="L94" s="88">
        <v>-8.7336799687545534E-3</v>
      </c>
      <c r="M94" s="88">
        <v>-9.2108995601759662E-3</v>
      </c>
      <c r="N94" s="88">
        <v>0</v>
      </c>
      <c r="O94" s="88">
        <v>-1.0507977598415206E-2</v>
      </c>
      <c r="P94" s="88">
        <v>-7.168489478612516E-3</v>
      </c>
      <c r="Q94" s="89">
        <v>-1.5336701224138886E-2</v>
      </c>
      <c r="R94" s="52"/>
      <c r="S94" s="52"/>
      <c r="T94" s="52"/>
      <c r="U94" s="52"/>
      <c r="V94" s="52"/>
      <c r="W94" s="52"/>
    </row>
    <row r="95" spans="1:23">
      <c r="A95" s="87">
        <v>43691</v>
      </c>
      <c r="B95" s="88">
        <v>-2.0785193466077639E-2</v>
      </c>
      <c r="C95" s="88">
        <v>-1.0033528989577697E-2</v>
      </c>
      <c r="D95" s="88">
        <v>-1.5597695860364016E-2</v>
      </c>
      <c r="E95" s="88">
        <v>-2.4036577828241382E-2</v>
      </c>
      <c r="F95" s="88">
        <v>-7.1035773116751647E-2</v>
      </c>
      <c r="G95" s="88">
        <v>-3.3704813757161819E-2</v>
      </c>
      <c r="H95" s="88">
        <v>-1.7681167843226445E-2</v>
      </c>
      <c r="I95" s="88">
        <v>-1.0244138998563994E-2</v>
      </c>
      <c r="J95" s="88">
        <v>-2.0566277581477083E-2</v>
      </c>
      <c r="K95" s="88">
        <v>-4.2232763623272898E-2</v>
      </c>
      <c r="L95" s="88">
        <v>-1.5469921772131891E-2</v>
      </c>
      <c r="M95" s="88">
        <v>1.2314082810691929E-2</v>
      </c>
      <c r="N95" s="88">
        <v>-2.3932766211628362E-2</v>
      </c>
      <c r="O95" s="88">
        <v>-2.1353124470568946E-2</v>
      </c>
      <c r="P95" s="88">
        <v>0</v>
      </c>
      <c r="Q95" s="89">
        <v>-2.426235000905045E-2</v>
      </c>
      <c r="R95" s="52"/>
      <c r="S95" s="52"/>
      <c r="T95" s="52"/>
      <c r="U95" s="52"/>
      <c r="V95" s="52"/>
      <c r="W95" s="52"/>
    </row>
    <row r="96" spans="1:23">
      <c r="A96" s="87">
        <v>43693</v>
      </c>
      <c r="B96" s="88">
        <v>1.6923341321140423E-3</v>
      </c>
      <c r="C96" s="88">
        <v>0</v>
      </c>
      <c r="D96" s="88">
        <v>-2.547367629201007E-2</v>
      </c>
      <c r="E96" s="88">
        <v>-4.1836166322466402E-2</v>
      </c>
      <c r="F96" s="88">
        <v>-2.0140107549118144E-2</v>
      </c>
      <c r="G96" s="88">
        <v>-7.1829431131599508E-3</v>
      </c>
      <c r="H96" s="88">
        <v>-2.1008411088117279E-3</v>
      </c>
      <c r="I96" s="88">
        <v>-2.8724807289503353E-2</v>
      </c>
      <c r="J96" s="88">
        <v>1.0336009330662073E-2</v>
      </c>
      <c r="K96" s="88">
        <v>-1.9802627296179754E-2</v>
      </c>
      <c r="L96" s="88">
        <v>-1.571300566455611E-2</v>
      </c>
      <c r="M96" s="88">
        <v>-3.1031832505158956E-3</v>
      </c>
      <c r="N96" s="88">
        <v>-3.4662079764861725E-3</v>
      </c>
      <c r="O96" s="88">
        <v>7.168489478612497E-3</v>
      </c>
      <c r="P96" s="88">
        <v>7.168489478612497E-3</v>
      </c>
      <c r="Q96" s="89">
        <v>-8.5861176777667445E-3</v>
      </c>
      <c r="R96" s="52"/>
      <c r="S96" s="52"/>
      <c r="T96" s="52"/>
      <c r="U96" s="52"/>
      <c r="V96" s="52"/>
      <c r="W96" s="52"/>
    </row>
    <row r="97" spans="1:23">
      <c r="A97" s="87">
        <v>43696</v>
      </c>
      <c r="B97" s="88">
        <v>1.2100988000221715E-2</v>
      </c>
      <c r="C97" s="88">
        <v>1.0033528989577784E-2</v>
      </c>
      <c r="D97" s="88">
        <v>3.2262568625696077E-2</v>
      </c>
      <c r="E97" s="88">
        <v>6.4621962249055101E-2</v>
      </c>
      <c r="F97" s="88">
        <v>8.4007391187257266E-2</v>
      </c>
      <c r="G97" s="88">
        <v>4.886845219110357E-2</v>
      </c>
      <c r="H97" s="88">
        <v>2.4923408452456934E-2</v>
      </c>
      <c r="I97" s="88">
        <v>6.6465135272350359E-2</v>
      </c>
      <c r="J97" s="88">
        <v>3.2872745000574549E-2</v>
      </c>
      <c r="K97" s="88">
        <v>6.703540133615829E-2</v>
      </c>
      <c r="L97" s="88">
        <v>2.6787315963649763E-2</v>
      </c>
      <c r="M97" s="88">
        <v>2.1066359126931746E-2</v>
      </c>
      <c r="N97" s="88">
        <v>6.920442844573757E-3</v>
      </c>
      <c r="O97" s="88">
        <v>1.4184634991956381E-2</v>
      </c>
      <c r="P97" s="88">
        <v>-1.4295928095944335E-3</v>
      </c>
      <c r="Q97" s="89">
        <v>4.4738261083495254E-2</v>
      </c>
      <c r="R97" s="52"/>
      <c r="S97" s="52"/>
      <c r="T97" s="52"/>
      <c r="U97" s="52"/>
      <c r="V97" s="52"/>
      <c r="W97" s="52"/>
    </row>
    <row r="98" spans="1:23">
      <c r="A98" s="87">
        <v>43697</v>
      </c>
      <c r="B98" s="88">
        <v>-5.3601468369225318E-3</v>
      </c>
      <c r="C98" s="88">
        <v>5.8067355196397795E-3</v>
      </c>
      <c r="D98" s="88">
        <v>-5.2181291435587571E-3</v>
      </c>
      <c r="E98" s="88">
        <v>2.4112451044914857E-2</v>
      </c>
      <c r="F98" s="88">
        <v>-2.0349539415279616E-2</v>
      </c>
      <c r="G98" s="88">
        <v>-2.2909517465558244E-3</v>
      </c>
      <c r="H98" s="88">
        <v>-2.5975486403260677E-2</v>
      </c>
      <c r="I98" s="88">
        <v>4.1976183830484438E-2</v>
      </c>
      <c r="J98" s="88">
        <v>2.4844733276621869E-3</v>
      </c>
      <c r="K98" s="88">
        <v>3.7336695520490304E-3</v>
      </c>
      <c r="L98" s="88">
        <v>1.9629856044886131E-2</v>
      </c>
      <c r="M98" s="88">
        <v>0</v>
      </c>
      <c r="N98" s="88">
        <v>1.709443335930004E-2</v>
      </c>
      <c r="O98" s="88">
        <v>-1.0619568827460261E-2</v>
      </c>
      <c r="P98" s="88">
        <v>7.1276139242321401E-3</v>
      </c>
      <c r="Q98" s="89">
        <v>1.7369911004036379E-3</v>
      </c>
      <c r="R98" s="52"/>
      <c r="S98" s="52"/>
      <c r="T98" s="52"/>
      <c r="U98" s="52"/>
      <c r="V98" s="52"/>
      <c r="W98" s="52"/>
    </row>
    <row r="99" spans="1:23">
      <c r="A99" s="87">
        <v>43698</v>
      </c>
      <c r="B99" s="88">
        <v>2.3486003078750138E-3</v>
      </c>
      <c r="C99" s="88">
        <v>-7.4720148387009541E-3</v>
      </c>
      <c r="D99" s="88">
        <v>-5.771567519312959E-3</v>
      </c>
      <c r="E99" s="88">
        <v>-2.2861669143262351E-2</v>
      </c>
      <c r="F99" s="88">
        <v>3.0371097876298554E-2</v>
      </c>
      <c r="G99" s="88">
        <v>4.3348977664899438E-2</v>
      </c>
      <c r="H99" s="88">
        <v>-5.2770571008438931E-3</v>
      </c>
      <c r="I99" s="88">
        <v>-8.1426815197829412E-3</v>
      </c>
      <c r="J99" s="88">
        <v>-2.8951046515825297E-2</v>
      </c>
      <c r="K99" s="88">
        <v>-6.2305497506361975E-3</v>
      </c>
      <c r="L99" s="88">
        <v>1.7131039930183774E-2</v>
      </c>
      <c r="M99" s="88">
        <v>1.7795673965115427E-2</v>
      </c>
      <c r="N99" s="88">
        <v>0</v>
      </c>
      <c r="O99" s="88">
        <v>1.0619568827460131E-2</v>
      </c>
      <c r="P99" s="88">
        <v>0</v>
      </c>
      <c r="Q99" s="89">
        <v>3.5850525025908977E-3</v>
      </c>
      <c r="R99" s="52"/>
      <c r="S99" s="52"/>
      <c r="T99" s="52"/>
      <c r="U99" s="52"/>
      <c r="V99" s="52"/>
      <c r="W99" s="52"/>
    </row>
    <row r="100" spans="1:23">
      <c r="A100" s="87">
        <v>43699</v>
      </c>
      <c r="B100" s="88">
        <v>1.3395849290563455E-3</v>
      </c>
      <c r="C100" s="88">
        <v>0</v>
      </c>
      <c r="D100" s="88">
        <v>-6.3344806406346252E-3</v>
      </c>
      <c r="E100" s="88">
        <v>1.3039613507803549E-2</v>
      </c>
      <c r="F100" s="88">
        <v>2.3927953695235558E-2</v>
      </c>
      <c r="G100" s="88">
        <v>9.7774978043121321E-3</v>
      </c>
      <c r="H100" s="88">
        <v>1.9906367116802937E-2</v>
      </c>
      <c r="I100" s="88">
        <v>1.4970548915299581E-2</v>
      </c>
      <c r="J100" s="88">
        <v>5.0955524266000952E-3</v>
      </c>
      <c r="K100" s="88">
        <v>-5.0125418235442863E-3</v>
      </c>
      <c r="L100" s="88">
        <v>1.4752638475038224E-2</v>
      </c>
      <c r="M100" s="88">
        <v>1.1591748163784931E-2</v>
      </c>
      <c r="N100" s="88">
        <v>-3.3955890011382718E-3</v>
      </c>
      <c r="O100" s="88">
        <v>7.0175726586465398E-3</v>
      </c>
      <c r="P100" s="88">
        <v>1.4194466542262925E-3</v>
      </c>
      <c r="Q100" s="89">
        <v>1.4899497293057545E-2</v>
      </c>
      <c r="R100" s="52"/>
      <c r="S100" s="52"/>
      <c r="T100" s="52"/>
      <c r="U100" s="52"/>
      <c r="V100" s="52"/>
      <c r="W100" s="52"/>
    </row>
    <row r="101" spans="1:23">
      <c r="A101" s="87">
        <v>43700</v>
      </c>
      <c r="B101" s="88">
        <v>-8.0645598367304078E-3</v>
      </c>
      <c r="C101" s="88">
        <v>0</v>
      </c>
      <c r="D101" s="88">
        <v>-8.5088792462161261E-3</v>
      </c>
      <c r="E101" s="88">
        <v>-3.8357421492093424E-2</v>
      </c>
      <c r="F101" s="88">
        <v>-2.9642254958674251E-2</v>
      </c>
      <c r="G101" s="88">
        <v>-1.7435924653110311E-2</v>
      </c>
      <c r="H101" s="88">
        <v>-1.4629310015959155E-2</v>
      </c>
      <c r="I101" s="88">
        <v>1.625380135236041E-2</v>
      </c>
      <c r="J101" s="88">
        <v>-2.5445306349948728E-3</v>
      </c>
      <c r="K101" s="88">
        <v>-3.3208670996653457E-2</v>
      </c>
      <c r="L101" s="88">
        <v>-1.2631746905900462E-2</v>
      </c>
      <c r="M101" s="88">
        <v>0</v>
      </c>
      <c r="N101" s="88">
        <v>-1.7153079226249469E-2</v>
      </c>
      <c r="O101" s="88">
        <v>0</v>
      </c>
      <c r="P101" s="88">
        <v>-1.4285957247476541E-2</v>
      </c>
      <c r="Q101" s="89">
        <v>-1.6125149625628579E-2</v>
      </c>
      <c r="R101" s="52"/>
      <c r="S101" s="52"/>
      <c r="T101" s="52"/>
      <c r="U101" s="52"/>
      <c r="V101" s="52"/>
      <c r="W101" s="52"/>
    </row>
    <row r="102" spans="1:23">
      <c r="A102" s="87">
        <v>43703</v>
      </c>
      <c r="B102" s="88">
        <v>-3.3795233246524839E-3</v>
      </c>
      <c r="C102" s="88">
        <v>-5.8504136781755891E-3</v>
      </c>
      <c r="D102" s="88">
        <v>-1.2900630429804161E-2</v>
      </c>
      <c r="E102" s="88">
        <v>-1.160554612030789E-2</v>
      </c>
      <c r="F102" s="88">
        <v>1.2811563134200368E-2</v>
      </c>
      <c r="G102" s="88">
        <v>-2.2156151562596135E-3</v>
      </c>
      <c r="H102" s="88">
        <v>-1.6985546365743884E-2</v>
      </c>
      <c r="I102" s="88">
        <v>-2.3081668747877072E-2</v>
      </c>
      <c r="J102" s="88">
        <v>-1.6699167757632256E-2</v>
      </c>
      <c r="K102" s="88">
        <v>5.1813587419975845E-3</v>
      </c>
      <c r="L102" s="88">
        <v>-1.925193149932148E-2</v>
      </c>
      <c r="M102" s="88">
        <v>-1.7438403001638025E-2</v>
      </c>
      <c r="N102" s="88">
        <v>1.0327114155849524E-2</v>
      </c>
      <c r="O102" s="88">
        <v>1.3889112160667093E-2</v>
      </c>
      <c r="P102" s="88">
        <v>2.1353124470569061E-2</v>
      </c>
      <c r="Q102" s="89">
        <v>-3.3119591891676552E-3</v>
      </c>
      <c r="R102" s="52"/>
      <c r="S102" s="52"/>
      <c r="T102" s="52"/>
      <c r="U102" s="52"/>
      <c r="V102" s="52"/>
      <c r="W102" s="52"/>
    </row>
    <row r="103" spans="1:23">
      <c r="A103" s="87">
        <v>43704</v>
      </c>
      <c r="B103" s="88">
        <v>1.4451604225338146E-2</v>
      </c>
      <c r="C103" s="88">
        <v>1.6750422676948956E-3</v>
      </c>
      <c r="D103" s="88">
        <v>-5.4247719016202013E-3</v>
      </c>
      <c r="E103" s="88">
        <v>2.2444032839763504E-2</v>
      </c>
      <c r="F103" s="88">
        <v>7.0472455154029223E-3</v>
      </c>
      <c r="G103" s="88">
        <v>2.1709859575524321E-2</v>
      </c>
      <c r="H103" s="88">
        <v>-2.6031838717946867E-2</v>
      </c>
      <c r="I103" s="88">
        <v>1.4987790965491708E-2</v>
      </c>
      <c r="J103" s="88">
        <v>-7.8023802841847871E-3</v>
      </c>
      <c r="K103" s="88">
        <v>3.9270403828836252E-2</v>
      </c>
      <c r="L103" s="88">
        <v>-4.3290110895854699E-3</v>
      </c>
      <c r="M103" s="88">
        <v>0</v>
      </c>
      <c r="N103" s="88">
        <v>-3.4305350967891368E-3</v>
      </c>
      <c r="O103" s="88">
        <v>0</v>
      </c>
      <c r="P103" s="88">
        <v>-1.133156600954997E-2</v>
      </c>
      <c r="Q103" s="89">
        <v>3.2398151897134698E-3</v>
      </c>
      <c r="R103" s="52"/>
      <c r="S103" s="52"/>
      <c r="T103" s="52"/>
      <c r="U103" s="52"/>
      <c r="V103" s="52"/>
      <c r="W103" s="52"/>
    </row>
    <row r="104" spans="1:23">
      <c r="A104" s="87">
        <v>43705</v>
      </c>
      <c r="B104" s="88">
        <v>-1.0015023370894102E-3</v>
      </c>
      <c r="C104" s="88">
        <v>4.175371410480592E-3</v>
      </c>
      <c r="D104" s="88">
        <v>1.0820274361708076E-2</v>
      </c>
      <c r="E104" s="88">
        <v>4.0390703049335314E-2</v>
      </c>
      <c r="F104" s="88">
        <v>4.664768879178504E-2</v>
      </c>
      <c r="G104" s="88">
        <v>-1.0796016194359786E-2</v>
      </c>
      <c r="H104" s="88">
        <v>-6.6152391187193167E-3</v>
      </c>
      <c r="I104" s="88">
        <v>3.7046280433144577E-2</v>
      </c>
      <c r="J104" s="88">
        <v>-2.6143805740708207E-3</v>
      </c>
      <c r="K104" s="88">
        <v>2.0898117637616519E-2</v>
      </c>
      <c r="L104" s="88">
        <v>-1.9715863164417317E-2</v>
      </c>
      <c r="M104" s="88">
        <v>1.1659324903896972E-2</v>
      </c>
      <c r="N104" s="88">
        <v>-6.8965790590604405E-3</v>
      </c>
      <c r="O104" s="88">
        <v>3.4423441909729197E-3</v>
      </c>
      <c r="P104" s="88">
        <v>4.264398786457518E-3</v>
      </c>
      <c r="Q104" s="89">
        <v>1.4065399696541886E-2</v>
      </c>
      <c r="R104" s="52"/>
      <c r="S104" s="52"/>
      <c r="T104" s="52"/>
      <c r="U104" s="52"/>
      <c r="V104" s="52"/>
      <c r="W104" s="52"/>
    </row>
    <row r="105" spans="1:23">
      <c r="A105" s="87">
        <v>43706</v>
      </c>
      <c r="B105" s="88">
        <v>3.6672819897342729E-3</v>
      </c>
      <c r="C105" s="88">
        <v>9.950330853168092E-3</v>
      </c>
      <c r="D105" s="88">
        <v>2.7596741742083569E-2</v>
      </c>
      <c r="E105" s="88">
        <v>3.7063417376887342E-2</v>
      </c>
      <c r="F105" s="88">
        <v>4.2000923974630781E-2</v>
      </c>
      <c r="G105" s="88">
        <v>5.4125772721348182E-3</v>
      </c>
      <c r="H105" s="88">
        <v>1.31870042819539E-2</v>
      </c>
      <c r="I105" s="88">
        <v>-7.7282196765328945E-3</v>
      </c>
      <c r="J105" s="88">
        <v>9.1205843968090762E-3</v>
      </c>
      <c r="K105" s="88">
        <v>3.6429912785010087E-3</v>
      </c>
      <c r="L105" s="88">
        <v>1.9715863164417199E-2</v>
      </c>
      <c r="M105" s="88">
        <v>-8.8066842786486133E-3</v>
      </c>
      <c r="N105" s="88">
        <v>1.0327114155849524E-2</v>
      </c>
      <c r="O105" s="88">
        <v>-3.4423441909729015E-3</v>
      </c>
      <c r="P105" s="88">
        <v>1.2685159527315642E-2</v>
      </c>
      <c r="Q105" s="89">
        <v>1.7675031785734523E-2</v>
      </c>
      <c r="R105" s="52"/>
      <c r="S105" s="52"/>
      <c r="T105" s="52"/>
      <c r="U105" s="52"/>
      <c r="V105" s="52"/>
      <c r="W105" s="52"/>
    </row>
    <row r="106" spans="1:23">
      <c r="A106" s="87">
        <v>43707</v>
      </c>
      <c r="B106" s="88">
        <v>1.2894872012268578E-2</v>
      </c>
      <c r="C106" s="88">
        <v>1.6488049901838859E-3</v>
      </c>
      <c r="D106" s="88">
        <v>3.135781810684276E-3</v>
      </c>
      <c r="E106" s="88">
        <v>2.5493848826219766E-2</v>
      </c>
      <c r="F106" s="88">
        <v>3.4115753240171721E-2</v>
      </c>
      <c r="G106" s="88">
        <v>1.1478421829604205E-3</v>
      </c>
      <c r="H106" s="88">
        <v>1.5168221473171444E-2</v>
      </c>
      <c r="I106" s="88">
        <v>2.0652044552668957E-2</v>
      </c>
      <c r="J106" s="88">
        <v>1.160554612030789E-2</v>
      </c>
      <c r="K106" s="88">
        <v>7.2464085207672533E-3</v>
      </c>
      <c r="L106" s="88">
        <v>2.1460051019769288E-2</v>
      </c>
      <c r="M106" s="88">
        <v>-8.8849315760913157E-3</v>
      </c>
      <c r="N106" s="88">
        <v>-6.8728792877620643E-3</v>
      </c>
      <c r="O106" s="88">
        <v>0</v>
      </c>
      <c r="P106" s="88">
        <v>0</v>
      </c>
      <c r="Q106" s="89">
        <v>1.1166829040298204E-2</v>
      </c>
      <c r="R106" s="52"/>
      <c r="S106" s="52"/>
      <c r="T106" s="52"/>
      <c r="U106" s="52"/>
      <c r="V106" s="52"/>
      <c r="W106" s="52"/>
    </row>
    <row r="107" spans="1:23">
      <c r="A107" s="87">
        <v>43710</v>
      </c>
      <c r="B107" s="88">
        <v>-7.9156086126611989E-3</v>
      </c>
      <c r="C107" s="88">
        <v>-8.2713457506773062E-3</v>
      </c>
      <c r="D107" s="88">
        <v>1.0430792642827941E-3</v>
      </c>
      <c r="E107" s="88">
        <v>-1.4405319687551129E-2</v>
      </c>
      <c r="F107" s="88">
        <v>-1.8809331957496227E-2</v>
      </c>
      <c r="G107" s="88">
        <v>-9.7989140736055944E-3</v>
      </c>
      <c r="H107" s="88">
        <v>-1.081091610421573E-2</v>
      </c>
      <c r="I107" s="88">
        <v>5.22740343515173E-3</v>
      </c>
      <c r="J107" s="88">
        <v>-1.9418085857101513E-2</v>
      </c>
      <c r="K107" s="88">
        <v>5.9988182292532227E-3</v>
      </c>
      <c r="L107" s="88">
        <v>4.2372944755152174E-3</v>
      </c>
      <c r="M107" s="88">
        <v>-2.0940772847388444E-2</v>
      </c>
      <c r="N107" s="88">
        <v>3.4423441909729197E-3</v>
      </c>
      <c r="O107" s="88">
        <v>0</v>
      </c>
      <c r="P107" s="88">
        <v>1.5288692515090336E-2</v>
      </c>
      <c r="Q107" s="89">
        <v>-8.7816786631993438E-3</v>
      </c>
      <c r="R107" s="52"/>
      <c r="S107" s="52"/>
      <c r="T107" s="52"/>
      <c r="U107" s="52"/>
      <c r="V107" s="52"/>
      <c r="W107" s="52"/>
    </row>
    <row r="108" spans="1:23">
      <c r="A108" s="87">
        <v>43711</v>
      </c>
      <c r="B108" s="88">
        <v>2.0646317517235065E-2</v>
      </c>
      <c r="C108" s="88">
        <v>-1.0856056513466118E-2</v>
      </c>
      <c r="D108" s="88">
        <v>-2.2136457818946954E-2</v>
      </c>
      <c r="E108" s="88">
        <v>-3.4883756304540086E-3</v>
      </c>
      <c r="F108" s="88">
        <v>-3.6086389774420982E-2</v>
      </c>
      <c r="G108" s="88">
        <v>-3.2490165503499427E-3</v>
      </c>
      <c r="H108" s="88">
        <v>5.4200674693393345E-3</v>
      </c>
      <c r="I108" s="88">
        <v>0</v>
      </c>
      <c r="J108" s="88">
        <v>-1.5810606026642315E-2</v>
      </c>
      <c r="K108" s="88">
        <v>-7.2029122940578854E-3</v>
      </c>
      <c r="L108" s="88">
        <v>-1.9210836265677697E-2</v>
      </c>
      <c r="M108" s="88">
        <v>-2.939131205446754E-3</v>
      </c>
      <c r="N108" s="88">
        <v>0</v>
      </c>
      <c r="O108" s="88">
        <v>0</v>
      </c>
      <c r="P108" s="88">
        <v>0</v>
      </c>
      <c r="Q108" s="89">
        <v>-7.7228568627583519E-3</v>
      </c>
      <c r="R108" s="52"/>
      <c r="S108" s="52"/>
      <c r="T108" s="52"/>
      <c r="U108" s="52"/>
      <c r="V108" s="52"/>
      <c r="W108" s="52"/>
    </row>
    <row r="109" spans="1:23">
      <c r="A109" s="87">
        <v>43712</v>
      </c>
      <c r="B109" s="88">
        <v>6.1439158503337954E-3</v>
      </c>
      <c r="C109" s="88">
        <v>7.5282664207915878E-3</v>
      </c>
      <c r="D109" s="88">
        <v>7.4333994183950628E-3</v>
      </c>
      <c r="E109" s="88">
        <v>-3.9803294002849349E-2</v>
      </c>
      <c r="F109" s="88">
        <v>2.9737162095762177E-2</v>
      </c>
      <c r="G109" s="88">
        <v>-1.2161047909212803E-2</v>
      </c>
      <c r="H109" s="88">
        <v>-6.5076151567381888E-3</v>
      </c>
      <c r="I109" s="88">
        <v>-2.2007872495711834E-2</v>
      </c>
      <c r="J109" s="88">
        <v>1.4502561366626901E-2</v>
      </c>
      <c r="K109" s="88">
        <v>-1.2055456553487812E-3</v>
      </c>
      <c r="L109" s="88">
        <v>-6.4865092296066615E-3</v>
      </c>
      <c r="M109" s="88">
        <v>2.9391312054467367E-3</v>
      </c>
      <c r="N109" s="88">
        <v>6.8493418455747683E-3</v>
      </c>
      <c r="O109" s="88">
        <v>-3.4542348680874461E-3</v>
      </c>
      <c r="P109" s="88">
        <v>0</v>
      </c>
      <c r="Q109" s="89">
        <v>6.9071690963537957E-4</v>
      </c>
      <c r="R109" s="52"/>
      <c r="S109" s="52"/>
      <c r="T109" s="52"/>
      <c r="U109" s="52"/>
      <c r="V109" s="52"/>
      <c r="W109" s="52"/>
    </row>
    <row r="110" spans="1:23">
      <c r="A110" s="87">
        <v>43713</v>
      </c>
      <c r="B110" s="88">
        <v>1.5355388083194737E-2</v>
      </c>
      <c r="C110" s="88">
        <v>3.6010437523033033E-2</v>
      </c>
      <c r="D110" s="88">
        <v>3.5339366445308863E-2</v>
      </c>
      <c r="E110" s="88">
        <v>1.9208273638267191E-2</v>
      </c>
      <c r="F110" s="88">
        <v>3.1350529884076009E-2</v>
      </c>
      <c r="G110" s="88">
        <v>1.0998121856532617E-2</v>
      </c>
      <c r="H110" s="88">
        <v>2.173913899619967E-3</v>
      </c>
      <c r="I110" s="88">
        <v>1.1657305145671384E-2</v>
      </c>
      <c r="J110" s="88">
        <v>2.0726130517116952E-2</v>
      </c>
      <c r="K110" s="88">
        <v>1.7932339460662101E-2</v>
      </c>
      <c r="L110" s="88">
        <v>2.1460051019769288E-2</v>
      </c>
      <c r="M110" s="88">
        <v>0</v>
      </c>
      <c r="N110" s="88">
        <v>3.4071583216141346E-3</v>
      </c>
      <c r="O110" s="88">
        <v>0</v>
      </c>
      <c r="P110" s="88">
        <v>0</v>
      </c>
      <c r="Q110" s="89">
        <v>2.3330709554834642E-2</v>
      </c>
      <c r="R110" s="52"/>
      <c r="S110" s="52"/>
      <c r="T110" s="52"/>
      <c r="U110" s="52"/>
      <c r="V110" s="52"/>
      <c r="W110" s="52"/>
    </row>
    <row r="111" spans="1:23">
      <c r="A111" s="87">
        <v>43714</v>
      </c>
      <c r="B111" s="88">
        <v>-5.0923089037126579E-3</v>
      </c>
      <c r="C111" s="88">
        <v>-8.8817701347804218E-3</v>
      </c>
      <c r="D111" s="88">
        <v>6.1087544883211909E-3</v>
      </c>
      <c r="E111" s="88">
        <v>-8.9579577820992212E-3</v>
      </c>
      <c r="F111" s="88">
        <v>1.1049836186584935E-2</v>
      </c>
      <c r="G111" s="88">
        <v>-4.3146239168855294E-3</v>
      </c>
      <c r="H111" s="88">
        <v>3.2520353863773159E-3</v>
      </c>
      <c r="I111" s="88">
        <v>2.6305420929789787E-3</v>
      </c>
      <c r="J111" s="88">
        <v>2.5608208616736505E-3</v>
      </c>
      <c r="K111" s="88">
        <v>0</v>
      </c>
      <c r="L111" s="88">
        <v>2.1208915691376296E-3</v>
      </c>
      <c r="M111" s="88">
        <v>-1.5253214016138616E-2</v>
      </c>
      <c r="N111" s="88">
        <v>0</v>
      </c>
      <c r="O111" s="88">
        <v>3.4542348680873824E-3</v>
      </c>
      <c r="P111" s="88">
        <v>0</v>
      </c>
      <c r="Q111" s="89">
        <v>-6.0434924170180556E-3</v>
      </c>
      <c r="R111" s="52"/>
      <c r="S111" s="52"/>
      <c r="T111" s="52"/>
      <c r="U111" s="52"/>
      <c r="V111" s="52"/>
      <c r="W111" s="52"/>
    </row>
    <row r="112" spans="1:23">
      <c r="A112" s="87">
        <v>43717</v>
      </c>
      <c r="B112" s="88">
        <v>-2.5530551310270416E-2</v>
      </c>
      <c r="C112" s="88">
        <v>-4.8780584534328549E-3</v>
      </c>
      <c r="D112" s="88">
        <v>1.4200225532549149E-3</v>
      </c>
      <c r="E112" s="88">
        <v>1.1333255811006537E-2</v>
      </c>
      <c r="F112" s="88">
        <v>-1.6000341346440964E-2</v>
      </c>
      <c r="G112" s="88">
        <v>-3.0132766156024126E-2</v>
      </c>
      <c r="H112" s="88">
        <v>-2.166848085090314E-3</v>
      </c>
      <c r="I112" s="88">
        <v>-1.9497931831683503E-2</v>
      </c>
      <c r="J112" s="88">
        <v>-3.843694674562827E-3</v>
      </c>
      <c r="K112" s="88">
        <v>-3.6192128593416681E-2</v>
      </c>
      <c r="L112" s="88">
        <v>-1.0649727916658039E-2</v>
      </c>
      <c r="M112" s="88">
        <v>1.2314082810691929E-2</v>
      </c>
      <c r="N112" s="88">
        <v>-1.0256500167188997E-2</v>
      </c>
      <c r="O112" s="88">
        <v>0</v>
      </c>
      <c r="P112" s="88">
        <v>2.7548226788446837E-3</v>
      </c>
      <c r="Q112" s="89">
        <v>-1.2244247914630751E-2</v>
      </c>
      <c r="R112" s="52"/>
      <c r="S112" s="52"/>
      <c r="T112" s="52"/>
      <c r="U112" s="52"/>
      <c r="V112" s="52"/>
      <c r="W112" s="52"/>
    </row>
    <row r="113" spans="1:23">
      <c r="A113" s="87">
        <v>43718</v>
      </c>
      <c r="B113" s="88">
        <v>-2.3850087090947301E-2</v>
      </c>
      <c r="C113" s="88">
        <v>-1.6313217320840852E-3</v>
      </c>
      <c r="D113" s="88">
        <v>-7.5287770415761865E-3</v>
      </c>
      <c r="E113" s="88">
        <v>-1.253373614725658E-2</v>
      </c>
      <c r="F113" s="88">
        <v>-7.4720148387009541E-3</v>
      </c>
      <c r="G113" s="88">
        <v>-9.2688063530316542E-2</v>
      </c>
      <c r="H113" s="88">
        <v>-1.3100624045698206E-2</v>
      </c>
      <c r="I113" s="88">
        <v>-5.1110024140962024E-2</v>
      </c>
      <c r="J113" s="88">
        <v>-1.8135212044212395E-2</v>
      </c>
      <c r="K113" s="88">
        <v>1.2210163906931337E-2</v>
      </c>
      <c r="L113" s="88">
        <v>-4.2918520815410323E-3</v>
      </c>
      <c r="M113" s="88">
        <v>2.9391312054467367E-3</v>
      </c>
      <c r="N113" s="88">
        <v>0</v>
      </c>
      <c r="O113" s="88">
        <v>8.902085089676097E-2</v>
      </c>
      <c r="P113" s="88">
        <v>-2.7548226788446199E-3</v>
      </c>
      <c r="Q113" s="89">
        <v>-1.0523270918451072E-2</v>
      </c>
      <c r="R113" s="52"/>
      <c r="S113" s="52"/>
      <c r="T113" s="52"/>
      <c r="U113" s="52"/>
      <c r="V113" s="52"/>
      <c r="W113" s="52"/>
    </row>
    <row r="114" spans="1:23">
      <c r="A114" s="87">
        <v>43719</v>
      </c>
      <c r="B114" s="88">
        <v>1.0006754615552657E-2</v>
      </c>
      <c r="C114" s="88">
        <v>8.1301260832500888E-3</v>
      </c>
      <c r="D114" s="88">
        <v>-6.1463008486941778E-3</v>
      </c>
      <c r="E114" s="88">
        <v>3.7139546949456786E-2</v>
      </c>
      <c r="F114" s="88">
        <v>2.4692612590371414E-2</v>
      </c>
      <c r="G114" s="88">
        <v>3.8246007715074465E-3</v>
      </c>
      <c r="H114" s="88">
        <v>0</v>
      </c>
      <c r="I114" s="88">
        <v>1.2678736642427444E-3</v>
      </c>
      <c r="J114" s="88">
        <v>-6.5574005461591636E-3</v>
      </c>
      <c r="K114" s="88">
        <v>-1.214329232401831E-3</v>
      </c>
      <c r="L114" s="88">
        <v>2.148228538289605E-3</v>
      </c>
      <c r="M114" s="88">
        <v>2.3961466882677956E-2</v>
      </c>
      <c r="N114" s="88">
        <v>3.4305350967892222E-3</v>
      </c>
      <c r="O114" s="88">
        <v>1.5649771667127815E-2</v>
      </c>
      <c r="P114" s="88">
        <v>0</v>
      </c>
      <c r="Q114" s="89">
        <v>8.7751205985352621E-3</v>
      </c>
      <c r="R114" s="52"/>
      <c r="S114" s="52"/>
      <c r="T114" s="52"/>
      <c r="U114" s="52"/>
      <c r="V114" s="52"/>
      <c r="W114" s="52"/>
    </row>
    <row r="115" spans="1:23">
      <c r="A115" s="87">
        <v>43720</v>
      </c>
      <c r="B115" s="88">
        <v>-2.9915262462758964E-3</v>
      </c>
      <c r="C115" s="88">
        <v>-4.056800695614318E-3</v>
      </c>
      <c r="D115" s="88">
        <v>-5.6674890224706533E-3</v>
      </c>
      <c r="E115" s="88">
        <v>-9.3023926623135612E-3</v>
      </c>
      <c r="F115" s="88">
        <v>-6.1162270174360944E-3</v>
      </c>
      <c r="G115" s="88">
        <v>-3.8246007715075437E-3</v>
      </c>
      <c r="H115" s="88">
        <v>-1.0995053334168876E-3</v>
      </c>
      <c r="I115" s="88">
        <v>-1.2466516461248694E-2</v>
      </c>
      <c r="J115" s="88">
        <v>0</v>
      </c>
      <c r="K115" s="88">
        <v>8.4695001135737837E-3</v>
      </c>
      <c r="L115" s="88">
        <v>-4.3010818993906973E-3</v>
      </c>
      <c r="M115" s="88">
        <v>5.8642375408018369E-3</v>
      </c>
      <c r="N115" s="88">
        <v>-6.8728792877620643E-3</v>
      </c>
      <c r="O115" s="88">
        <v>-4.4451762570833921E-2</v>
      </c>
      <c r="P115" s="88">
        <v>0</v>
      </c>
      <c r="Q115" s="89">
        <v>-7.9047166291183902E-3</v>
      </c>
      <c r="R115" s="52"/>
      <c r="S115" s="52"/>
      <c r="T115" s="52"/>
      <c r="U115" s="52"/>
      <c r="V115" s="52"/>
      <c r="W115" s="52"/>
    </row>
    <row r="116" spans="1:23">
      <c r="A116" s="87">
        <v>43721</v>
      </c>
      <c r="B116" s="88">
        <v>-2.1875346465107953E-2</v>
      </c>
      <c r="C116" s="88">
        <v>4.8661896511729063E-3</v>
      </c>
      <c r="D116" s="88">
        <v>9.769217496688647E-3</v>
      </c>
      <c r="E116" s="88">
        <v>1.6797383066501477E-2</v>
      </c>
      <c r="F116" s="88">
        <v>1.2195273093818206E-2</v>
      </c>
      <c r="G116" s="88">
        <v>-1.1899254395374727E-3</v>
      </c>
      <c r="H116" s="88">
        <v>1.0941028178208202E-2</v>
      </c>
      <c r="I116" s="88">
        <v>3.5705577991003823E-2</v>
      </c>
      <c r="J116" s="88">
        <v>2.5975486403260736E-2</v>
      </c>
      <c r="K116" s="88">
        <v>-1.8237587549780901E-2</v>
      </c>
      <c r="L116" s="88">
        <v>-2.1574981400212367E-3</v>
      </c>
      <c r="M116" s="88">
        <v>2.9107469711006955E-2</v>
      </c>
      <c r="N116" s="88">
        <v>0</v>
      </c>
      <c r="O116" s="88">
        <v>0.11054187439982383</v>
      </c>
      <c r="P116" s="88">
        <v>0</v>
      </c>
      <c r="Q116" s="89">
        <v>7.5430508626740658E-3</v>
      </c>
      <c r="R116" s="52"/>
      <c r="S116" s="52"/>
      <c r="T116" s="52"/>
      <c r="U116" s="52"/>
      <c r="V116" s="52"/>
      <c r="W116" s="52"/>
    </row>
    <row r="117" spans="1:23">
      <c r="A117" s="87">
        <v>43724</v>
      </c>
      <c r="B117" s="88">
        <v>7.7953284088266963E-3</v>
      </c>
      <c r="C117" s="88">
        <v>1.7642799242749817E-2</v>
      </c>
      <c r="D117" s="88">
        <v>1.7146465834514173E-2</v>
      </c>
      <c r="E117" s="88">
        <v>1.085414826400855E-2</v>
      </c>
      <c r="F117" s="88">
        <v>1.2048338516174574E-2</v>
      </c>
      <c r="G117" s="88">
        <v>8.6934161834355452E-3</v>
      </c>
      <c r="H117" s="88">
        <v>3.3175862238899574E-2</v>
      </c>
      <c r="I117" s="88">
        <v>-2.7548226788445085E-3</v>
      </c>
      <c r="J117" s="88">
        <v>6.3897980987709883E-3</v>
      </c>
      <c r="K117" s="88">
        <v>-1.3588844061896485E-2</v>
      </c>
      <c r="L117" s="88">
        <v>4.3103515011222631E-3</v>
      </c>
      <c r="M117" s="88">
        <v>1.6894488898761831E-2</v>
      </c>
      <c r="N117" s="88">
        <v>6.8728792877620504E-3</v>
      </c>
      <c r="O117" s="88">
        <v>1.1560822401076006E-2</v>
      </c>
      <c r="P117" s="88">
        <v>1.3783599701213596E-3</v>
      </c>
      <c r="Q117" s="89">
        <v>1.269633792891813E-2</v>
      </c>
      <c r="R117" s="52"/>
      <c r="S117" s="52"/>
      <c r="T117" s="52"/>
      <c r="U117" s="52"/>
      <c r="V117" s="52"/>
      <c r="W117" s="52"/>
    </row>
    <row r="118" spans="1:23">
      <c r="A118" s="87">
        <v>43725</v>
      </c>
      <c r="B118" s="88">
        <v>-3.7206198848046376E-3</v>
      </c>
      <c r="C118" s="88">
        <v>7.917697736785306E-3</v>
      </c>
      <c r="D118" s="88">
        <v>-5.0423664723044277E-3</v>
      </c>
      <c r="E118" s="88">
        <v>-3.645182279797135E-2</v>
      </c>
      <c r="F118" s="88">
        <v>-6.0060240602119218E-3</v>
      </c>
      <c r="G118" s="88">
        <v>-3.0087466550061438E-2</v>
      </c>
      <c r="H118" s="88">
        <v>1.0520779508038345E-3</v>
      </c>
      <c r="I118" s="88">
        <v>-5.3938309319608753E-3</v>
      </c>
      <c r="J118" s="88">
        <v>1.2730746467981126E-3</v>
      </c>
      <c r="K118" s="88">
        <v>-6.2383234126915906E-3</v>
      </c>
      <c r="L118" s="88">
        <v>4.2918520815410843E-3</v>
      </c>
      <c r="M118" s="88">
        <v>-5.5998423309939734E-3</v>
      </c>
      <c r="N118" s="88">
        <v>-6.8728792877620643E-3</v>
      </c>
      <c r="O118" s="88">
        <v>-3.5091319811270172E-2</v>
      </c>
      <c r="P118" s="88">
        <v>-1.3783599701212709E-3</v>
      </c>
      <c r="Q118" s="89">
        <v>-6.9717309870905774E-3</v>
      </c>
      <c r="R118" s="52"/>
      <c r="S118" s="52"/>
      <c r="T118" s="52"/>
      <c r="U118" s="52"/>
      <c r="V118" s="52"/>
      <c r="W118" s="52"/>
    </row>
    <row r="119" spans="1:23">
      <c r="A119" s="87">
        <v>43726</v>
      </c>
      <c r="B119" s="88">
        <v>2.1455734218346387E-2</v>
      </c>
      <c r="C119" s="88">
        <v>7.0727210353680146E-3</v>
      </c>
      <c r="D119" s="88">
        <v>0</v>
      </c>
      <c r="E119" s="88">
        <v>1.46244197534497E-2</v>
      </c>
      <c r="F119" s="88">
        <v>-7.2551708811719098E-3</v>
      </c>
      <c r="G119" s="88">
        <v>1.8877326076450814E-2</v>
      </c>
      <c r="H119" s="88">
        <v>6.2893289075639184E-3</v>
      </c>
      <c r="I119" s="88">
        <v>1.7458687998467816E-2</v>
      </c>
      <c r="J119" s="88">
        <v>2.7605266091888698E-2</v>
      </c>
      <c r="K119" s="88">
        <v>1.7370163781535924E-2</v>
      </c>
      <c r="L119" s="88">
        <v>2.1187233219443845E-2</v>
      </c>
      <c r="M119" s="88">
        <v>1.4012239556966143E-2</v>
      </c>
      <c r="N119" s="88">
        <v>3.4423441909729197E-3</v>
      </c>
      <c r="O119" s="88">
        <v>8.8889474172459942E-3</v>
      </c>
      <c r="P119" s="88">
        <v>0</v>
      </c>
      <c r="Q119" s="89">
        <v>1.2303483557580531E-2</v>
      </c>
      <c r="R119" s="52"/>
      <c r="S119" s="52"/>
      <c r="T119" s="52"/>
      <c r="U119" s="52"/>
      <c r="V119" s="52"/>
      <c r="W119" s="52"/>
    </row>
    <row r="120" spans="1:23">
      <c r="A120" s="87">
        <v>43727</v>
      </c>
      <c r="B120" s="88">
        <v>5.292767896517267E-3</v>
      </c>
      <c r="C120" s="88">
        <v>-1.5673984400127689E-3</v>
      </c>
      <c r="D120" s="88">
        <v>-9.549036395198416E-3</v>
      </c>
      <c r="E120" s="88">
        <v>1.0973254780512953E-2</v>
      </c>
      <c r="F120" s="88">
        <v>3.1065819574890532E-2</v>
      </c>
      <c r="G120" s="88">
        <v>-3.30330000451158E-2</v>
      </c>
      <c r="H120" s="88">
        <v>-2.0920509722239518E-3</v>
      </c>
      <c r="I120" s="88">
        <v>0</v>
      </c>
      <c r="J120" s="88">
        <v>-6.2073445743338236E-3</v>
      </c>
      <c r="K120" s="88">
        <v>-2.4630554323978593E-3</v>
      </c>
      <c r="L120" s="88">
        <v>-6.309169193264832E-3</v>
      </c>
      <c r="M120" s="88">
        <v>0</v>
      </c>
      <c r="N120" s="88">
        <v>1.0256500167189061E-2</v>
      </c>
      <c r="O120" s="88">
        <v>-2.9542118974315201E-3</v>
      </c>
      <c r="P120" s="88">
        <v>0</v>
      </c>
      <c r="Q120" s="89">
        <v>1.5459404971826011E-3</v>
      </c>
      <c r="R120" s="52"/>
      <c r="S120" s="52"/>
      <c r="T120" s="52"/>
      <c r="U120" s="52"/>
      <c r="V120" s="52"/>
      <c r="W120" s="52"/>
    </row>
    <row r="121" spans="1:23">
      <c r="A121" s="87">
        <v>43728</v>
      </c>
      <c r="B121" s="88">
        <v>-1.2282312078229407E-2</v>
      </c>
      <c r="C121" s="88">
        <v>7.8125397367936247E-3</v>
      </c>
      <c r="D121" s="88">
        <v>-5.6297809781542339E-3</v>
      </c>
      <c r="E121" s="88">
        <v>-3.4522473872293986E-3</v>
      </c>
      <c r="F121" s="88">
        <v>2.5553074424617486E-2</v>
      </c>
      <c r="G121" s="88">
        <v>-2.7376127750444255E-2</v>
      </c>
      <c r="H121" s="88">
        <v>3.1364374901303115E-3</v>
      </c>
      <c r="I121" s="88">
        <v>1.3618414197888731E-3</v>
      </c>
      <c r="J121" s="88">
        <v>1.8507622655985455E-2</v>
      </c>
      <c r="K121" s="88">
        <v>-2.4691370569211537E-3</v>
      </c>
      <c r="L121" s="88">
        <v>2.1074823395647994E-3</v>
      </c>
      <c r="M121" s="88">
        <v>-2.8437385863899793E-3</v>
      </c>
      <c r="N121" s="88">
        <v>-6.8259650703998706E-3</v>
      </c>
      <c r="O121" s="88">
        <v>-5.9347355198145777E-3</v>
      </c>
      <c r="P121" s="88">
        <v>0</v>
      </c>
      <c r="Q121" s="89">
        <v>2.5598551205075855E-3</v>
      </c>
      <c r="R121" s="52"/>
      <c r="S121" s="52"/>
      <c r="T121" s="52"/>
      <c r="U121" s="52"/>
      <c r="V121" s="52"/>
      <c r="W121" s="52"/>
    </row>
    <row r="122" spans="1:23">
      <c r="A122" s="87">
        <v>43731</v>
      </c>
      <c r="B122" s="88">
        <v>-1.1421017661467584E-2</v>
      </c>
      <c r="C122" s="88">
        <v>-9.38239877191362E-3</v>
      </c>
      <c r="D122" s="88">
        <v>-1.5517017659137867E-2</v>
      </c>
      <c r="E122" s="88">
        <v>-3.6388991394135671E-2</v>
      </c>
      <c r="F122" s="88">
        <v>-2.5553074424617506E-2</v>
      </c>
      <c r="G122" s="88">
        <v>-6.6436034874011963E-3</v>
      </c>
      <c r="H122" s="88">
        <v>-2.1097828964635815E-2</v>
      </c>
      <c r="I122" s="88">
        <v>-8.0618049528033454E-3</v>
      </c>
      <c r="J122" s="88">
        <v>-1.1063419544255333E-2</v>
      </c>
      <c r="K122" s="88">
        <v>9.8401778015111355E-3</v>
      </c>
      <c r="L122" s="88">
        <v>0</v>
      </c>
      <c r="M122" s="88">
        <v>-2.2463147538343987E-2</v>
      </c>
      <c r="N122" s="88">
        <v>-6.8728792877620643E-3</v>
      </c>
      <c r="O122" s="88">
        <v>-8.9686699827603751E-3</v>
      </c>
      <c r="P122" s="88">
        <v>0</v>
      </c>
      <c r="Q122" s="89">
        <v>-1.5620644747617934E-2</v>
      </c>
      <c r="R122" s="52"/>
      <c r="S122" s="52"/>
      <c r="T122" s="52"/>
      <c r="U122" s="52"/>
      <c r="V122" s="52"/>
      <c r="W122" s="52"/>
    </row>
    <row r="123" spans="1:23">
      <c r="A123" s="87">
        <v>43732</v>
      </c>
      <c r="B123" s="88">
        <v>3.372684478639156E-3</v>
      </c>
      <c r="C123" s="88">
        <v>6.2647033393277091E-3</v>
      </c>
      <c r="D123" s="88">
        <v>-2.08724767908639E-3</v>
      </c>
      <c r="E123" s="88">
        <v>0</v>
      </c>
      <c r="F123" s="88">
        <v>2.8987536873252406E-2</v>
      </c>
      <c r="G123" s="88">
        <v>7.9107631078545945E-3</v>
      </c>
      <c r="H123" s="88">
        <v>2.129926257824849E-3</v>
      </c>
      <c r="I123" s="88">
        <v>-1.2355001914811723E-3</v>
      </c>
      <c r="J123" s="88">
        <v>9.8401778015111355E-3</v>
      </c>
      <c r="K123" s="88">
        <v>-8.6048471935184136E-3</v>
      </c>
      <c r="L123" s="88">
        <v>0</v>
      </c>
      <c r="M123" s="88">
        <v>1.4170277593229627E-2</v>
      </c>
      <c r="N123" s="88">
        <v>0</v>
      </c>
      <c r="O123" s="88">
        <v>2.9985029962566329E-3</v>
      </c>
      <c r="P123" s="88">
        <v>0</v>
      </c>
      <c r="Q123" s="89">
        <v>6.2637440435679634E-3</v>
      </c>
      <c r="R123" s="52"/>
      <c r="S123" s="52"/>
      <c r="T123" s="52"/>
      <c r="U123" s="52"/>
      <c r="V123" s="52"/>
      <c r="W123" s="52"/>
    </row>
    <row r="124" spans="1:23">
      <c r="A124" s="87">
        <v>43733</v>
      </c>
      <c r="B124" s="88">
        <v>-1.0152371464018073E-2</v>
      </c>
      <c r="C124" s="88">
        <v>-8.6241224440974096E-3</v>
      </c>
      <c r="D124" s="88">
        <v>2.6083795893638785E-3</v>
      </c>
      <c r="E124" s="88">
        <v>-2.9931180681319522E-3</v>
      </c>
      <c r="F124" s="88">
        <v>-8.0321716972642666E-3</v>
      </c>
      <c r="G124" s="88">
        <v>-1.2032136098517551E-2</v>
      </c>
      <c r="H124" s="88">
        <v>1.0582109330537008E-2</v>
      </c>
      <c r="I124" s="88">
        <v>-3.0119398906935716E-2</v>
      </c>
      <c r="J124" s="88">
        <v>-9.8401778015112344E-3</v>
      </c>
      <c r="K124" s="88">
        <v>-7.4349784875180902E-3</v>
      </c>
      <c r="L124" s="88">
        <v>8.3857933762739641E-3</v>
      </c>
      <c r="M124" s="88">
        <v>0</v>
      </c>
      <c r="N124" s="88">
        <v>-6.9204428445737952E-3</v>
      </c>
      <c r="O124" s="88">
        <v>-1.204833851617448E-2</v>
      </c>
      <c r="P124" s="88">
        <v>0</v>
      </c>
      <c r="Q124" s="89">
        <v>-6.843561765125533E-3</v>
      </c>
      <c r="R124" s="52"/>
      <c r="S124" s="52"/>
      <c r="T124" s="52"/>
      <c r="U124" s="52"/>
      <c r="V124" s="52"/>
      <c r="W124" s="52"/>
    </row>
    <row r="125" spans="1:23">
      <c r="A125" s="87">
        <v>43734</v>
      </c>
      <c r="B125" s="88">
        <v>9.4787439545437387E-3</v>
      </c>
      <c r="C125" s="88">
        <v>7.843177461026099E-3</v>
      </c>
      <c r="D125" s="88">
        <v>3.6403389309746727E-3</v>
      </c>
      <c r="E125" s="88">
        <v>1.2511333889108148E-2</v>
      </c>
      <c r="F125" s="88">
        <v>1.3730192811902037E-2</v>
      </c>
      <c r="G125" s="88">
        <v>1.203213609851757E-2</v>
      </c>
      <c r="H125" s="88">
        <v>4.2016868536999766E-3</v>
      </c>
      <c r="I125" s="88">
        <v>2.3365875891155928E-2</v>
      </c>
      <c r="J125" s="88">
        <v>-3.6504997374854214E-2</v>
      </c>
      <c r="K125" s="88">
        <v>0</v>
      </c>
      <c r="L125" s="88">
        <v>8.3160562416573856E-3</v>
      </c>
      <c r="M125" s="88">
        <v>-8.5070082639684633E-3</v>
      </c>
      <c r="N125" s="88">
        <v>0</v>
      </c>
      <c r="O125" s="88">
        <v>6.0423144559626617E-3</v>
      </c>
      <c r="P125" s="88">
        <v>0</v>
      </c>
      <c r="Q125" s="89">
        <v>4.7330655919673621E-3</v>
      </c>
      <c r="R125" s="52"/>
      <c r="S125" s="52"/>
      <c r="T125" s="52"/>
      <c r="U125" s="52"/>
      <c r="V125" s="52"/>
      <c r="W125" s="52"/>
    </row>
    <row r="126" spans="1:23">
      <c r="A126" s="87">
        <v>43735</v>
      </c>
      <c r="B126" s="88">
        <v>1.4051753455650507E-2</v>
      </c>
      <c r="C126" s="88">
        <v>7.8094498307135099E-4</v>
      </c>
      <c r="D126" s="88">
        <v>-1.4641549992948005E-2</v>
      </c>
      <c r="E126" s="88">
        <v>2.0510534415838291E-2</v>
      </c>
      <c r="F126" s="88">
        <v>1.0175328041652446E-2</v>
      </c>
      <c r="G126" s="88">
        <v>1.7020500173402023E-2</v>
      </c>
      <c r="H126" s="88">
        <v>-1.4783796184236867E-2</v>
      </c>
      <c r="I126" s="88">
        <v>1.2096367426275243E-2</v>
      </c>
      <c r="J126" s="88">
        <v>0</v>
      </c>
      <c r="K126" s="88">
        <v>7.4349784875182116E-3</v>
      </c>
      <c r="L126" s="88">
        <v>-8.3160562416573925E-3</v>
      </c>
      <c r="M126" s="88">
        <v>1.123121956950048E-2</v>
      </c>
      <c r="N126" s="88">
        <v>-6.9686693160933158E-3</v>
      </c>
      <c r="O126" s="88">
        <v>3.0075210639553224E-3</v>
      </c>
      <c r="P126" s="88">
        <v>0</v>
      </c>
      <c r="Q126" s="89">
        <v>4.8026904405623532E-3</v>
      </c>
      <c r="R126" s="52"/>
      <c r="S126" s="52"/>
      <c r="T126" s="52"/>
      <c r="U126" s="52"/>
      <c r="V126" s="52"/>
      <c r="W126" s="52"/>
    </row>
    <row r="127" spans="1:23">
      <c r="A127" s="87">
        <v>43738</v>
      </c>
      <c r="B127" s="88">
        <v>-7.6705395268116313E-3</v>
      </c>
      <c r="C127" s="88">
        <v>-1.3359727189931529E-2</v>
      </c>
      <c r="D127" s="88">
        <v>-6.8714261595039438E-3</v>
      </c>
      <c r="E127" s="88">
        <v>9.8124885445506245E-3</v>
      </c>
      <c r="F127" s="88">
        <v>-1.1254925217344803E-3</v>
      </c>
      <c r="G127" s="88">
        <v>1.5510571056482311E-2</v>
      </c>
      <c r="H127" s="88">
        <v>1.5831465216680662E-2</v>
      </c>
      <c r="I127" s="88">
        <v>-6.7174150736620964E-3</v>
      </c>
      <c r="J127" s="88">
        <v>2.2814677766171482E-2</v>
      </c>
      <c r="K127" s="88">
        <v>0</v>
      </c>
      <c r="L127" s="88">
        <v>-1.6842503394497464E-2</v>
      </c>
      <c r="M127" s="88">
        <v>5.5686586395823044E-3</v>
      </c>
      <c r="N127" s="88">
        <v>0</v>
      </c>
      <c r="O127" s="88">
        <v>2.3739987303073085E-2</v>
      </c>
      <c r="P127" s="88">
        <v>0</v>
      </c>
      <c r="Q127" s="89">
        <v>-2.2199609984335255E-3</v>
      </c>
      <c r="R127" s="52"/>
      <c r="S127" s="52"/>
      <c r="T127" s="52"/>
      <c r="U127" s="52"/>
      <c r="V127" s="52"/>
      <c r="W127" s="52"/>
    </row>
    <row r="128" spans="1:23">
      <c r="A128" s="87">
        <v>43739</v>
      </c>
      <c r="B128" s="88">
        <v>-5.3709427535021271E-3</v>
      </c>
      <c r="C128" s="88">
        <v>8.6648828857237258E-3</v>
      </c>
      <c r="D128" s="88">
        <v>-1.6039693742878863E-2</v>
      </c>
      <c r="E128" s="88">
        <v>-3.3881745577383111E-2</v>
      </c>
      <c r="F128" s="88">
        <v>-9.0498355199179273E-3</v>
      </c>
      <c r="G128" s="88">
        <v>-2.4546582623782495E-3</v>
      </c>
      <c r="H128" s="88">
        <v>-1.9028058242308261E-2</v>
      </c>
      <c r="I128" s="88">
        <v>-1.2178395741536745E-2</v>
      </c>
      <c r="J128" s="88">
        <v>-1.8975901459005691E-2</v>
      </c>
      <c r="K128" s="88">
        <v>-1.3673301900209709E-2</v>
      </c>
      <c r="L128" s="88">
        <v>1.0559760215002253E-2</v>
      </c>
      <c r="M128" s="88">
        <v>3.0292598134121041E-2</v>
      </c>
      <c r="N128" s="88">
        <v>-2.8370697129215576E-2</v>
      </c>
      <c r="O128" s="88">
        <v>1.4556297774207454E-2</v>
      </c>
      <c r="P128" s="88">
        <v>2.7548226788446837E-3</v>
      </c>
      <c r="Q128" s="89">
        <v>-8.0004126323003945E-3</v>
      </c>
      <c r="R128" s="52"/>
      <c r="S128" s="52"/>
      <c r="T128" s="52"/>
      <c r="U128" s="52"/>
      <c r="V128" s="52"/>
      <c r="W128" s="52"/>
    </row>
    <row r="129" spans="1:23">
      <c r="A129" s="87">
        <v>43740</v>
      </c>
      <c r="B129" s="88">
        <v>-1.8685782334058848E-2</v>
      </c>
      <c r="C129" s="88">
        <v>0</v>
      </c>
      <c r="D129" s="88">
        <v>-3.779906223059664E-3</v>
      </c>
      <c r="E129" s="88">
        <v>-6.0624621816434736E-2</v>
      </c>
      <c r="F129" s="88">
        <v>-3.9402547866028932E-2</v>
      </c>
      <c r="G129" s="88">
        <v>-3.4023972020212054E-2</v>
      </c>
      <c r="H129" s="88">
        <v>-9.6515494522215854E-3</v>
      </c>
      <c r="I129" s="88">
        <v>-1.3739175883304046E-2</v>
      </c>
      <c r="J129" s="88">
        <v>-8.9801758075843518E-3</v>
      </c>
      <c r="K129" s="88">
        <v>1.2507819016526766E-3</v>
      </c>
      <c r="L129" s="88">
        <v>-3.8548670117235138E-2</v>
      </c>
      <c r="M129" s="88">
        <v>-8.1836922508715399E-3</v>
      </c>
      <c r="N129" s="88">
        <v>-3.2909734088797979E-2</v>
      </c>
      <c r="O129" s="88">
        <v>-8.7083278917843079E-3</v>
      </c>
      <c r="P129" s="88">
        <v>-2.3661507498158242E-2</v>
      </c>
      <c r="Q129" s="89">
        <v>-3.0584865318592766E-2</v>
      </c>
      <c r="R129" s="52"/>
      <c r="S129" s="52"/>
      <c r="T129" s="52"/>
      <c r="U129" s="52"/>
      <c r="V129" s="52"/>
      <c r="W129" s="52"/>
    </row>
    <row r="130" spans="1:23">
      <c r="A130" s="87">
        <v>43741</v>
      </c>
      <c r="B130" s="88">
        <v>-1.3812374287611359E-2</v>
      </c>
      <c r="C130" s="88">
        <v>-3.9292781398896611E-3</v>
      </c>
      <c r="D130" s="88">
        <v>-5.4247719016202013E-3</v>
      </c>
      <c r="E130" s="88">
        <v>-1.6550345943677613E-2</v>
      </c>
      <c r="F130" s="88">
        <v>-1.90936588155797E-2</v>
      </c>
      <c r="G130" s="88">
        <v>-1.208001615086806E-2</v>
      </c>
      <c r="H130" s="88">
        <v>-1.520116133205044E-2</v>
      </c>
      <c r="I130" s="88">
        <v>-3.2422865879858473E-2</v>
      </c>
      <c r="J130" s="88">
        <v>-1.2970350442627404E-2</v>
      </c>
      <c r="K130" s="88">
        <v>-1.765493523872071E-2</v>
      </c>
      <c r="L130" s="88">
        <v>-1.7621601349819445E-2</v>
      </c>
      <c r="M130" s="88">
        <v>-1.9265167296859408E-2</v>
      </c>
      <c r="N130" s="88">
        <v>-1.4981553615616833E-2</v>
      </c>
      <c r="O130" s="88">
        <v>-2.0619287202735818E-2</v>
      </c>
      <c r="P130" s="88">
        <v>5.6179923042232738E-3</v>
      </c>
      <c r="Q130" s="89">
        <v>-1.5377032870589519E-2</v>
      </c>
      <c r="R130" s="52"/>
      <c r="S130" s="52"/>
      <c r="T130" s="52"/>
      <c r="U130" s="52"/>
      <c r="V130" s="52"/>
      <c r="W130" s="52"/>
    </row>
    <row r="131" spans="1:23">
      <c r="A131" s="87">
        <v>43742</v>
      </c>
      <c r="B131" s="88">
        <v>1.2783038118497158E-2</v>
      </c>
      <c r="C131" s="88">
        <v>3.929278139889557E-3</v>
      </c>
      <c r="D131" s="88">
        <v>5.9656340490468742E-3</v>
      </c>
      <c r="E131" s="88">
        <v>-6.4205459669522662E-4</v>
      </c>
      <c r="F131" s="88">
        <v>-2.4125464053838782E-3</v>
      </c>
      <c r="G131" s="88">
        <v>1.3350574661595808E-2</v>
      </c>
      <c r="H131" s="88">
        <v>-1.1001211061973682E-2</v>
      </c>
      <c r="I131" s="88">
        <v>1.2894057670015337E-2</v>
      </c>
      <c r="J131" s="88">
        <v>-1.97765179764566E-2</v>
      </c>
      <c r="K131" s="88">
        <v>-3.8240964384035057E-3</v>
      </c>
      <c r="L131" s="88">
        <v>-2.2246950221111624E-3</v>
      </c>
      <c r="M131" s="88">
        <v>0</v>
      </c>
      <c r="N131" s="88">
        <v>-2.677024106460478E-2</v>
      </c>
      <c r="O131" s="88">
        <v>2.0619287202735825E-2</v>
      </c>
      <c r="P131" s="88">
        <v>0</v>
      </c>
      <c r="Q131" s="89">
        <v>1.8092519612726763E-3</v>
      </c>
      <c r="R131" s="52"/>
      <c r="S131" s="52"/>
      <c r="T131" s="52"/>
      <c r="U131" s="52"/>
      <c r="V131" s="52"/>
      <c r="W131" s="52"/>
    </row>
    <row r="132" spans="1:23">
      <c r="A132" s="87">
        <v>43745</v>
      </c>
      <c r="B132" s="88">
        <v>-8.9655772964994454E-3</v>
      </c>
      <c r="C132" s="88">
        <v>0</v>
      </c>
      <c r="D132" s="88">
        <v>2.7203128169228038E-2</v>
      </c>
      <c r="E132" s="88">
        <v>1.9714469973082734E-2</v>
      </c>
      <c r="F132" s="88">
        <v>6.0204877815830246E-3</v>
      </c>
      <c r="G132" s="88">
        <v>-3.9581617976292231E-3</v>
      </c>
      <c r="H132" s="88">
        <v>-3.3241027838385598E-3</v>
      </c>
      <c r="I132" s="88">
        <v>-1.4405073075795299E-3</v>
      </c>
      <c r="J132" s="88">
        <v>-1.3324452337786009E-3</v>
      </c>
      <c r="K132" s="88">
        <v>2.5510217916052047E-3</v>
      </c>
      <c r="L132" s="88">
        <v>2.2246950221111086E-3</v>
      </c>
      <c r="M132" s="88">
        <v>0</v>
      </c>
      <c r="N132" s="88">
        <v>2.2989518224698562E-2</v>
      </c>
      <c r="O132" s="88">
        <v>3.4387342309475731E-2</v>
      </c>
      <c r="P132" s="88">
        <v>-1.4015419252884445E-3</v>
      </c>
      <c r="Q132" s="89">
        <v>6.3248105099481195E-3</v>
      </c>
      <c r="R132" s="52"/>
      <c r="S132" s="52"/>
      <c r="T132" s="52"/>
      <c r="U132" s="52"/>
      <c r="V132" s="52"/>
      <c r="W132" s="52"/>
    </row>
    <row r="133" spans="1:23">
      <c r="A133" s="87">
        <v>43746</v>
      </c>
      <c r="B133" s="88">
        <v>-3.1222922156219465E-3</v>
      </c>
      <c r="C133" s="88">
        <v>1.3245226750020723E-2</v>
      </c>
      <c r="D133" s="88">
        <v>-1.0579870162790952E-2</v>
      </c>
      <c r="E133" s="88">
        <v>2.1184592868277095E-2</v>
      </c>
      <c r="F133" s="88">
        <v>-3.607941376199054E-3</v>
      </c>
      <c r="G133" s="88">
        <v>-1.0680058796225507E-2</v>
      </c>
      <c r="H133" s="88">
        <v>0</v>
      </c>
      <c r="I133" s="88">
        <v>-1.1453550362435685E-2</v>
      </c>
      <c r="J133" s="88">
        <v>7.9681696491768813E-3</v>
      </c>
      <c r="K133" s="88">
        <v>-1.6699167757632256E-2</v>
      </c>
      <c r="L133" s="88">
        <v>-8.9286307443013184E-3</v>
      </c>
      <c r="M133" s="88">
        <v>-2.8437385863899793E-3</v>
      </c>
      <c r="N133" s="88">
        <v>1.5037877364540502E-2</v>
      </c>
      <c r="O133" s="88">
        <v>-2.8208763416412296E-3</v>
      </c>
      <c r="P133" s="88">
        <v>-2.98954647966264E-2</v>
      </c>
      <c r="Q133" s="89">
        <v>-6.6038774574927496E-3</v>
      </c>
      <c r="R133" s="52"/>
      <c r="S133" s="52"/>
      <c r="T133" s="52"/>
      <c r="U133" s="52"/>
      <c r="V133" s="52"/>
      <c r="W133" s="52"/>
    </row>
    <row r="134" spans="1:23">
      <c r="A134" s="87">
        <v>43747</v>
      </c>
      <c r="B134" s="88">
        <v>-2.4352073262491349E-3</v>
      </c>
      <c r="C134" s="88">
        <v>6.1728591070810161E-3</v>
      </c>
      <c r="D134" s="88">
        <v>-6.4020705220224116E-3</v>
      </c>
      <c r="E134" s="88">
        <v>2.4963244517569476E-2</v>
      </c>
      <c r="F134" s="88">
        <v>1.197619104671562E-2</v>
      </c>
      <c r="G134" s="88">
        <v>-5.4550809981813442E-3</v>
      </c>
      <c r="H134" s="88">
        <v>-1.1104942840271764E-3</v>
      </c>
      <c r="I134" s="88">
        <v>2.2634859513695635E-2</v>
      </c>
      <c r="J134" s="88">
        <v>1.1834457647003017E-2</v>
      </c>
      <c r="K134" s="88">
        <v>1.2870190520534956E-2</v>
      </c>
      <c r="L134" s="88">
        <v>3.9565600206191098E-2</v>
      </c>
      <c r="M134" s="88">
        <v>-5.5686586395823313E-3</v>
      </c>
      <c r="N134" s="88">
        <v>1.4815085785140682E-2</v>
      </c>
      <c r="O134" s="88">
        <v>2.8208763416412634E-3</v>
      </c>
      <c r="P134" s="88">
        <v>4.7964059207126632E-2</v>
      </c>
      <c r="Q134" s="89">
        <v>9.2525029253636704E-3</v>
      </c>
      <c r="R134" s="52"/>
      <c r="S134" s="52"/>
      <c r="T134" s="52"/>
      <c r="U134" s="52"/>
      <c r="V134" s="52"/>
      <c r="W134" s="52"/>
    </row>
    <row r="135" spans="1:23">
      <c r="A135" s="87">
        <v>43748</v>
      </c>
      <c r="B135" s="88">
        <v>-6.6398985868774954E-3</v>
      </c>
      <c r="C135" s="88">
        <v>0</v>
      </c>
      <c r="D135" s="88">
        <v>1.6043642138595985E-3</v>
      </c>
      <c r="E135" s="88">
        <v>2.0238786041298737E-2</v>
      </c>
      <c r="F135" s="88">
        <v>2.3530497410194036E-2</v>
      </c>
      <c r="G135" s="88">
        <v>8.1715027128614042E-3</v>
      </c>
      <c r="H135" s="88">
        <v>1.1049836186584935E-2</v>
      </c>
      <c r="I135" s="88">
        <v>5.5441182594360263E-3</v>
      </c>
      <c r="J135" s="88">
        <v>-1.3080446600154524E-3</v>
      </c>
      <c r="K135" s="88">
        <v>-1.546422569758159E-2</v>
      </c>
      <c r="L135" s="88">
        <v>1.2848142477849059E-2</v>
      </c>
      <c r="M135" s="88">
        <v>1.1248071889484089E-2</v>
      </c>
      <c r="N135" s="88">
        <v>0</v>
      </c>
      <c r="O135" s="88">
        <v>0</v>
      </c>
      <c r="P135" s="88">
        <v>-1.2474174225175688E-2</v>
      </c>
      <c r="Q135" s="89">
        <v>8.9770433013739662E-3</v>
      </c>
      <c r="R135" s="52"/>
      <c r="S135" s="52"/>
      <c r="T135" s="52"/>
      <c r="U135" s="52"/>
      <c r="V135" s="52"/>
      <c r="W135" s="52"/>
    </row>
    <row r="136" spans="1:23">
      <c r="A136" s="87">
        <v>43749</v>
      </c>
      <c r="B136" s="88">
        <v>1.254371847853032E-2</v>
      </c>
      <c r="C136" s="88">
        <v>0</v>
      </c>
      <c r="D136" s="88">
        <v>1.9578380800139451E-2</v>
      </c>
      <c r="E136" s="88">
        <v>2.4448249120056914E-2</v>
      </c>
      <c r="F136" s="88">
        <v>2.9784561357527495E-2</v>
      </c>
      <c r="G136" s="88">
        <v>-4.1490867161760965E-3</v>
      </c>
      <c r="H136" s="88">
        <v>-1.0995053334168876E-3</v>
      </c>
      <c r="I136" s="88">
        <v>1.2538024358975174E-2</v>
      </c>
      <c r="J136" s="88">
        <v>1.1711259420901633E-2</v>
      </c>
      <c r="K136" s="88">
        <v>1.2903404835907782E-2</v>
      </c>
      <c r="L136" s="88">
        <v>2.1253993123135366E-3</v>
      </c>
      <c r="M136" s="88">
        <v>8.3186944288008713E-3</v>
      </c>
      <c r="N136" s="88">
        <v>0</v>
      </c>
      <c r="O136" s="88">
        <v>-2.8573372444055885E-2</v>
      </c>
      <c r="P136" s="88">
        <v>-9.810870564259222E-3</v>
      </c>
      <c r="Q136" s="89">
        <v>1.9739074201519914E-2</v>
      </c>
      <c r="R136" s="52"/>
      <c r="S136" s="52"/>
      <c r="T136" s="52"/>
      <c r="U136" s="52"/>
      <c r="V136" s="52"/>
      <c r="W136" s="52"/>
    </row>
    <row r="137" spans="1:23">
      <c r="A137" s="87">
        <v>43752</v>
      </c>
      <c r="B137" s="88">
        <v>5.1804640119131329E-3</v>
      </c>
      <c r="C137" s="88">
        <v>3.0721990369700588E-3</v>
      </c>
      <c r="D137" s="88">
        <v>-5.2537685203980136E-3</v>
      </c>
      <c r="E137" s="88">
        <v>-1.6816864857577447E-2</v>
      </c>
      <c r="F137" s="88">
        <v>-5.6593246689014666E-3</v>
      </c>
      <c r="G137" s="88">
        <v>-1.4877143025475045E-2</v>
      </c>
      <c r="H137" s="88">
        <v>6.5789710980425605E-3</v>
      </c>
      <c r="I137" s="88">
        <v>-2.8038711766186193E-3</v>
      </c>
      <c r="J137" s="88">
        <v>9.0148710962153593E-3</v>
      </c>
      <c r="K137" s="88">
        <v>-5.1413995004186523E-3</v>
      </c>
      <c r="L137" s="88">
        <v>-2.7988909902232899E-2</v>
      </c>
      <c r="M137" s="88">
        <v>-1.3998107678702642E-2</v>
      </c>
      <c r="N137" s="88">
        <v>-1.1090686694158284E-2</v>
      </c>
      <c r="O137" s="88">
        <v>3.1386313820670662E-2</v>
      </c>
      <c r="P137" s="88">
        <v>1.2596387685685566E-2</v>
      </c>
      <c r="Q137" s="89">
        <v>-7.0100009375396953E-5</v>
      </c>
      <c r="R137" s="52"/>
      <c r="S137" s="52"/>
      <c r="T137" s="52"/>
      <c r="U137" s="52"/>
      <c r="V137" s="52"/>
      <c r="W137" s="52"/>
    </row>
    <row r="138" spans="1:23">
      <c r="A138" s="87">
        <v>43753</v>
      </c>
      <c r="B138" s="88">
        <v>-8.9966004730820167E-3</v>
      </c>
      <c r="C138" s="88">
        <v>1.8237587549781012E-2</v>
      </c>
      <c r="D138" s="88">
        <v>4.2052206629784273E-3</v>
      </c>
      <c r="E138" s="88">
        <v>1.4514042884254012E-2</v>
      </c>
      <c r="F138" s="88">
        <v>3.3994367014640097E-3</v>
      </c>
      <c r="G138" s="88">
        <v>1.3088055383886452E-3</v>
      </c>
      <c r="H138" s="88">
        <v>-1.6529301951210582E-2</v>
      </c>
      <c r="I138" s="88">
        <v>-2.8117549805438988E-3</v>
      </c>
      <c r="J138" s="88">
        <v>-2.5673955052458097E-3</v>
      </c>
      <c r="K138" s="88">
        <v>2.0408871631207033E-2</v>
      </c>
      <c r="L138" s="88">
        <v>-1.9846296371930656E-2</v>
      </c>
      <c r="M138" s="88">
        <v>5.6794132499018348E-3</v>
      </c>
      <c r="N138" s="88">
        <v>3.7105793965357746E-3</v>
      </c>
      <c r="O138" s="88">
        <v>5.6022555486697516E-3</v>
      </c>
      <c r="P138" s="88">
        <v>-1.2596387685685615E-2</v>
      </c>
      <c r="Q138" s="89">
        <v>2.6486990777617129E-3</v>
      </c>
      <c r="R138" s="52"/>
      <c r="S138" s="52"/>
      <c r="T138" s="52"/>
      <c r="U138" s="52"/>
      <c r="V138" s="52"/>
      <c r="W138" s="52"/>
    </row>
    <row r="139" spans="1:23">
      <c r="A139" s="87">
        <v>43754</v>
      </c>
      <c r="B139" s="88">
        <v>-5.2274034351516875E-3</v>
      </c>
      <c r="C139" s="88">
        <v>1.0486987495248071E-2</v>
      </c>
      <c r="D139" s="88">
        <v>2.0250964650807696E-2</v>
      </c>
      <c r="E139" s="88">
        <v>7.4648638345211123E-3</v>
      </c>
      <c r="F139" s="88">
        <v>-1.366763872866387E-2</v>
      </c>
      <c r="G139" s="88">
        <v>-1.308805538388607E-3</v>
      </c>
      <c r="H139" s="88">
        <v>1.3245226750020505E-2</v>
      </c>
      <c r="I139" s="88">
        <v>6.8748078555401406E-3</v>
      </c>
      <c r="J139" s="88">
        <v>-7.7419741536155088E-3</v>
      </c>
      <c r="K139" s="88">
        <v>-1.2706651269114688E-2</v>
      </c>
      <c r="L139" s="88">
        <v>6.659292089976997E-3</v>
      </c>
      <c r="M139" s="88">
        <v>1.0982932140187682E-2</v>
      </c>
      <c r="N139" s="88">
        <v>-1.1173300598125302E-2</v>
      </c>
      <c r="O139" s="88">
        <v>-2.7972046210612538E-3</v>
      </c>
      <c r="P139" s="88">
        <v>0</v>
      </c>
      <c r="Q139" s="89">
        <v>2.4467967474825356E-4</v>
      </c>
      <c r="R139" s="52"/>
      <c r="S139" s="52"/>
      <c r="T139" s="52"/>
      <c r="U139" s="52"/>
      <c r="V139" s="52"/>
      <c r="W139" s="52"/>
    </row>
    <row r="140" spans="1:23">
      <c r="A140" s="87">
        <v>43755</v>
      </c>
      <c r="B140" s="88">
        <v>-1.7269151626539466E-2</v>
      </c>
      <c r="C140" s="88">
        <v>5.9435539008481373E-3</v>
      </c>
      <c r="D140" s="88">
        <v>1.6719728870400352E-2</v>
      </c>
      <c r="E140" s="88">
        <v>-1.1507606851479802E-2</v>
      </c>
      <c r="F140" s="88">
        <v>-2.296212260350268E-3</v>
      </c>
      <c r="G140" s="88">
        <v>-1.9395259757738533E-2</v>
      </c>
      <c r="H140" s="88">
        <v>-1.3245226750020567E-2</v>
      </c>
      <c r="I140" s="88">
        <v>1.4987790965491708E-2</v>
      </c>
      <c r="J140" s="88">
        <v>1.2944985626457955E-3</v>
      </c>
      <c r="K140" s="88">
        <v>-1.0282866955583919E-2</v>
      </c>
      <c r="L140" s="88">
        <v>6.6152391187191831E-3</v>
      </c>
      <c r="M140" s="88">
        <v>-2.4955215335203926E-2</v>
      </c>
      <c r="N140" s="88">
        <v>0</v>
      </c>
      <c r="O140" s="88">
        <v>-1.1267724846342269E-2</v>
      </c>
      <c r="P140" s="88">
        <v>5.6179923042232738E-3</v>
      </c>
      <c r="Q140" s="89">
        <v>1.1061368429268229E-3</v>
      </c>
      <c r="R140" s="52"/>
      <c r="S140" s="52"/>
      <c r="T140" s="52"/>
      <c r="U140" s="52"/>
      <c r="V140" s="52"/>
      <c r="W140" s="52"/>
    </row>
    <row r="141" spans="1:23">
      <c r="A141" s="87">
        <v>43756</v>
      </c>
      <c r="B141" s="88">
        <v>8.8480492301310117E-3</v>
      </c>
      <c r="C141" s="88">
        <v>2.21975673831281E-3</v>
      </c>
      <c r="D141" s="88">
        <v>-2.0240873219527773E-3</v>
      </c>
      <c r="E141" s="88">
        <v>1.1507606851479725E-2</v>
      </c>
      <c r="F141" s="88">
        <v>1.142869582362285E-2</v>
      </c>
      <c r="G141" s="88">
        <v>4.1456973797063448E-3</v>
      </c>
      <c r="H141" s="88">
        <v>1.3245226750020505E-2</v>
      </c>
      <c r="I141" s="88">
        <v>-1.3783599701212709E-3</v>
      </c>
      <c r="J141" s="88">
        <v>1.5404669194986455E-2</v>
      </c>
      <c r="K141" s="88">
        <v>0</v>
      </c>
      <c r="L141" s="88">
        <v>-2.2002209096024235E-3</v>
      </c>
      <c r="M141" s="88">
        <v>2.7242113055320348E-3</v>
      </c>
      <c r="N141" s="88">
        <v>1.1173300598125255E-2</v>
      </c>
      <c r="O141" s="88">
        <v>2.8288562004778446E-3</v>
      </c>
      <c r="P141" s="88">
        <v>-1.26851595273158E-2</v>
      </c>
      <c r="Q141" s="89">
        <v>3.7865194205031847E-3</v>
      </c>
      <c r="R141" s="52"/>
      <c r="S141" s="52"/>
      <c r="T141" s="52"/>
      <c r="U141" s="52"/>
      <c r="V141" s="52"/>
      <c r="W141" s="52"/>
    </row>
    <row r="142" spans="1:23">
      <c r="A142" s="87">
        <v>43759</v>
      </c>
      <c r="B142" s="88">
        <v>-6.3626937878286573E-3</v>
      </c>
      <c r="C142" s="88">
        <v>8.8300794482722156E-3</v>
      </c>
      <c r="D142" s="88">
        <v>2.0240873219526958E-3</v>
      </c>
      <c r="E142" s="88">
        <v>-3.4383988030325975E-3</v>
      </c>
      <c r="F142" s="88">
        <v>1.6901810802603254E-2</v>
      </c>
      <c r="G142" s="88">
        <v>0</v>
      </c>
      <c r="H142" s="88">
        <v>1.5234244571847987E-2</v>
      </c>
      <c r="I142" s="88">
        <v>-8.0321716972642666E-3</v>
      </c>
      <c r="J142" s="88">
        <v>-1.9293202934678781E-2</v>
      </c>
      <c r="K142" s="88">
        <v>1.2911557636198078E-3</v>
      </c>
      <c r="L142" s="88">
        <v>1.0953012019197145E-2</v>
      </c>
      <c r="M142" s="88">
        <v>8.412397225972184E-3</v>
      </c>
      <c r="N142" s="88">
        <v>0</v>
      </c>
      <c r="O142" s="88">
        <v>-8.5106896679087302E-3</v>
      </c>
      <c r="P142" s="88">
        <v>2.7973852042406162E-2</v>
      </c>
      <c r="Q142" s="89">
        <v>5.2956059329634392E-3</v>
      </c>
      <c r="R142" s="52"/>
      <c r="S142" s="52"/>
      <c r="T142" s="52"/>
      <c r="U142" s="52"/>
      <c r="V142" s="52"/>
      <c r="W142" s="52"/>
    </row>
    <row r="143" spans="1:23">
      <c r="A143" s="87">
        <v>43760</v>
      </c>
      <c r="B143" s="88">
        <v>1.023117056574901E-2</v>
      </c>
      <c r="C143" s="88">
        <v>-1.1049836186585046E-2</v>
      </c>
      <c r="D143" s="88">
        <v>-1.6205827836427558E-2</v>
      </c>
      <c r="E143" s="88">
        <v>-1.1487652038735931E-3</v>
      </c>
      <c r="F143" s="88">
        <v>-2.2371373983563216E-3</v>
      </c>
      <c r="G143" s="88">
        <v>-5.4819012753460593E-3</v>
      </c>
      <c r="H143" s="88">
        <v>4.3103515011222631E-3</v>
      </c>
      <c r="I143" s="88">
        <v>2.6383407653032859E-3</v>
      </c>
      <c r="J143" s="88">
        <v>3.5718082602079246E-2</v>
      </c>
      <c r="K143" s="88">
        <v>6.4308903302903314E-3</v>
      </c>
      <c r="L143" s="88">
        <v>-2.1810259463602259E-3</v>
      </c>
      <c r="M143" s="88">
        <v>-5.5528013396680129E-3</v>
      </c>
      <c r="N143" s="88">
        <v>-3.710579396535713E-3</v>
      </c>
      <c r="O143" s="88">
        <v>5.6818334674308638E-3</v>
      </c>
      <c r="P143" s="88">
        <v>-1.388911216066715E-2</v>
      </c>
      <c r="Q143" s="89">
        <v>7.2846254137960455E-3</v>
      </c>
      <c r="R143" s="52"/>
      <c r="S143" s="52"/>
      <c r="T143" s="52"/>
      <c r="U143" s="52"/>
      <c r="V143" s="52"/>
      <c r="W143" s="52"/>
    </row>
    <row r="144" spans="1:23">
      <c r="A144" s="87">
        <v>43761</v>
      </c>
      <c r="B144" s="88">
        <v>-1.9851768552731471E-2</v>
      </c>
      <c r="C144" s="88">
        <v>6.6445427186685108E-3</v>
      </c>
      <c r="D144" s="88">
        <v>-8.7724387328595461E-3</v>
      </c>
      <c r="E144" s="88">
        <v>0</v>
      </c>
      <c r="F144" s="88">
        <v>-5.6148378843290025E-3</v>
      </c>
      <c r="G144" s="88">
        <v>0</v>
      </c>
      <c r="H144" s="88">
        <v>1.069528911674795E-2</v>
      </c>
      <c r="I144" s="88">
        <v>-4.0297421307313704E-3</v>
      </c>
      <c r="J144" s="88">
        <v>0</v>
      </c>
      <c r="K144" s="88">
        <v>2.5608208616736505E-3</v>
      </c>
      <c r="L144" s="88">
        <v>4.3573053689558473E-3</v>
      </c>
      <c r="M144" s="88">
        <v>2.7090627532780054E-3</v>
      </c>
      <c r="N144" s="88">
        <v>3.7105793965357746E-3</v>
      </c>
      <c r="O144" s="88">
        <v>-2.8368813351996149E-3</v>
      </c>
      <c r="P144" s="88">
        <v>1.3889112160667093E-2</v>
      </c>
      <c r="Q144" s="89">
        <v>-4.2367302237400695E-4</v>
      </c>
      <c r="R144" s="52"/>
      <c r="S144" s="52"/>
      <c r="T144" s="52"/>
      <c r="U144" s="52"/>
      <c r="V144" s="52"/>
      <c r="W144" s="52"/>
    </row>
    <row r="145" spans="1:23">
      <c r="A145" s="87">
        <v>43762</v>
      </c>
      <c r="B145" s="88">
        <v>4.6436947172293526E-3</v>
      </c>
      <c r="C145" s="88">
        <v>0</v>
      </c>
      <c r="D145" s="88">
        <v>1.0825405990553963E-2</v>
      </c>
      <c r="E145" s="88">
        <v>5.7306747089850745E-3</v>
      </c>
      <c r="F145" s="88">
        <v>-2.2547923870890937E-3</v>
      </c>
      <c r="G145" s="88">
        <v>4.1512290896411255E-3</v>
      </c>
      <c r="H145" s="88">
        <v>0</v>
      </c>
      <c r="I145" s="88">
        <v>1.3914013654279971E-3</v>
      </c>
      <c r="J145" s="88">
        <v>-6.2853758149608646E-3</v>
      </c>
      <c r="K145" s="88">
        <v>2.2756987122616278E-2</v>
      </c>
      <c r="L145" s="88">
        <v>-1.0929070532190317E-2</v>
      </c>
      <c r="M145" s="88">
        <v>-1.116850097057622E-2</v>
      </c>
      <c r="N145" s="88">
        <v>0</v>
      </c>
      <c r="O145" s="88">
        <v>-2.008675856673723E-2</v>
      </c>
      <c r="P145" s="88">
        <v>2.317758831270559E-2</v>
      </c>
      <c r="Q145" s="89">
        <v>9.7303554677721641E-4</v>
      </c>
      <c r="R145" s="52"/>
      <c r="S145" s="52"/>
      <c r="T145" s="52"/>
      <c r="U145" s="52"/>
      <c r="V145" s="52"/>
      <c r="W145" s="52"/>
    </row>
    <row r="146" spans="1:23">
      <c r="A146" s="87">
        <v>43763</v>
      </c>
      <c r="B146" s="88">
        <v>-1.363494392484604E-2</v>
      </c>
      <c r="C146" s="88">
        <v>-8.1271226788913725E-3</v>
      </c>
      <c r="D146" s="88">
        <v>-1.0259567946194082E-3</v>
      </c>
      <c r="E146" s="88">
        <v>-2.8612322810322348E-3</v>
      </c>
      <c r="F146" s="88">
        <v>-1.129305597151414E-3</v>
      </c>
      <c r="G146" s="88">
        <v>2.8071230666424666E-3</v>
      </c>
      <c r="H146" s="88">
        <v>-1.0695289116747919E-2</v>
      </c>
      <c r="I146" s="88">
        <v>4.0241502997253268E-3</v>
      </c>
      <c r="J146" s="88">
        <v>3.7759642095351359E-3</v>
      </c>
      <c r="K146" s="88">
        <v>-3.7570488777122881E-3</v>
      </c>
      <c r="L146" s="88">
        <v>1.092907053219023E-2</v>
      </c>
      <c r="M146" s="88">
        <v>0</v>
      </c>
      <c r="N146" s="88">
        <v>1.1049836186584935E-2</v>
      </c>
      <c r="O146" s="88">
        <v>5.7803629154995493E-3</v>
      </c>
      <c r="P146" s="88">
        <v>-2.3177588312705683E-2</v>
      </c>
      <c r="Q146" s="89">
        <v>-1.9240906593416404E-3</v>
      </c>
      <c r="R146" s="52"/>
      <c r="S146" s="52"/>
      <c r="T146" s="52"/>
      <c r="U146" s="52"/>
      <c r="V146" s="52"/>
      <c r="W146" s="52"/>
    </row>
    <row r="147" spans="1:23">
      <c r="A147" s="87">
        <v>43767</v>
      </c>
      <c r="B147" s="88">
        <v>-2.1176402863813538E-2</v>
      </c>
      <c r="C147" s="88">
        <v>8.8626872578453243E-3</v>
      </c>
      <c r="D147" s="88">
        <v>0</v>
      </c>
      <c r="E147" s="88">
        <v>2.8612322810321949E-3</v>
      </c>
      <c r="F147" s="88">
        <v>2.2347298691996618E-2</v>
      </c>
      <c r="G147" s="88">
        <v>-9.7851040199545304E-3</v>
      </c>
      <c r="H147" s="88">
        <v>9.6308930609613659E-3</v>
      </c>
      <c r="I147" s="88">
        <v>-6.8088917261582378E-3</v>
      </c>
      <c r="J147" s="88">
        <v>-1.5190165493975233E-2</v>
      </c>
      <c r="K147" s="88">
        <v>-1.8999938244903942E-2</v>
      </c>
      <c r="L147" s="88">
        <v>-2.1762794225955173E-3</v>
      </c>
      <c r="M147" s="88">
        <v>-1.1294646567767819E-2</v>
      </c>
      <c r="N147" s="88">
        <v>-1.1049836186585046E-2</v>
      </c>
      <c r="O147" s="88">
        <v>-8.6831225734608809E-3</v>
      </c>
      <c r="P147" s="88">
        <v>0</v>
      </c>
      <c r="Q147" s="89">
        <v>1.2602396122877732E-3</v>
      </c>
      <c r="R147" s="52"/>
      <c r="S147" s="52"/>
      <c r="T147" s="52"/>
      <c r="U147" s="52"/>
      <c r="V147" s="52"/>
      <c r="W147" s="52"/>
    </row>
    <row r="148" spans="1:23">
      <c r="A148" s="87">
        <v>43768</v>
      </c>
      <c r="B148" s="88">
        <v>9.9137951669324691E-3</v>
      </c>
      <c r="C148" s="88">
        <v>0</v>
      </c>
      <c r="D148" s="88">
        <v>5.1192903856192625E-3</v>
      </c>
      <c r="E148" s="88">
        <v>0</v>
      </c>
      <c r="F148" s="88">
        <v>-6.6519092283058535E-3</v>
      </c>
      <c r="G148" s="88">
        <v>5.4973765963644526E-3</v>
      </c>
      <c r="H148" s="88">
        <v>3.1897953681000808E-3</v>
      </c>
      <c r="I148" s="88">
        <v>-9.6673257272134761E-3</v>
      </c>
      <c r="J148" s="88">
        <v>1.6445658439807196E-2</v>
      </c>
      <c r="K148" s="88">
        <v>-2.5608208616737039E-3</v>
      </c>
      <c r="L148" s="88">
        <v>2.17627942259567E-3</v>
      </c>
      <c r="M148" s="88">
        <v>5.6632693292612123E-3</v>
      </c>
      <c r="N148" s="88">
        <v>0</v>
      </c>
      <c r="O148" s="88">
        <v>2.9027596579614102E-3</v>
      </c>
      <c r="P148" s="88">
        <v>0</v>
      </c>
      <c r="Q148" s="89">
        <v>2.6641831975554521E-3</v>
      </c>
      <c r="R148" s="52"/>
      <c r="S148" s="52"/>
      <c r="T148" s="52"/>
      <c r="U148" s="52"/>
      <c r="V148" s="52"/>
      <c r="W148" s="52"/>
    </row>
    <row r="149" spans="1:23">
      <c r="A149" s="87">
        <v>43769</v>
      </c>
      <c r="B149" s="88">
        <v>1.1623814130282847E-2</v>
      </c>
      <c r="C149" s="88">
        <v>0</v>
      </c>
      <c r="D149" s="88">
        <v>-5.11929038561922E-3</v>
      </c>
      <c r="E149" s="88">
        <v>0</v>
      </c>
      <c r="F149" s="88">
        <v>9.9613441296731251E-3</v>
      </c>
      <c r="G149" s="88">
        <v>-4.1573927734405861E-3</v>
      </c>
      <c r="H149" s="88">
        <v>8.4567100182234584E-3</v>
      </c>
      <c r="I149" s="88">
        <v>9.6673257272136218E-3</v>
      </c>
      <c r="J149" s="88">
        <v>-2.512564135883048E-3</v>
      </c>
      <c r="K149" s="88">
        <v>1.5267472130788381E-2</v>
      </c>
      <c r="L149" s="88">
        <v>0</v>
      </c>
      <c r="M149" s="88">
        <v>0</v>
      </c>
      <c r="N149" s="88">
        <v>-7.4349784875180902E-3</v>
      </c>
      <c r="O149" s="88">
        <v>2.8943580263643353E-3</v>
      </c>
      <c r="P149" s="88">
        <v>-6.9204428445737952E-3</v>
      </c>
      <c r="Q149" s="89">
        <v>7.7802815260765634E-3</v>
      </c>
      <c r="R149" s="52"/>
      <c r="S149" s="52"/>
      <c r="T149" s="52"/>
      <c r="U149" s="52"/>
      <c r="V149" s="52"/>
      <c r="W149" s="52"/>
    </row>
    <row r="150" spans="1:23">
      <c r="A150" s="87">
        <v>43770</v>
      </c>
      <c r="B150" s="88">
        <v>-8.3409368430455069E-3</v>
      </c>
      <c r="C150" s="88">
        <v>-1.4716706114562507E-3</v>
      </c>
      <c r="D150" s="88">
        <v>1.8207287283414288E-2</v>
      </c>
      <c r="E150" s="88">
        <v>0</v>
      </c>
      <c r="F150" s="88">
        <v>4.3956114730381293E-3</v>
      </c>
      <c r="G150" s="88">
        <v>0</v>
      </c>
      <c r="H150" s="88">
        <v>-1.0582109330536859E-2</v>
      </c>
      <c r="I150" s="88">
        <v>-1.3952841666454786E-3</v>
      </c>
      <c r="J150" s="88">
        <v>-7.5757938084577677E-3</v>
      </c>
      <c r="K150" s="88">
        <v>-1.3986241974739952E-2</v>
      </c>
      <c r="L150" s="88">
        <v>-4.3573053689558126E-3</v>
      </c>
      <c r="M150" s="88">
        <v>0</v>
      </c>
      <c r="N150" s="88">
        <v>1.4815085785140682E-2</v>
      </c>
      <c r="O150" s="88">
        <v>2.886004889135073E-3</v>
      </c>
      <c r="P150" s="88">
        <v>1.3793322132335769E-2</v>
      </c>
      <c r="Q150" s="89">
        <v>-2.5071910486212092E-3</v>
      </c>
      <c r="R150" s="52"/>
      <c r="S150" s="52"/>
      <c r="T150" s="52"/>
      <c r="U150" s="52"/>
      <c r="V150" s="52"/>
      <c r="W150" s="52"/>
    </row>
    <row r="151" spans="1:23">
      <c r="A151" s="87">
        <v>43773</v>
      </c>
      <c r="B151" s="88">
        <v>-5.8436981489109197E-3</v>
      </c>
      <c r="C151" s="88">
        <v>8.797710703529131E-3</v>
      </c>
      <c r="D151" s="88">
        <v>-3.3724304942552151E-2</v>
      </c>
      <c r="E151" s="88">
        <v>1.6997576368571077E-2</v>
      </c>
      <c r="F151" s="88">
        <v>-1.324522675002068E-2</v>
      </c>
      <c r="G151" s="88">
        <v>9.772064733792522E-3</v>
      </c>
      <c r="H151" s="88">
        <v>-1.0643960557867014E-3</v>
      </c>
      <c r="I151" s="88">
        <v>0</v>
      </c>
      <c r="J151" s="88">
        <v>0</v>
      </c>
      <c r="K151" s="88">
        <v>2.0279528950529088E-2</v>
      </c>
      <c r="L151" s="88">
        <v>-2.1857932199800967E-3</v>
      </c>
      <c r="M151" s="88">
        <v>5.6313772385066015E-3</v>
      </c>
      <c r="N151" s="88">
        <v>-3.6832454162962934E-3</v>
      </c>
      <c r="O151" s="88">
        <v>0</v>
      </c>
      <c r="P151" s="88">
        <v>1.3605652055778678E-2</v>
      </c>
      <c r="Q151" s="89">
        <v>-1.2616433723794628E-3</v>
      </c>
      <c r="R151" s="52"/>
      <c r="S151" s="52"/>
      <c r="T151" s="52"/>
      <c r="U151" s="52"/>
      <c r="V151" s="52"/>
      <c r="W151" s="52"/>
    </row>
    <row r="152" spans="1:23">
      <c r="A152" s="87">
        <v>43774</v>
      </c>
      <c r="B152" s="88">
        <v>3.6563112031104792E-3</v>
      </c>
      <c r="C152" s="88">
        <v>-4.3891804187630957E-3</v>
      </c>
      <c r="D152" s="88">
        <v>-5.2263106312979207E-3</v>
      </c>
      <c r="E152" s="88">
        <v>1.1173300598125255E-2</v>
      </c>
      <c r="F152" s="88">
        <v>-8.9286307443014312E-3</v>
      </c>
      <c r="G152" s="88">
        <v>-1.3269445367617273E-3</v>
      </c>
      <c r="H152" s="88">
        <v>-2.5891413932741591E-2</v>
      </c>
      <c r="I152" s="88">
        <v>0</v>
      </c>
      <c r="J152" s="88">
        <v>-1.6613800662655446E-2</v>
      </c>
      <c r="K152" s="88">
        <v>5.0062682781442224E-3</v>
      </c>
      <c r="L152" s="88">
        <v>6.5430985889358868E-3</v>
      </c>
      <c r="M152" s="88">
        <v>-2.8839241329049821E-3</v>
      </c>
      <c r="N152" s="88">
        <v>-1.1131840368844294E-2</v>
      </c>
      <c r="O152" s="88">
        <v>-1.744230266334237E-2</v>
      </c>
      <c r="P152" s="88">
        <v>0</v>
      </c>
      <c r="Q152" s="89">
        <v>-6.7443297084083349E-3</v>
      </c>
      <c r="R152" s="52"/>
      <c r="S152" s="52"/>
      <c r="T152" s="52"/>
      <c r="U152" s="52"/>
      <c r="V152" s="52"/>
      <c r="W152" s="52"/>
    </row>
    <row r="153" spans="1:23">
      <c r="A153" s="87">
        <v>43775</v>
      </c>
      <c r="B153" s="88">
        <v>0</v>
      </c>
      <c r="C153" s="88">
        <v>-6.6201050896061283E-3</v>
      </c>
      <c r="D153" s="88">
        <v>0</v>
      </c>
      <c r="E153" s="88">
        <v>-2.133713738813121E-2</v>
      </c>
      <c r="F153" s="88">
        <v>-5.2946772973786138E-2</v>
      </c>
      <c r="G153" s="88">
        <v>-1.2619869066354447E-2</v>
      </c>
      <c r="H153" s="88">
        <v>-1.7641030803901083E-2</v>
      </c>
      <c r="I153" s="88">
        <v>-6.8651758248627834E-3</v>
      </c>
      <c r="J153" s="88">
        <v>-3.8734715957966636E-3</v>
      </c>
      <c r="K153" s="88">
        <v>-1.2492194004319278E-3</v>
      </c>
      <c r="L153" s="88">
        <v>0</v>
      </c>
      <c r="M153" s="88">
        <v>-8.4107224348628461E-3</v>
      </c>
      <c r="N153" s="88">
        <v>0</v>
      </c>
      <c r="O153" s="88">
        <v>1.1661939747842957E-2</v>
      </c>
      <c r="P153" s="88">
        <v>-8.1411575836998849E-3</v>
      </c>
      <c r="Q153" s="89">
        <v>-1.5613507039367187E-2</v>
      </c>
      <c r="R153" s="52"/>
      <c r="S153" s="52"/>
      <c r="T153" s="52"/>
      <c r="U153" s="52"/>
      <c r="V153" s="52"/>
      <c r="W153" s="52"/>
    </row>
    <row r="154" spans="1:23">
      <c r="A154" s="87">
        <v>43776</v>
      </c>
      <c r="B154" s="88">
        <v>4.0065615424587208E-3</v>
      </c>
      <c r="C154" s="88">
        <v>-5.9215569034373212E-3</v>
      </c>
      <c r="D154" s="88">
        <v>1.4048828804890235E-2</v>
      </c>
      <c r="E154" s="88">
        <v>2.853340425872606E-2</v>
      </c>
      <c r="F154" s="88">
        <v>5.0702103119962316E-2</v>
      </c>
      <c r="G154" s="88">
        <v>2.8347650463998431E-3</v>
      </c>
      <c r="H154" s="88">
        <v>2.2222231367175172E-3</v>
      </c>
      <c r="I154" s="88">
        <v>2.8078075445229483E-3</v>
      </c>
      <c r="J154" s="88">
        <v>-6.4893154397498813E-3</v>
      </c>
      <c r="K154" s="88">
        <v>-2.0202707317519466E-2</v>
      </c>
      <c r="L154" s="88">
        <v>0</v>
      </c>
      <c r="M154" s="88">
        <v>1.1294646567767883E-2</v>
      </c>
      <c r="N154" s="88">
        <v>7.4349784875179905E-3</v>
      </c>
      <c r="O154" s="88">
        <v>0</v>
      </c>
      <c r="P154" s="88">
        <v>-1.2337373759840819E-2</v>
      </c>
      <c r="Q154" s="89">
        <v>1.1172396005099391E-2</v>
      </c>
      <c r="R154" s="52"/>
      <c r="S154" s="52"/>
      <c r="T154" s="52"/>
      <c r="U154" s="52"/>
      <c r="V154" s="52"/>
      <c r="W154" s="52"/>
    </row>
    <row r="155" spans="1:23">
      <c r="A155" s="87">
        <v>43777</v>
      </c>
      <c r="B155" s="88">
        <v>-1.091107582334568E-3</v>
      </c>
      <c r="C155" s="88">
        <v>-5.2102834654069877E-3</v>
      </c>
      <c r="D155" s="88">
        <v>1.5488670554738794E-3</v>
      </c>
      <c r="E155" s="88">
        <v>7.1448504000628972E-3</v>
      </c>
      <c r="F155" s="88">
        <v>-1.1299555253933394E-2</v>
      </c>
      <c r="G155" s="88">
        <v>1.3399838229238852E-3</v>
      </c>
      <c r="H155" s="88">
        <v>2.6288479904087364E-2</v>
      </c>
      <c r="I155" s="88">
        <v>-1.4029182996843179E-3</v>
      </c>
      <c r="J155" s="88">
        <v>0</v>
      </c>
      <c r="K155" s="88">
        <v>1.2746974320005163E-3</v>
      </c>
      <c r="L155" s="88">
        <v>0</v>
      </c>
      <c r="M155" s="88">
        <v>-5.6313772385065287E-3</v>
      </c>
      <c r="N155" s="88">
        <v>0</v>
      </c>
      <c r="O155" s="88">
        <v>-1.1661939747842975E-2</v>
      </c>
      <c r="P155" s="88">
        <v>-6.9204428445737952E-3</v>
      </c>
      <c r="Q155" s="89">
        <v>-5.5127694164245761E-3</v>
      </c>
      <c r="R155" s="52"/>
      <c r="S155" s="52"/>
      <c r="T155" s="52"/>
      <c r="U155" s="52"/>
      <c r="V155" s="52"/>
      <c r="W155" s="52"/>
    </row>
    <row r="156" spans="1:23">
      <c r="A156" s="87">
        <v>43780</v>
      </c>
      <c r="B156" s="88">
        <v>-6.9381326339015125E-3</v>
      </c>
      <c r="C156" s="88">
        <v>2.9806281381377199E-3</v>
      </c>
      <c r="D156" s="88">
        <v>-3.1001368220642807E-3</v>
      </c>
      <c r="E156" s="88">
        <v>-1.0459770562685385E-2</v>
      </c>
      <c r="F156" s="88">
        <v>-1.1428695823622744E-2</v>
      </c>
      <c r="G156" s="88">
        <v>-5.5203422546814783E-3</v>
      </c>
      <c r="H156" s="88">
        <v>-1.0816658707410232E-3</v>
      </c>
      <c r="I156" s="88">
        <v>-1.5278271441792578E-2</v>
      </c>
      <c r="J156" s="88">
        <v>-2.6386755173194887E-2</v>
      </c>
      <c r="K156" s="88">
        <v>5.0826030634658096E-3</v>
      </c>
      <c r="L156" s="88">
        <v>1.0810916104215676E-2</v>
      </c>
      <c r="M156" s="88">
        <v>-8.5799988288745837E-3</v>
      </c>
      <c r="N156" s="88">
        <v>0</v>
      </c>
      <c r="O156" s="88">
        <v>0</v>
      </c>
      <c r="P156" s="88">
        <v>0</v>
      </c>
      <c r="Q156" s="89">
        <v>-1.0194147364640076E-2</v>
      </c>
      <c r="R156" s="52"/>
      <c r="S156" s="52"/>
      <c r="T156" s="52"/>
      <c r="U156" s="52"/>
      <c r="V156" s="52"/>
      <c r="W156" s="52"/>
    </row>
    <row r="157" spans="1:23">
      <c r="A157" s="87">
        <v>43781</v>
      </c>
      <c r="B157" s="88">
        <v>8.7559844342689538E-3</v>
      </c>
      <c r="C157" s="88">
        <v>7.437709528446807E-4</v>
      </c>
      <c r="D157" s="88">
        <v>3.1001368220643128E-3</v>
      </c>
      <c r="E157" s="88">
        <v>1.6465794622897292E-2</v>
      </c>
      <c r="F157" s="88">
        <v>4.385188252884941E-2</v>
      </c>
      <c r="G157" s="88">
        <v>7.0071102954288068E-3</v>
      </c>
      <c r="H157" s="88">
        <v>-4.3384015985982417E-3</v>
      </c>
      <c r="I157" s="88">
        <v>9.7880063661629439E-3</v>
      </c>
      <c r="J157" s="88">
        <v>1.0638398205055577E-2</v>
      </c>
      <c r="K157" s="88">
        <v>3.7950709685515343E-3</v>
      </c>
      <c r="L157" s="88">
        <v>2.148228538289605E-3</v>
      </c>
      <c r="M157" s="88">
        <v>2.9167294996134733E-3</v>
      </c>
      <c r="N157" s="88">
        <v>-1.4925650216675593E-2</v>
      </c>
      <c r="O157" s="88">
        <v>5.8479698824231204E-3</v>
      </c>
      <c r="P157" s="88">
        <v>1.7894489876550432E-2</v>
      </c>
      <c r="Q157" s="89">
        <v>1.2262113697130662E-2</v>
      </c>
      <c r="R157" s="52"/>
      <c r="S157" s="52"/>
      <c r="T157" s="52"/>
      <c r="U157" s="52"/>
      <c r="V157" s="52"/>
      <c r="W157" s="52"/>
    </row>
    <row r="158" spans="1:23">
      <c r="A158" s="87">
        <v>43782</v>
      </c>
      <c r="B158" s="88">
        <v>4.9602799833527708E-2</v>
      </c>
      <c r="C158" s="88">
        <v>-7.437709528446524E-4</v>
      </c>
      <c r="D158" s="88">
        <v>-1.4026932670236658E-2</v>
      </c>
      <c r="E158" s="88">
        <v>-2.1798373754208364E-3</v>
      </c>
      <c r="F158" s="88">
        <v>1.0995053334168679E-3</v>
      </c>
      <c r="G158" s="88">
        <v>5.43564928161821E-2</v>
      </c>
      <c r="H158" s="88">
        <v>-3.2661977866210697E-3</v>
      </c>
      <c r="I158" s="88">
        <v>-2.8272566189281212E-3</v>
      </c>
      <c r="J158" s="88">
        <v>-1.323626930508253E-3</v>
      </c>
      <c r="K158" s="88">
        <v>8.799553951848841E-3</v>
      </c>
      <c r="L158" s="88">
        <v>0</v>
      </c>
      <c r="M158" s="88">
        <v>1.6894488898761831E-2</v>
      </c>
      <c r="N158" s="88">
        <v>0</v>
      </c>
      <c r="O158" s="88">
        <v>-8.7848295557329155E-3</v>
      </c>
      <c r="P158" s="88">
        <v>-1.3736479727886839E-2</v>
      </c>
      <c r="Q158" s="89">
        <v>5.1225787015886761E-3</v>
      </c>
      <c r="R158" s="52"/>
      <c r="S158" s="52"/>
      <c r="T158" s="52"/>
      <c r="U158" s="52"/>
      <c r="V158" s="52"/>
      <c r="W158" s="52"/>
    </row>
    <row r="159" spans="1:23">
      <c r="A159" s="87">
        <v>43783</v>
      </c>
      <c r="B159" s="88">
        <v>4.5608309581204383E-2</v>
      </c>
      <c r="C159" s="88">
        <v>7.437709528446807E-4</v>
      </c>
      <c r="D159" s="88">
        <v>6.7782729932192422E-3</v>
      </c>
      <c r="E159" s="88">
        <v>1.0905126489659065E-3</v>
      </c>
      <c r="F159" s="88">
        <v>5.7646695099649897E-2</v>
      </c>
      <c r="G159" s="88">
        <v>1.1889083324560998E-2</v>
      </c>
      <c r="H159" s="88">
        <v>-2.1834069809435063E-3</v>
      </c>
      <c r="I159" s="88">
        <v>1.3777808274582012E-2</v>
      </c>
      <c r="J159" s="88">
        <v>3.9656363933468853E-3</v>
      </c>
      <c r="K159" s="88">
        <v>2.594339449202402E-2</v>
      </c>
      <c r="L159" s="88">
        <v>-1.0787591128997352E-2</v>
      </c>
      <c r="M159" s="88">
        <v>-5.5998423309939734E-3</v>
      </c>
      <c r="N159" s="88">
        <v>1.4925650216675574E-2</v>
      </c>
      <c r="O159" s="88">
        <v>8.7848295557328114E-3</v>
      </c>
      <c r="P159" s="88">
        <v>-1.6736792355523864E-2</v>
      </c>
      <c r="Q159" s="89">
        <v>2.1480065054703405E-2</v>
      </c>
      <c r="R159" s="52"/>
      <c r="S159" s="52"/>
      <c r="T159" s="52"/>
      <c r="U159" s="52"/>
      <c r="V159" s="52"/>
      <c r="W159" s="52"/>
    </row>
    <row r="160" spans="1:23">
      <c r="A160" s="87">
        <v>43784</v>
      </c>
      <c r="B160" s="88">
        <v>-4.0436775903929467E-2</v>
      </c>
      <c r="C160" s="88">
        <v>-5.9657149339962775E-3</v>
      </c>
      <c r="D160" s="88">
        <v>4.6658802052063509E-3</v>
      </c>
      <c r="E160" s="88">
        <v>1.1917800864035103E-2</v>
      </c>
      <c r="F160" s="88">
        <v>-9.3799541298153332E-3</v>
      </c>
      <c r="G160" s="88">
        <v>6.5137781416851909E-3</v>
      </c>
      <c r="H160" s="88">
        <v>-2.1881846805527827E-3</v>
      </c>
      <c r="I160" s="88">
        <v>5.4306336904887623E-3</v>
      </c>
      <c r="J160" s="88">
        <v>-1.194440212515218E-2</v>
      </c>
      <c r="K160" s="88">
        <v>0</v>
      </c>
      <c r="L160" s="88">
        <v>0</v>
      </c>
      <c r="M160" s="88">
        <v>0</v>
      </c>
      <c r="N160" s="88">
        <v>-7.4349784875180902E-3</v>
      </c>
      <c r="O160" s="88">
        <v>2.9112102074583131E-3</v>
      </c>
      <c r="P160" s="88">
        <v>4.2105325363434578E-3</v>
      </c>
      <c r="Q160" s="89">
        <v>-5.182876599562714E-3</v>
      </c>
      <c r="R160" s="52"/>
      <c r="S160" s="52"/>
      <c r="T160" s="52"/>
      <c r="U160" s="52"/>
      <c r="V160" s="52"/>
      <c r="W160" s="52"/>
    </row>
    <row r="161" spans="1:23">
      <c r="A161" s="87">
        <v>43787</v>
      </c>
      <c r="B161" s="88">
        <v>-1.3850636933898937E-2</v>
      </c>
      <c r="C161" s="88">
        <v>0</v>
      </c>
      <c r="D161" s="88">
        <v>1.1314665041065783E-2</v>
      </c>
      <c r="E161" s="88">
        <v>1.6142053545412009E-3</v>
      </c>
      <c r="F161" s="88">
        <v>1.6615127810594595E-2</v>
      </c>
      <c r="G161" s="88">
        <v>-6.5137781416852308E-3</v>
      </c>
      <c r="H161" s="88">
        <v>7.63778944811732E-3</v>
      </c>
      <c r="I161" s="88">
        <v>0</v>
      </c>
      <c r="J161" s="88">
        <v>-5.3547651376599156E-3</v>
      </c>
      <c r="K161" s="88">
        <v>8.5003547653925253E-3</v>
      </c>
      <c r="L161" s="88">
        <v>-1.0905233482262468E-2</v>
      </c>
      <c r="M161" s="88">
        <v>2.8756310254618041E-3</v>
      </c>
      <c r="N161" s="88">
        <v>0</v>
      </c>
      <c r="O161" s="88">
        <v>3.709412440624079E-2</v>
      </c>
      <c r="P161" s="88">
        <v>1.3908430046131931E-2</v>
      </c>
      <c r="Q161" s="89">
        <v>3.4394715700123649E-3</v>
      </c>
      <c r="R161" s="52"/>
      <c r="S161" s="52"/>
      <c r="T161" s="52"/>
      <c r="U161" s="52"/>
      <c r="V161" s="52"/>
      <c r="W161" s="52"/>
    </row>
    <row r="162" spans="1:23">
      <c r="A162" s="87">
        <v>43788</v>
      </c>
      <c r="B162" s="88">
        <v>-6.6468672216026875E-3</v>
      </c>
      <c r="C162" s="88">
        <v>9.6762943305319891E-3</v>
      </c>
      <c r="D162" s="88">
        <v>3.0637278866491586E-3</v>
      </c>
      <c r="E162" s="88">
        <v>-1.0758473334632364E-3</v>
      </c>
      <c r="F162" s="88">
        <v>1.4315172880764048E-2</v>
      </c>
      <c r="G162" s="88">
        <v>1.8187329642944991E-2</v>
      </c>
      <c r="H162" s="88">
        <v>8.6580627431145311E-3</v>
      </c>
      <c r="I162" s="88">
        <v>2.7735422023148965E-3</v>
      </c>
      <c r="J162" s="88">
        <v>-6.7340321813440683E-3</v>
      </c>
      <c r="K162" s="88">
        <v>1.5597196813667988E-2</v>
      </c>
      <c r="L162" s="88">
        <v>6.5574005461590396E-3</v>
      </c>
      <c r="M162" s="88">
        <v>1.3972283195016115E-2</v>
      </c>
      <c r="N162" s="88">
        <v>0</v>
      </c>
      <c r="O162" s="88">
        <v>2.7972046210612191E-3</v>
      </c>
      <c r="P162" s="88">
        <v>0</v>
      </c>
      <c r="Q162" s="89">
        <v>5.702562516374781E-3</v>
      </c>
      <c r="R162" s="52"/>
      <c r="S162" s="52"/>
      <c r="T162" s="52"/>
      <c r="U162" s="52"/>
      <c r="V162" s="52"/>
      <c r="W162" s="52"/>
    </row>
    <row r="163" spans="1:23">
      <c r="A163" s="87">
        <v>43789</v>
      </c>
      <c r="B163" s="88">
        <v>-1.7348638334612976E-2</v>
      </c>
      <c r="C163" s="88">
        <v>3.0636969461889801E-2</v>
      </c>
      <c r="D163" s="88">
        <v>8.5288363475205017E-3</v>
      </c>
      <c r="E163" s="88">
        <v>-4.3150013014132361E-3</v>
      </c>
      <c r="F163" s="88">
        <v>-2.0513539833103018E-2</v>
      </c>
      <c r="G163" s="88">
        <v>1.5310914908898896E-2</v>
      </c>
      <c r="H163" s="88">
        <v>1.0770060276379661E-3</v>
      </c>
      <c r="I163" s="88">
        <v>1.6072878464045814E-2</v>
      </c>
      <c r="J163" s="88">
        <v>-2.7063615977430252E-3</v>
      </c>
      <c r="K163" s="88">
        <v>9.4787439545437387E-3</v>
      </c>
      <c r="L163" s="88">
        <v>0</v>
      </c>
      <c r="M163" s="88">
        <v>1.3779745598017593E-2</v>
      </c>
      <c r="N163" s="88">
        <v>-2.6466573188163287E-2</v>
      </c>
      <c r="O163" s="88">
        <v>-8.4151969252845849E-3</v>
      </c>
      <c r="P163" s="88">
        <v>0</v>
      </c>
      <c r="Q163" s="89">
        <v>-3.3637220992476778E-3</v>
      </c>
      <c r="R163" s="52"/>
      <c r="S163" s="52"/>
      <c r="T163" s="52"/>
      <c r="U163" s="52"/>
      <c r="V163" s="52"/>
      <c r="W163" s="52"/>
    </row>
    <row r="164" spans="1:23">
      <c r="A164" s="87">
        <v>43790</v>
      </c>
      <c r="B164" s="88">
        <v>8.5349024498372859E-3</v>
      </c>
      <c r="C164" s="88">
        <v>-8.6580627431145415E-3</v>
      </c>
      <c r="D164" s="88">
        <v>-4.9663103139171881E-3</v>
      </c>
      <c r="E164" s="88">
        <v>-3.0180617149991287E-2</v>
      </c>
      <c r="F164" s="88">
        <v>-5.1948168771040228E-3</v>
      </c>
      <c r="G164" s="88">
        <v>8.7021099385322809E-3</v>
      </c>
      <c r="H164" s="88">
        <v>-1.0822616458151416E-2</v>
      </c>
      <c r="I164" s="88">
        <v>-1.2064857066506866E-2</v>
      </c>
      <c r="J164" s="88">
        <v>-5.4347959859569446E-3</v>
      </c>
      <c r="K164" s="88">
        <v>-1.5448910941047713E-2</v>
      </c>
      <c r="L164" s="88">
        <v>-4.3668191663404025E-3</v>
      </c>
      <c r="M164" s="88">
        <v>0</v>
      </c>
      <c r="N164" s="88">
        <v>0</v>
      </c>
      <c r="O164" s="88">
        <v>1.6760168857465101E-2</v>
      </c>
      <c r="P164" s="88">
        <v>4.1350851478030174E-3</v>
      </c>
      <c r="Q164" s="89">
        <v>-7.8703274733799167E-3</v>
      </c>
      <c r="R164" s="52"/>
      <c r="S164" s="52"/>
      <c r="T164" s="52"/>
      <c r="U164" s="52"/>
      <c r="V164" s="52"/>
      <c r="W164" s="52"/>
    </row>
    <row r="165" spans="1:23">
      <c r="A165" s="87">
        <v>43791</v>
      </c>
      <c r="B165" s="88">
        <v>2.3448143403213381E-2</v>
      </c>
      <c r="C165" s="88">
        <v>5.7803629154995493E-3</v>
      </c>
      <c r="D165" s="88">
        <v>1.5025745307095039E-2</v>
      </c>
      <c r="E165" s="88">
        <v>-1.4025475354504434E-2</v>
      </c>
      <c r="F165" s="88">
        <v>-2.0855064910213707E-3</v>
      </c>
      <c r="G165" s="88">
        <v>-3.0450962294746135E-2</v>
      </c>
      <c r="H165" s="88">
        <v>1.7260406932999992E-2</v>
      </c>
      <c r="I165" s="88">
        <v>0</v>
      </c>
      <c r="J165" s="88">
        <v>1.7556156518301818E-2</v>
      </c>
      <c r="K165" s="88">
        <v>-6.006024060211698E-3</v>
      </c>
      <c r="L165" s="88">
        <v>6.5430985889358868E-3</v>
      </c>
      <c r="M165" s="88">
        <v>5.4313899972069195E-3</v>
      </c>
      <c r="N165" s="88">
        <v>1.8975901459005604E-2</v>
      </c>
      <c r="O165" s="88">
        <v>5.5248759319698072E-3</v>
      </c>
      <c r="P165" s="88">
        <v>-3.0728674721250713E-2</v>
      </c>
      <c r="Q165" s="89">
        <v>8.9142919387010036E-3</v>
      </c>
      <c r="R165" s="52"/>
      <c r="S165" s="52"/>
      <c r="T165" s="52"/>
      <c r="U165" s="52"/>
      <c r="V165" s="52"/>
      <c r="W165" s="52"/>
    </row>
    <row r="166" spans="1:23">
      <c r="A166" s="87">
        <v>43794</v>
      </c>
      <c r="B166" s="88">
        <v>2.3248910383863518E-2</v>
      </c>
      <c r="C166" s="88">
        <v>5.030553188716114E-3</v>
      </c>
      <c r="D166" s="88">
        <v>7.9753189151259632E-3</v>
      </c>
      <c r="E166" s="88">
        <v>5.9227834200333535E-2</v>
      </c>
      <c r="F166" s="88">
        <v>1.2448293526568082E-2</v>
      </c>
      <c r="G166" s="88">
        <v>-1.4394712220652023E-2</v>
      </c>
      <c r="H166" s="88">
        <v>-6.4377904748485299E-3</v>
      </c>
      <c r="I166" s="88">
        <v>1.3783599701213596E-3</v>
      </c>
      <c r="J166" s="88">
        <v>1.0652564116207309E-2</v>
      </c>
      <c r="K166" s="88">
        <v>0</v>
      </c>
      <c r="L166" s="88">
        <v>0</v>
      </c>
      <c r="M166" s="88">
        <v>5.5401803756153509E-3</v>
      </c>
      <c r="N166" s="88">
        <v>-1.5151805020602333E-2</v>
      </c>
      <c r="O166" s="88">
        <v>-8.2988028146950658E-3</v>
      </c>
      <c r="P166" s="88">
        <v>1.2685159527315642E-2</v>
      </c>
      <c r="Q166" s="89">
        <v>7.7450890927945465E-3</v>
      </c>
      <c r="R166" s="52"/>
      <c r="S166" s="52"/>
      <c r="T166" s="52"/>
      <c r="U166" s="52"/>
      <c r="V166" s="52"/>
      <c r="W166" s="52"/>
    </row>
    <row r="167" spans="1:23">
      <c r="A167" s="87">
        <v>43795</v>
      </c>
      <c r="B167" s="88">
        <v>6.4005608437447551E-3</v>
      </c>
      <c r="C167" s="88">
        <v>-1.7354014693151506E-2</v>
      </c>
      <c r="D167" s="88">
        <v>8.8968558377367172E-3</v>
      </c>
      <c r="E167" s="88">
        <v>-2.1529356852575988E-2</v>
      </c>
      <c r="F167" s="88">
        <v>-2.8229788863971025E-2</v>
      </c>
      <c r="G167" s="88">
        <v>-1.587892563914672E-2</v>
      </c>
      <c r="H167" s="88">
        <v>-1.3001266557373629E-2</v>
      </c>
      <c r="I167" s="88">
        <v>-1.2195273093818243E-2</v>
      </c>
      <c r="J167" s="88">
        <v>-1.3253812410685707E-3</v>
      </c>
      <c r="K167" s="88">
        <v>0</v>
      </c>
      <c r="L167" s="88">
        <v>0</v>
      </c>
      <c r="M167" s="88">
        <v>1.0989121575595165E-2</v>
      </c>
      <c r="N167" s="88">
        <v>1.1385322225125429E-2</v>
      </c>
      <c r="O167" s="88">
        <v>-8.3682496705166903E-3</v>
      </c>
      <c r="P167" s="88">
        <v>1.3995803544232636E-3</v>
      </c>
      <c r="Q167" s="89">
        <v>-7.1169906401482392E-3</v>
      </c>
      <c r="R167" s="52"/>
      <c r="S167" s="52"/>
      <c r="T167" s="52"/>
      <c r="U167" s="52"/>
      <c r="V167" s="52"/>
      <c r="W167" s="52"/>
    </row>
    <row r="168" spans="1:23">
      <c r="A168" s="87">
        <v>43796</v>
      </c>
      <c r="B168" s="88">
        <v>1.665040131338508E-2</v>
      </c>
      <c r="C168" s="88">
        <v>4.3668191663403895E-3</v>
      </c>
      <c r="D168" s="88">
        <v>2.2383184366765365E-2</v>
      </c>
      <c r="E168" s="88">
        <v>1.672550453993053E-2</v>
      </c>
      <c r="F168" s="88">
        <v>-3.1864073694078689E-3</v>
      </c>
      <c r="G168" s="88">
        <v>2.6556417361432674E-2</v>
      </c>
      <c r="H168" s="88">
        <v>1.3001266557373502E-2</v>
      </c>
      <c r="I168" s="88">
        <v>-1.7866410392242914E-2</v>
      </c>
      <c r="J168" s="88">
        <v>-2.6560440581162963E-3</v>
      </c>
      <c r="K168" s="88">
        <v>-3.6210057669524049E-3</v>
      </c>
      <c r="L168" s="88">
        <v>0</v>
      </c>
      <c r="M168" s="88">
        <v>2.9611854046644438E-2</v>
      </c>
      <c r="N168" s="88">
        <v>7.518832414027319E-3</v>
      </c>
      <c r="O168" s="88">
        <v>2.7972046210612191E-3</v>
      </c>
      <c r="P168" s="88">
        <v>-5.610112890766788E-3</v>
      </c>
      <c r="Q168" s="89">
        <v>3.5480676768424768E-3</v>
      </c>
      <c r="R168" s="52"/>
      <c r="S168" s="52"/>
      <c r="T168" s="52"/>
      <c r="U168" s="52"/>
      <c r="V168" s="52"/>
      <c r="W168" s="52"/>
    </row>
    <row r="169" spans="1:23">
      <c r="A169" s="87">
        <v>43797</v>
      </c>
      <c r="B169" s="88">
        <v>-2.6455041884241655E-3</v>
      </c>
      <c r="C169" s="88">
        <v>-2.9090929606837243E-3</v>
      </c>
      <c r="D169" s="88">
        <v>5.2490729423112371E-2</v>
      </c>
      <c r="E169" s="88">
        <v>-9.1373922494382611E-3</v>
      </c>
      <c r="F169" s="88">
        <v>2.2094533706242862E-2</v>
      </c>
      <c r="G169" s="88">
        <v>-9.7020858064505913E-3</v>
      </c>
      <c r="H169" s="88">
        <v>0</v>
      </c>
      <c r="I169" s="88">
        <v>2.7303061046981568E-2</v>
      </c>
      <c r="J169" s="88">
        <v>-2.6631174194836618E-3</v>
      </c>
      <c r="K169" s="88">
        <v>-1.2165600163688364E-2</v>
      </c>
      <c r="L169" s="88">
        <v>-8.7336799687545534E-3</v>
      </c>
      <c r="M169" s="88">
        <v>-2.6560440581162963E-3</v>
      </c>
      <c r="N169" s="88">
        <v>-1.1299555253933394E-2</v>
      </c>
      <c r="O169" s="88">
        <v>2.7894020875785922E-3</v>
      </c>
      <c r="P169" s="88">
        <v>0</v>
      </c>
      <c r="Q169" s="89">
        <v>5.2597096929798198E-3</v>
      </c>
      <c r="R169" s="52"/>
      <c r="S169" s="52"/>
      <c r="T169" s="52"/>
      <c r="U169" s="52"/>
      <c r="V169" s="52"/>
      <c r="W169" s="52"/>
    </row>
    <row r="170" spans="1:23">
      <c r="A170" s="87">
        <v>43798</v>
      </c>
      <c r="B170" s="88">
        <v>1.9847839793859824E-3</v>
      </c>
      <c r="C170" s="88">
        <v>-6.5765673645636017E-3</v>
      </c>
      <c r="D170" s="88">
        <v>1.8008721612505729E-2</v>
      </c>
      <c r="E170" s="88">
        <v>-1.7429635135283648E-2</v>
      </c>
      <c r="F170" s="88">
        <v>-5.2164959188912121E-3</v>
      </c>
      <c r="G170" s="88">
        <v>2.7816429618767705E-3</v>
      </c>
      <c r="H170" s="88">
        <v>-7.5635152572445076E-3</v>
      </c>
      <c r="I170" s="88">
        <v>6.7451560024508264E-3</v>
      </c>
      <c r="J170" s="88">
        <v>-6.6889881507965401E-3</v>
      </c>
      <c r="K170" s="88">
        <v>2.6571611607203297E-2</v>
      </c>
      <c r="L170" s="88">
        <v>4.3763745997987815E-3</v>
      </c>
      <c r="M170" s="88">
        <v>2.6560440581162104E-3</v>
      </c>
      <c r="N170" s="88">
        <v>-1.1428695823622631E-2</v>
      </c>
      <c r="O170" s="88">
        <v>2.7816429618767705E-3</v>
      </c>
      <c r="P170" s="88">
        <v>-8.4746269909722321E-3</v>
      </c>
      <c r="Q170" s="89">
        <v>2.031832734226852E-3</v>
      </c>
      <c r="R170" s="52"/>
      <c r="S170" s="52"/>
      <c r="T170" s="52"/>
      <c r="U170" s="52"/>
      <c r="V170" s="52"/>
      <c r="W170" s="52"/>
    </row>
    <row r="171" spans="1:23">
      <c r="A171" s="87">
        <v>43801</v>
      </c>
      <c r="B171" s="88">
        <v>-1.8679662551555946E-2</v>
      </c>
      <c r="C171" s="88">
        <v>-5.8823699030665245E-3</v>
      </c>
      <c r="D171" s="88">
        <v>-8.1045018119389588E-3</v>
      </c>
      <c r="E171" s="88">
        <v>0</v>
      </c>
      <c r="F171" s="88">
        <v>-2.6498635774334159E-2</v>
      </c>
      <c r="G171" s="88">
        <v>-1.3986241974739952E-2</v>
      </c>
      <c r="H171" s="88">
        <v>-8.7146521024437755E-3</v>
      </c>
      <c r="I171" s="88">
        <v>2.7401030981788733E-3</v>
      </c>
      <c r="J171" s="88">
        <v>-1.3431835464676259E-3</v>
      </c>
      <c r="K171" s="88">
        <v>-8.3782656459975777E-3</v>
      </c>
      <c r="L171" s="88">
        <v>-1.0977058631150907E-2</v>
      </c>
      <c r="M171" s="88">
        <v>-2.1448543407483627E-2</v>
      </c>
      <c r="N171" s="88">
        <v>0</v>
      </c>
      <c r="O171" s="88">
        <v>-2.781642961876914E-3</v>
      </c>
      <c r="P171" s="88">
        <v>7.0671672230923528E-3</v>
      </c>
      <c r="Q171" s="89">
        <v>-9.5957940060399771E-3</v>
      </c>
      <c r="R171" s="52"/>
      <c r="S171" s="52"/>
      <c r="T171" s="52"/>
      <c r="U171" s="52"/>
      <c r="V171" s="52"/>
      <c r="W171" s="52"/>
    </row>
    <row r="172" spans="1:23">
      <c r="A172" s="87">
        <v>43802</v>
      </c>
      <c r="B172" s="88">
        <v>-1.1513842062339139E-2</v>
      </c>
      <c r="C172" s="88">
        <v>-3.694130540142046E-3</v>
      </c>
      <c r="D172" s="88">
        <v>-1.5398236000639404E-2</v>
      </c>
      <c r="E172" s="88">
        <v>-2.7856954502966224E-2</v>
      </c>
      <c r="F172" s="88">
        <v>-2.2814677766171399E-2</v>
      </c>
      <c r="G172" s="88">
        <v>-8.4866138773186939E-3</v>
      </c>
      <c r="H172" s="88">
        <v>4.3668191663403895E-3</v>
      </c>
      <c r="I172" s="88">
        <v>-8.1049966316712168E-3</v>
      </c>
      <c r="J172" s="88">
        <v>0</v>
      </c>
      <c r="K172" s="88">
        <v>4.7961722634930135E-3</v>
      </c>
      <c r="L172" s="88">
        <v>-4.4247859803555837E-3</v>
      </c>
      <c r="M172" s="88">
        <v>-5.4347959859569446E-3</v>
      </c>
      <c r="N172" s="88">
        <v>7.6336248550712051E-3</v>
      </c>
      <c r="O172" s="88">
        <v>-5.5866067086398231E-3</v>
      </c>
      <c r="P172" s="88">
        <v>8.4151969252844981E-3</v>
      </c>
      <c r="Q172" s="89">
        <v>-1.3177589587091653E-2</v>
      </c>
      <c r="R172" s="52"/>
      <c r="S172" s="52"/>
      <c r="T172" s="52"/>
      <c r="U172" s="52"/>
      <c r="V172" s="52"/>
      <c r="W172" s="52"/>
    </row>
    <row r="173" spans="1:23">
      <c r="A173" s="87">
        <v>43803</v>
      </c>
      <c r="B173" s="88">
        <v>1.0212766845111544E-3</v>
      </c>
      <c r="C173" s="88">
        <v>2.9563953536025232E-3</v>
      </c>
      <c r="D173" s="88">
        <v>9.1399959932140038E-3</v>
      </c>
      <c r="E173" s="88">
        <v>4.3124426633754619E-2</v>
      </c>
      <c r="F173" s="88">
        <v>6.571765163234519E-3</v>
      </c>
      <c r="G173" s="88">
        <v>1.5504186535965254E-2</v>
      </c>
      <c r="H173" s="88">
        <v>-2.1810259463601145E-3</v>
      </c>
      <c r="I173" s="88">
        <v>-1.7672483870366625E-2</v>
      </c>
      <c r="J173" s="88">
        <v>-6.7431138848901969E-3</v>
      </c>
      <c r="K173" s="88">
        <v>3.178607799872657E-2</v>
      </c>
      <c r="L173" s="88">
        <v>4.4247859803556357E-3</v>
      </c>
      <c r="M173" s="88">
        <v>0</v>
      </c>
      <c r="N173" s="88">
        <v>-1.1472401162236807E-2</v>
      </c>
      <c r="O173" s="88">
        <v>2.7972046210612191E-3</v>
      </c>
      <c r="P173" s="88">
        <v>-1.3976242666379726E-3</v>
      </c>
      <c r="Q173" s="89">
        <v>8.3618196086915376E-3</v>
      </c>
      <c r="R173" s="52"/>
      <c r="S173" s="52"/>
      <c r="T173" s="52"/>
      <c r="U173" s="52"/>
      <c r="V173" s="52"/>
      <c r="W173" s="52"/>
    </row>
    <row r="174" spans="1:23">
      <c r="A174" s="87">
        <v>43804</v>
      </c>
      <c r="B174" s="88">
        <v>-1.3619341567205467E-3</v>
      </c>
      <c r="C174" s="88">
        <v>-5.9215569034373212E-3</v>
      </c>
      <c r="D174" s="88">
        <v>1.8180170446908258E-3</v>
      </c>
      <c r="E174" s="88">
        <v>-4.3384015985982417E-3</v>
      </c>
      <c r="F174" s="88">
        <v>-2.8794901947944755E-2</v>
      </c>
      <c r="G174" s="88">
        <v>1.1126679464757053E-2</v>
      </c>
      <c r="H174" s="88">
        <v>-1.0922993986089273E-3</v>
      </c>
      <c r="I174" s="88">
        <v>-6.9028942129278825E-3</v>
      </c>
      <c r="J174" s="88">
        <v>-8.1522190615502706E-3</v>
      </c>
      <c r="K174" s="88">
        <v>-1.282816425411234E-2</v>
      </c>
      <c r="L174" s="88">
        <v>-6.6445427186685013E-3</v>
      </c>
      <c r="M174" s="88">
        <v>5.4347959859569949E-3</v>
      </c>
      <c r="N174" s="88">
        <v>-7.7220460939102778E-3</v>
      </c>
      <c r="O174" s="88">
        <v>-1.1236073266925842E-2</v>
      </c>
      <c r="P174" s="88">
        <v>-1.3995803544232435E-3</v>
      </c>
      <c r="Q174" s="89">
        <v>-1.1441629981258611E-2</v>
      </c>
      <c r="R174" s="52"/>
      <c r="S174" s="52"/>
      <c r="T174" s="52"/>
      <c r="U174" s="52"/>
      <c r="V174" s="52"/>
      <c r="W174" s="52"/>
    </row>
    <row r="175" spans="1:23">
      <c r="A175" s="87">
        <v>43805</v>
      </c>
      <c r="B175" s="88">
        <v>3.4013638234902605E-3</v>
      </c>
      <c r="C175" s="88">
        <v>-1.4205846373984945E-2</v>
      </c>
      <c r="D175" s="88">
        <v>-1.8180170446906725E-3</v>
      </c>
      <c r="E175" s="88">
        <v>-2.2534616652498153E-2</v>
      </c>
      <c r="F175" s="88">
        <v>-1.8141087070650038E-2</v>
      </c>
      <c r="G175" s="88">
        <v>2.7624326959100796E-3</v>
      </c>
      <c r="H175" s="88">
        <v>1.0869672236903891E-2</v>
      </c>
      <c r="I175" s="88">
        <v>1.4126291372981883E-3</v>
      </c>
      <c r="J175" s="88">
        <v>-9.5956870618554378E-3</v>
      </c>
      <c r="K175" s="88">
        <v>-2.6160826038671935E-2</v>
      </c>
      <c r="L175" s="88">
        <v>-1.3423020332140774E-2</v>
      </c>
      <c r="M175" s="88">
        <v>-2.7137058715961618E-3</v>
      </c>
      <c r="N175" s="88">
        <v>-3.883500026397633E-3</v>
      </c>
      <c r="O175" s="88">
        <v>1.123607326692597E-2</v>
      </c>
      <c r="P175" s="88">
        <v>-1.4015419252884445E-3</v>
      </c>
      <c r="Q175" s="89">
        <v>-6.1195089873582534E-3</v>
      </c>
      <c r="R175" s="52"/>
      <c r="S175" s="52"/>
      <c r="T175" s="52"/>
      <c r="U175" s="52"/>
      <c r="V175" s="52"/>
      <c r="W175" s="52"/>
    </row>
    <row r="176" spans="1:23">
      <c r="A176" s="87">
        <v>43808</v>
      </c>
      <c r="B176" s="88">
        <v>2.7127856582357468E-3</v>
      </c>
      <c r="C176" s="88">
        <v>2.2564883587326097E-3</v>
      </c>
      <c r="D176" s="88">
        <v>-6.3892148711720102E-3</v>
      </c>
      <c r="E176" s="88">
        <v>-9.4946259197783382E-3</v>
      </c>
      <c r="F176" s="88">
        <v>-2.432082816385632E-2</v>
      </c>
      <c r="G176" s="88">
        <v>9.6088591066368894E-3</v>
      </c>
      <c r="H176" s="88">
        <v>-1.9651287397288615E-2</v>
      </c>
      <c r="I176" s="88">
        <v>0</v>
      </c>
      <c r="J176" s="88">
        <v>8.2304991365154435E-3</v>
      </c>
      <c r="K176" s="88">
        <v>-1.9465334788103351E-2</v>
      </c>
      <c r="L176" s="88">
        <v>-1.13251493570534E-2</v>
      </c>
      <c r="M176" s="88">
        <v>-1.3680103904080266E-2</v>
      </c>
      <c r="N176" s="88">
        <v>-1.1741817876683287E-2</v>
      </c>
      <c r="O176" s="88">
        <v>-5.6022555486698981E-3</v>
      </c>
      <c r="P176" s="88">
        <v>-5.6258938821684371E-3</v>
      </c>
      <c r="Q176" s="89">
        <v>-1.086954707845336E-2</v>
      </c>
      <c r="R176" s="52"/>
      <c r="S176" s="52"/>
      <c r="T176" s="52"/>
      <c r="U176" s="52"/>
      <c r="V176" s="52"/>
      <c r="W176" s="52"/>
    </row>
    <row r="177" spans="1:23">
      <c r="A177" s="87">
        <v>43809</v>
      </c>
      <c r="B177" s="88">
        <v>-4.7522153250052898E-3</v>
      </c>
      <c r="C177" s="88">
        <v>-1.3615944092315421E-2</v>
      </c>
      <c r="D177" s="88">
        <v>1.0837499633357835E-2</v>
      </c>
      <c r="E177" s="88">
        <v>-9.585638663357602E-3</v>
      </c>
      <c r="F177" s="88">
        <v>3.5108286500630209E-3</v>
      </c>
      <c r="G177" s="88">
        <v>9.5174069868901711E-3</v>
      </c>
      <c r="H177" s="88">
        <v>-6.6371925067987298E-3</v>
      </c>
      <c r="I177" s="88">
        <v>2.0538619272227686E-2</v>
      </c>
      <c r="J177" s="88">
        <v>-1.7919156240264834E-2</v>
      </c>
      <c r="K177" s="88">
        <v>-6.1614489440486872E-3</v>
      </c>
      <c r="L177" s="88">
        <v>-9.1533819864872482E-3</v>
      </c>
      <c r="M177" s="88">
        <v>-8.2988028146950658E-3</v>
      </c>
      <c r="N177" s="88">
        <v>3.1010236742560218E-2</v>
      </c>
      <c r="O177" s="88">
        <v>-2.8129413766147236E-3</v>
      </c>
      <c r="P177" s="88">
        <v>1.4094435032336039E-3</v>
      </c>
      <c r="Q177" s="89">
        <v>-2.4341629229657521E-3</v>
      </c>
      <c r="R177" s="52"/>
      <c r="S177" s="52"/>
      <c r="T177" s="52"/>
      <c r="U177" s="52"/>
      <c r="V177" s="52"/>
      <c r="W177" s="52"/>
    </row>
    <row r="178" spans="1:23">
      <c r="A178" s="87">
        <v>43810</v>
      </c>
      <c r="B178" s="88">
        <v>5.7676156491750273E-3</v>
      </c>
      <c r="C178" s="88">
        <v>1.5867352172772804E-2</v>
      </c>
      <c r="D178" s="88">
        <v>3.8209890292330288E-2</v>
      </c>
      <c r="E178" s="88">
        <v>4.1071255236924065E-2</v>
      </c>
      <c r="F178" s="88">
        <v>4.4553342133113211E-2</v>
      </c>
      <c r="G178" s="88">
        <v>1.3522652500137541E-3</v>
      </c>
      <c r="H178" s="88">
        <v>3.1679328538963852E-2</v>
      </c>
      <c r="I178" s="88">
        <v>2.6241296737685884E-3</v>
      </c>
      <c r="J178" s="88">
        <v>1.5183176421390028E-2</v>
      </c>
      <c r="K178" s="88">
        <v>1.1063419544255354E-2</v>
      </c>
      <c r="L178" s="88">
        <v>1.142869582362285E-2</v>
      </c>
      <c r="M178" s="88">
        <v>2.4692612590371414E-2</v>
      </c>
      <c r="N178" s="88">
        <v>-1.5384918839479343E-2</v>
      </c>
      <c r="O178" s="88">
        <v>0</v>
      </c>
      <c r="P178" s="88">
        <v>5.6179923042232738E-3</v>
      </c>
      <c r="Q178" s="89">
        <v>2.5539446006213346E-2</v>
      </c>
      <c r="R178" s="52"/>
      <c r="S178" s="52"/>
      <c r="T178" s="52"/>
      <c r="U178" s="52"/>
      <c r="V178" s="52"/>
      <c r="W178" s="52"/>
    </row>
    <row r="179" spans="1:23">
      <c r="A179" s="87">
        <v>43811</v>
      </c>
      <c r="B179" s="88">
        <v>-5.0873435140973734E-3</v>
      </c>
      <c r="C179" s="88">
        <v>-9.7929219532436017E-3</v>
      </c>
      <c r="D179" s="88">
        <v>2.1561853007587155E-2</v>
      </c>
      <c r="E179" s="88">
        <v>1.9386713800190084E-2</v>
      </c>
      <c r="F179" s="88">
        <v>-1.1179431013412834E-3</v>
      </c>
      <c r="G179" s="88">
        <v>-2.7398974188114503E-2</v>
      </c>
      <c r="H179" s="88">
        <v>0</v>
      </c>
      <c r="I179" s="88">
        <v>0</v>
      </c>
      <c r="J179" s="88">
        <v>-8.2531417567204141E-3</v>
      </c>
      <c r="K179" s="88">
        <v>-1.353866833279818E-2</v>
      </c>
      <c r="L179" s="88">
        <v>-4.5558165358608018E-3</v>
      </c>
      <c r="M179" s="88">
        <v>0</v>
      </c>
      <c r="N179" s="88">
        <v>-7.7821404420549628E-3</v>
      </c>
      <c r="O179" s="88">
        <v>0</v>
      </c>
      <c r="P179" s="88">
        <v>1.5288692515090336E-2</v>
      </c>
      <c r="Q179" s="89">
        <v>1.413092250041672E-3</v>
      </c>
      <c r="R179" s="52"/>
      <c r="S179" s="52"/>
      <c r="T179" s="52"/>
      <c r="U179" s="52"/>
      <c r="V179" s="52"/>
      <c r="W179" s="52"/>
    </row>
    <row r="180" spans="1:23">
      <c r="A180" s="87">
        <v>43812</v>
      </c>
      <c r="B180" s="88">
        <v>-1.0205818201724551E-3</v>
      </c>
      <c r="C180" s="88">
        <v>-1.6024761072697225E-2</v>
      </c>
      <c r="D180" s="88">
        <v>1.9434494228652913E-2</v>
      </c>
      <c r="E180" s="88">
        <v>1.3245226750020723E-2</v>
      </c>
      <c r="F180" s="88">
        <v>6.6889881507967101E-3</v>
      </c>
      <c r="G180" s="88">
        <v>-2.781642961876914E-3</v>
      </c>
      <c r="H180" s="88">
        <v>0</v>
      </c>
      <c r="I180" s="88">
        <v>4.8855843457492241E-2</v>
      </c>
      <c r="J180" s="88">
        <v>6.8823396229417376E-3</v>
      </c>
      <c r="K180" s="88">
        <v>2.2059718064732257E-2</v>
      </c>
      <c r="L180" s="88">
        <v>-4.5766670274117547E-3</v>
      </c>
      <c r="M180" s="88">
        <v>-5.4347959859569446E-3</v>
      </c>
      <c r="N180" s="88">
        <v>-3.9138993211363287E-3</v>
      </c>
      <c r="O180" s="88">
        <v>5.6179923042232738E-3</v>
      </c>
      <c r="P180" s="88">
        <v>0</v>
      </c>
      <c r="Q180" s="89">
        <v>6.6093052015272942E-3</v>
      </c>
      <c r="R180" s="52"/>
      <c r="S180" s="52"/>
      <c r="T180" s="52"/>
      <c r="U180" s="52"/>
      <c r="V180" s="52"/>
      <c r="W180" s="52"/>
    </row>
    <row r="181" spans="1:23">
      <c r="A181" s="87">
        <v>43815</v>
      </c>
      <c r="B181" s="88">
        <v>1.2514961245907497E-2</v>
      </c>
      <c r="C181" s="88">
        <v>-6.1728591070809675E-3</v>
      </c>
      <c r="D181" s="88">
        <v>-3.4912017297566163E-2</v>
      </c>
      <c r="E181" s="88">
        <v>-1.5915455305899568E-2</v>
      </c>
      <c r="F181" s="88">
        <v>-3.0459207484708574E-2</v>
      </c>
      <c r="G181" s="88">
        <v>-1.1204599012863132E-2</v>
      </c>
      <c r="H181" s="88">
        <v>-2.173998663640599E-2</v>
      </c>
      <c r="I181" s="88">
        <v>5.1097392539309703E-3</v>
      </c>
      <c r="J181" s="88">
        <v>-5.5020771539834217E-3</v>
      </c>
      <c r="K181" s="88">
        <v>-1.2195273093818243E-2</v>
      </c>
      <c r="L181" s="88">
        <v>1.140263209781177E-2</v>
      </c>
      <c r="M181" s="88">
        <v>0</v>
      </c>
      <c r="N181" s="88">
        <v>0</v>
      </c>
      <c r="O181" s="88">
        <v>-2.8050509276086096E-3</v>
      </c>
      <c r="P181" s="88">
        <v>0</v>
      </c>
      <c r="Q181" s="89">
        <v>-1.164903908008854E-2</v>
      </c>
      <c r="R181" s="52"/>
      <c r="S181" s="52"/>
      <c r="T181" s="52"/>
      <c r="U181" s="52"/>
      <c r="V181" s="52"/>
      <c r="W181" s="52"/>
    </row>
    <row r="182" spans="1:23">
      <c r="A182" s="87">
        <v>43816</v>
      </c>
      <c r="B182" s="88">
        <v>-8.4388686458645949E-3</v>
      </c>
      <c r="C182" s="88">
        <v>2.7482645693831884E-2</v>
      </c>
      <c r="D182" s="88">
        <v>4.4903774029486684E-2</v>
      </c>
      <c r="E182" s="88">
        <v>5.3333459753626029E-3</v>
      </c>
      <c r="F182" s="88">
        <v>-5.7438411792520147E-3</v>
      </c>
      <c r="G182" s="88">
        <v>4.6776064797730908E-2</v>
      </c>
      <c r="H182" s="88">
        <v>2.4960601336448229E-2</v>
      </c>
      <c r="I182" s="88">
        <v>1.3059947004507271E-3</v>
      </c>
      <c r="J182" s="88">
        <v>3.3901551675681416E-2</v>
      </c>
      <c r="K182" s="88">
        <v>1.3406660280115279E-2</v>
      </c>
      <c r="L182" s="88">
        <v>4.5248945982895028E-3</v>
      </c>
      <c r="M182" s="88">
        <v>-5.4644944720787375E-3</v>
      </c>
      <c r="N182" s="88">
        <v>1.5564516541111548E-2</v>
      </c>
      <c r="O182" s="88">
        <v>-2.8129413766147236E-3</v>
      </c>
      <c r="P182" s="88">
        <v>0</v>
      </c>
      <c r="Q182" s="89">
        <v>1.546855233984978E-2</v>
      </c>
      <c r="R182" s="52"/>
      <c r="S182" s="52"/>
      <c r="T182" s="52"/>
      <c r="U182" s="52"/>
      <c r="V182" s="52"/>
      <c r="W182" s="52"/>
    </row>
    <row r="183" spans="1:23">
      <c r="A183" s="87">
        <v>43817</v>
      </c>
      <c r="B183" s="88">
        <v>2.3451661035049882E-2</v>
      </c>
      <c r="C183" s="88">
        <v>3.1136688785791389E-2</v>
      </c>
      <c r="D183" s="88">
        <v>-8.3195155395582761E-3</v>
      </c>
      <c r="E183" s="88">
        <v>2.3134575401656889E-2</v>
      </c>
      <c r="F183" s="88">
        <v>1.0315277711832799E-2</v>
      </c>
      <c r="G183" s="88">
        <v>5.7457055024787214E-2</v>
      </c>
      <c r="H183" s="88">
        <v>-3.2206147000421719E-3</v>
      </c>
      <c r="I183" s="88">
        <v>6.3748345723662917E-3</v>
      </c>
      <c r="J183" s="88">
        <v>1.3245226750020505E-2</v>
      </c>
      <c r="K183" s="88">
        <v>2.1557721074979056E-2</v>
      </c>
      <c r="L183" s="88">
        <v>0</v>
      </c>
      <c r="M183" s="88">
        <v>-2.7434859457508326E-3</v>
      </c>
      <c r="N183" s="88">
        <v>7.6923456231558652E-3</v>
      </c>
      <c r="O183" s="88">
        <v>2.8129413766146577E-3</v>
      </c>
      <c r="P183" s="88">
        <v>0</v>
      </c>
      <c r="Q183" s="89">
        <v>1.2388152628342865E-2</v>
      </c>
      <c r="R183" s="52"/>
      <c r="S183" s="52"/>
      <c r="T183" s="52"/>
      <c r="U183" s="52"/>
      <c r="V183" s="52"/>
      <c r="W183" s="52"/>
    </row>
    <row r="184" spans="1:23">
      <c r="A184" s="87">
        <v>43818</v>
      </c>
      <c r="B184" s="88">
        <v>-1.4340749353138933E-2</v>
      </c>
      <c r="C184" s="88">
        <v>2.9154539601241349E-3</v>
      </c>
      <c r="D184" s="88">
        <v>-1.0919890114022212E-2</v>
      </c>
      <c r="E184" s="88">
        <v>-4.2469227109112551E-2</v>
      </c>
      <c r="F184" s="88">
        <v>-1.031527771183291E-2</v>
      </c>
      <c r="G184" s="88">
        <v>1.1356588932335975E-2</v>
      </c>
      <c r="H184" s="88">
        <v>7.4986960911203838E-3</v>
      </c>
      <c r="I184" s="88">
        <v>2.4609817485069297E-3</v>
      </c>
      <c r="J184" s="88">
        <v>0</v>
      </c>
      <c r="K184" s="88">
        <v>7.0838548884050419E-3</v>
      </c>
      <c r="L184" s="88">
        <v>-1.8223738956451498E-2</v>
      </c>
      <c r="M184" s="88">
        <v>1.3642776403786479E-2</v>
      </c>
      <c r="N184" s="88">
        <v>1.8975901459005604E-2</v>
      </c>
      <c r="O184" s="88">
        <v>-5.6338177182560199E-3</v>
      </c>
      <c r="P184" s="88">
        <v>0</v>
      </c>
      <c r="Q184" s="89">
        <v>-3.1629846876265635E-3</v>
      </c>
      <c r="R184" s="52"/>
      <c r="S184" s="52"/>
      <c r="T184" s="52"/>
      <c r="U184" s="52"/>
      <c r="V184" s="52"/>
      <c r="W184" s="52"/>
    </row>
    <row r="185" spans="1:23">
      <c r="A185" s="87">
        <v>43819</v>
      </c>
      <c r="B185" s="88">
        <v>-6.7408411632991052E-3</v>
      </c>
      <c r="C185" s="88">
        <v>2.1810259463601461E-3</v>
      </c>
      <c r="D185" s="88">
        <v>-4.5796339327830511E-2</v>
      </c>
      <c r="E185" s="88">
        <v>-1.6402773441457269E-2</v>
      </c>
      <c r="F185" s="88">
        <v>1.259318302482691E-2</v>
      </c>
      <c r="G185" s="88">
        <v>0</v>
      </c>
      <c r="H185" s="88">
        <v>-6.4240049613549875E-3</v>
      </c>
      <c r="I185" s="88">
        <v>-2.3031638309065516E-2</v>
      </c>
      <c r="J185" s="88">
        <v>-1.5915455305899457E-2</v>
      </c>
      <c r="K185" s="88">
        <v>-9.4563352420354001E-3</v>
      </c>
      <c r="L185" s="88">
        <v>-2.0906684819313601E-2</v>
      </c>
      <c r="M185" s="88">
        <v>1.0781775603288413E-2</v>
      </c>
      <c r="N185" s="88">
        <v>4.7715473039666369E-2</v>
      </c>
      <c r="O185" s="88">
        <v>2.8208763416412634E-3</v>
      </c>
      <c r="P185" s="88">
        <v>6.8728792877620504E-3</v>
      </c>
      <c r="Q185" s="89">
        <v>-1.1945496505310405E-2</v>
      </c>
      <c r="R185" s="52"/>
      <c r="S185" s="52"/>
      <c r="T185" s="52"/>
      <c r="U185" s="52"/>
      <c r="V185" s="52"/>
      <c r="W185" s="52"/>
    </row>
    <row r="186" spans="1:23">
      <c r="A186" s="87">
        <v>43822</v>
      </c>
      <c r="B186" s="88">
        <v>2.0419119475317066E-2</v>
      </c>
      <c r="C186" s="88">
        <v>3.4264593974096078E-2</v>
      </c>
      <c r="D186" s="88">
        <v>3.5609494020837566E-2</v>
      </c>
      <c r="E186" s="88">
        <v>3.1473026362455386E-2</v>
      </c>
      <c r="F186" s="88">
        <v>1.2436565041008563E-2</v>
      </c>
      <c r="G186" s="88">
        <v>1.7413375325197912E-2</v>
      </c>
      <c r="H186" s="88">
        <v>1.068386230831261E-2</v>
      </c>
      <c r="I186" s="88">
        <v>-3.8464136553256595E-3</v>
      </c>
      <c r="J186" s="88">
        <v>1.1960275462971471E-2</v>
      </c>
      <c r="K186" s="88">
        <v>0</v>
      </c>
      <c r="L186" s="88">
        <v>0</v>
      </c>
      <c r="M186" s="88">
        <v>5.9835791610665046E-2</v>
      </c>
      <c r="N186" s="88">
        <v>0</v>
      </c>
      <c r="O186" s="88">
        <v>1.398624197473987E-2</v>
      </c>
      <c r="P186" s="88">
        <v>1.6304709024943569E-2</v>
      </c>
      <c r="Q186" s="89">
        <v>2.26766081328337E-2</v>
      </c>
      <c r="R186" s="52"/>
      <c r="S186" s="52"/>
      <c r="T186" s="52"/>
      <c r="U186" s="52"/>
      <c r="V186" s="52"/>
      <c r="W186" s="52"/>
    </row>
    <row r="187" spans="1:23">
      <c r="A187" s="87">
        <v>43826</v>
      </c>
      <c r="B187" s="88">
        <v>3.9682591756206699E-3</v>
      </c>
      <c r="C187" s="88">
        <v>1.3937507843781678E-2</v>
      </c>
      <c r="D187" s="88">
        <v>-6.849341845574783E-3</v>
      </c>
      <c r="E187" s="88">
        <v>-1.7241806434506103E-2</v>
      </c>
      <c r="F187" s="88">
        <v>3.315220731690055E-2</v>
      </c>
      <c r="G187" s="88">
        <v>2.3157646675230938E-2</v>
      </c>
      <c r="H187" s="88">
        <v>1.5814773466021725E-2</v>
      </c>
      <c r="I187" s="88">
        <v>2.5217346962168774E-3</v>
      </c>
      <c r="J187" s="88">
        <v>3.9551798429277932E-3</v>
      </c>
      <c r="K187" s="88">
        <v>-2.3781224049673243E-3</v>
      </c>
      <c r="L187" s="88">
        <v>3.9130423775765019E-2</v>
      </c>
      <c r="M187" s="88">
        <v>1.5037877364540502E-2</v>
      </c>
      <c r="N187" s="88">
        <v>-1.0810916104215506E-2</v>
      </c>
      <c r="O187" s="88">
        <v>1.6529301951210506E-2</v>
      </c>
      <c r="P187" s="88">
        <v>-1.0840214552864833E-2</v>
      </c>
      <c r="Q187" s="89">
        <v>8.7504513485479295E-3</v>
      </c>
      <c r="R187" s="52"/>
      <c r="S187" s="52"/>
      <c r="T187" s="52"/>
      <c r="U187" s="52"/>
      <c r="V187" s="52"/>
      <c r="W187" s="52"/>
    </row>
    <row r="188" spans="1:23">
      <c r="A188" s="87">
        <v>43829</v>
      </c>
      <c r="B188" s="88">
        <v>2.6367846523031938E-3</v>
      </c>
      <c r="C188" s="88">
        <v>-1.3937507843781624E-2</v>
      </c>
      <c r="D188" s="88">
        <v>6.8493418455747683E-3</v>
      </c>
      <c r="E188" s="88">
        <v>4.8793807840934881E-3</v>
      </c>
      <c r="F188" s="88">
        <v>-1.2028575865607146E-2</v>
      </c>
      <c r="G188" s="88">
        <v>-1.9465334788103351E-2</v>
      </c>
      <c r="H188" s="88">
        <v>4.175371410480592E-3</v>
      </c>
      <c r="I188" s="88">
        <v>-5.1830802457311035E-3</v>
      </c>
      <c r="J188" s="88">
        <v>-1.1912781516242E-2</v>
      </c>
      <c r="K188" s="88">
        <v>2.3530497410194036E-2</v>
      </c>
      <c r="L188" s="88">
        <v>-6.7950431328286896E-3</v>
      </c>
      <c r="M188" s="88">
        <v>-3.2872745000574674E-2</v>
      </c>
      <c r="N188" s="88">
        <v>-2.1978906718775341E-2</v>
      </c>
      <c r="O188" s="88">
        <v>0</v>
      </c>
      <c r="P188" s="88">
        <v>-2.3433188014895287E-2</v>
      </c>
      <c r="Q188" s="89">
        <v>-2.9918480918072502E-3</v>
      </c>
      <c r="R188" s="52"/>
      <c r="S188" s="52"/>
      <c r="T188" s="52"/>
      <c r="U188" s="52"/>
      <c r="V188" s="52"/>
      <c r="W188" s="52"/>
    </row>
    <row r="189" spans="1:23">
      <c r="A189" s="87">
        <v>43830</v>
      </c>
      <c r="B189" s="88">
        <v>-6.9364439966569866E-3</v>
      </c>
      <c r="C189" s="88">
        <v>7.0150827149030332E-4</v>
      </c>
      <c r="D189" s="88">
        <v>-1.201731200401744E-2</v>
      </c>
      <c r="E189" s="88">
        <v>3.2397436544107962E-3</v>
      </c>
      <c r="F189" s="88">
        <v>1.2028575865607122E-2</v>
      </c>
      <c r="G189" s="88">
        <v>1.0995834674529522E-2</v>
      </c>
      <c r="H189" s="88">
        <v>-1.2578782206860073E-2</v>
      </c>
      <c r="I189" s="88">
        <v>0</v>
      </c>
      <c r="J189" s="88">
        <v>5.3120974848898843E-3</v>
      </c>
      <c r="K189" s="88">
        <v>-9.345862418237658E-3</v>
      </c>
      <c r="L189" s="88">
        <v>-6.8415318167166003E-3</v>
      </c>
      <c r="M189" s="88">
        <v>1.2771565679487539E-2</v>
      </c>
      <c r="N189" s="88">
        <v>2.1978906718775382E-2</v>
      </c>
      <c r="O189" s="88">
        <v>0</v>
      </c>
      <c r="P189" s="88">
        <v>2.3433188014895339E-2</v>
      </c>
      <c r="Q189" s="89">
        <v>-1.2210679318825912E-3</v>
      </c>
      <c r="R189" s="52"/>
      <c r="S189" s="52"/>
      <c r="T189" s="52"/>
      <c r="U189" s="52"/>
      <c r="V189" s="52"/>
      <c r="W189" s="52"/>
    </row>
    <row r="190" spans="1:23">
      <c r="A190" s="87">
        <v>43832</v>
      </c>
      <c r="B190" s="88">
        <v>4.2996593443537512E-3</v>
      </c>
      <c r="C190" s="88">
        <v>2.8011222797117733E-3</v>
      </c>
      <c r="D190" s="88">
        <v>1.7972242404430218E-2</v>
      </c>
      <c r="E190" s="88">
        <v>7.518832414027319E-3</v>
      </c>
      <c r="F190" s="88">
        <v>-1.0875476873989933E-3</v>
      </c>
      <c r="G190" s="88">
        <v>2.6380426680103871E-2</v>
      </c>
      <c r="H190" s="88">
        <v>1.6736792355523826E-2</v>
      </c>
      <c r="I190" s="88">
        <v>3.3412869109702079E-2</v>
      </c>
      <c r="J190" s="88">
        <v>5.2840281466052059E-3</v>
      </c>
      <c r="K190" s="88">
        <v>3.1198370855861118E-2</v>
      </c>
      <c r="L190" s="88">
        <v>4.6935989018594762E-2</v>
      </c>
      <c r="M190" s="88">
        <v>-1.2771565679487505E-2</v>
      </c>
      <c r="N190" s="88">
        <v>-1.8282044837449069E-2</v>
      </c>
      <c r="O190" s="88">
        <v>1.3568729206068796E-2</v>
      </c>
      <c r="P190" s="88">
        <v>0</v>
      </c>
      <c r="Q190" s="89">
        <v>1.5200197385247952E-2</v>
      </c>
      <c r="R190" s="52"/>
      <c r="S190" s="52"/>
      <c r="T190" s="52"/>
      <c r="U190" s="52"/>
      <c r="V190" s="52"/>
      <c r="W190" s="52"/>
    </row>
    <row r="191" spans="1:23">
      <c r="A191" s="87">
        <v>43833</v>
      </c>
      <c r="B191" s="88">
        <v>5.2666349516922251E-3</v>
      </c>
      <c r="C191" s="88">
        <v>-1.4084739881739085E-2</v>
      </c>
      <c r="D191" s="88">
        <v>-1.4523963125514351E-2</v>
      </c>
      <c r="E191" s="88">
        <v>-2.6788122100263956E-3</v>
      </c>
      <c r="F191" s="88">
        <v>-2.0891359031376264E-2</v>
      </c>
      <c r="G191" s="88">
        <v>2.2236141446881932E-2</v>
      </c>
      <c r="H191" s="88">
        <v>1.0368067284403084E-3</v>
      </c>
      <c r="I191" s="88">
        <v>-1.5322985170419121E-2</v>
      </c>
      <c r="J191" s="88">
        <v>-9.2654534457901234E-3</v>
      </c>
      <c r="K191" s="88">
        <v>-2.5346979087397057E-2</v>
      </c>
      <c r="L191" s="88">
        <v>-1.9846296371930656E-2</v>
      </c>
      <c r="M191" s="88">
        <v>-1.5544354437800344E-2</v>
      </c>
      <c r="N191" s="88">
        <v>-1.4870162479451506E-2</v>
      </c>
      <c r="O191" s="88">
        <v>-1.9048194970694474E-2</v>
      </c>
      <c r="P191" s="88">
        <v>0</v>
      </c>
      <c r="Q191" s="89">
        <v>-1.1476244389397173E-2</v>
      </c>
      <c r="R191" s="52"/>
      <c r="S191" s="52"/>
      <c r="T191" s="52"/>
      <c r="U191" s="52"/>
      <c r="V191" s="52"/>
      <c r="W191" s="52"/>
    </row>
    <row r="192" spans="1:23">
      <c r="A192" s="87">
        <v>43837</v>
      </c>
      <c r="B192" s="88">
        <v>7.1966290320397003E-3</v>
      </c>
      <c r="C192" s="88">
        <v>2.1253993123135366E-3</v>
      </c>
      <c r="D192" s="88">
        <v>1.7910926566530243E-2</v>
      </c>
      <c r="E192" s="88">
        <v>-1.4590910030410773E-2</v>
      </c>
      <c r="F192" s="88">
        <v>-1.1173300598125189E-2</v>
      </c>
      <c r="G192" s="88">
        <v>1.8349138668196617E-2</v>
      </c>
      <c r="H192" s="88">
        <v>1.0309369658861287E-2</v>
      </c>
      <c r="I192" s="88">
        <v>8.9885318261152952E-3</v>
      </c>
      <c r="J192" s="88">
        <v>-8.010723746078972E-3</v>
      </c>
      <c r="K192" s="88">
        <v>3.494470649773557E-3</v>
      </c>
      <c r="L192" s="88">
        <v>2.2027322318290909E-2</v>
      </c>
      <c r="M192" s="88">
        <v>7.8023802841848001E-3</v>
      </c>
      <c r="N192" s="88">
        <v>-3.7523496185503527E-3</v>
      </c>
      <c r="O192" s="88">
        <v>5.4794657646255705E-3</v>
      </c>
      <c r="P192" s="88">
        <v>0</v>
      </c>
      <c r="Q192" s="89">
        <v>4.9870548615777287E-3</v>
      </c>
      <c r="R192" s="52"/>
      <c r="S192" s="52"/>
      <c r="T192" s="52"/>
      <c r="U192" s="52"/>
      <c r="V192" s="52"/>
      <c r="W192" s="52"/>
    </row>
    <row r="193" spans="1:23">
      <c r="A193" s="87">
        <v>43838</v>
      </c>
      <c r="B193" s="88">
        <v>7.1452074046442372E-3</v>
      </c>
      <c r="C193" s="88">
        <v>-1.0672459890771872E-2</v>
      </c>
      <c r="D193" s="88">
        <v>-6.7854374001274599E-3</v>
      </c>
      <c r="E193" s="88">
        <v>-9.8469066970034037E-3</v>
      </c>
      <c r="F193" s="88">
        <v>-5.6629802753237563E-2</v>
      </c>
      <c r="G193" s="88">
        <v>-5.6980211146377786E-3</v>
      </c>
      <c r="H193" s="88">
        <v>-5.1413995004187642E-3</v>
      </c>
      <c r="I193" s="88">
        <v>-2.3221771580974358E-2</v>
      </c>
      <c r="J193" s="88">
        <v>-1.3495481474884509E-2</v>
      </c>
      <c r="K193" s="88">
        <v>1.1621151801772967E-3</v>
      </c>
      <c r="L193" s="88">
        <v>-8.7527911095947441E-3</v>
      </c>
      <c r="M193" s="88">
        <v>2.3048395436291089E-2</v>
      </c>
      <c r="N193" s="88">
        <v>-3.7664827954768934E-3</v>
      </c>
      <c r="O193" s="88">
        <v>-1.6529301951210582E-2</v>
      </c>
      <c r="P193" s="88">
        <v>-1.2337373759840819E-2</v>
      </c>
      <c r="Q193" s="89">
        <v>-1.1441996424219796E-2</v>
      </c>
      <c r="R193" s="52"/>
      <c r="S193" s="52"/>
      <c r="T193" s="52"/>
      <c r="U193" s="52"/>
      <c r="V193" s="52"/>
      <c r="W193" s="52"/>
    </row>
    <row r="194" spans="1:23">
      <c r="A194" s="87">
        <v>43839</v>
      </c>
      <c r="B194" s="88">
        <v>-2.5923540117300556E-3</v>
      </c>
      <c r="C194" s="88">
        <v>-2.8653314732863936E-3</v>
      </c>
      <c r="D194" s="88">
        <v>4.0774333810033522E-2</v>
      </c>
      <c r="E194" s="88">
        <v>7.1213667159532529E-3</v>
      </c>
      <c r="F194" s="88">
        <v>3.5050316879554851E-2</v>
      </c>
      <c r="G194" s="88">
        <v>-1.1435107020789379E-3</v>
      </c>
      <c r="H194" s="88">
        <v>1.0303967938966232E-3</v>
      </c>
      <c r="I194" s="88">
        <v>-1.1952986349098153E-3</v>
      </c>
      <c r="J194" s="88">
        <v>5.4200674693391133E-3</v>
      </c>
      <c r="K194" s="88">
        <v>2.2963121508448738E-2</v>
      </c>
      <c r="L194" s="88">
        <v>-8.8300794482720369E-3</v>
      </c>
      <c r="M194" s="88">
        <v>2.2529113060028104E-2</v>
      </c>
      <c r="N194" s="88">
        <v>2.9741969198737516E-2</v>
      </c>
      <c r="O194" s="88">
        <v>4.8790164169431834E-2</v>
      </c>
      <c r="P194" s="88">
        <v>1.0974047031976649E-2</v>
      </c>
      <c r="Q194" s="89">
        <v>1.2922477580759678E-2</v>
      </c>
      <c r="R194" s="52"/>
      <c r="S194" s="52"/>
      <c r="T194" s="52"/>
      <c r="U194" s="52"/>
      <c r="V194" s="52"/>
      <c r="W194" s="52"/>
    </row>
    <row r="195" spans="1:23">
      <c r="A195" s="87">
        <v>43840</v>
      </c>
      <c r="B195" s="88">
        <v>1.9280802935505558E-2</v>
      </c>
      <c r="C195" s="88">
        <v>-1.0818713527167364E-2</v>
      </c>
      <c r="D195" s="88">
        <v>5.7031277279572575E-3</v>
      </c>
      <c r="E195" s="88">
        <v>1.6362152545950318E-3</v>
      </c>
      <c r="F195" s="88">
        <v>-1.1487652038733708E-3</v>
      </c>
      <c r="G195" s="88">
        <v>-1.0350868723656162E-2</v>
      </c>
      <c r="H195" s="88">
        <v>-1.1393183829443163E-2</v>
      </c>
      <c r="I195" s="88">
        <v>1.1626501689136023E-2</v>
      </c>
      <c r="J195" s="88">
        <v>-2.0478531343540676E-2</v>
      </c>
      <c r="K195" s="88">
        <v>-3.4110323010629324E-3</v>
      </c>
      <c r="L195" s="88">
        <v>1.5401844611506484E-2</v>
      </c>
      <c r="M195" s="88">
        <v>4.9382816405825767E-3</v>
      </c>
      <c r="N195" s="88">
        <v>-1.1049836186585046E-2</v>
      </c>
      <c r="O195" s="88">
        <v>-2.6490081715768417E-3</v>
      </c>
      <c r="P195" s="88">
        <v>-5.4719698779933795E-3</v>
      </c>
      <c r="Q195" s="89">
        <v>-2.6274688169122895E-3</v>
      </c>
      <c r="R195" s="52"/>
      <c r="S195" s="52"/>
      <c r="T195" s="52"/>
      <c r="U195" s="52"/>
      <c r="V195" s="52"/>
      <c r="W195" s="52"/>
    </row>
    <row r="196" spans="1:23">
      <c r="A196" s="87">
        <v>43843</v>
      </c>
      <c r="B196" s="88">
        <v>-2.1554638574948222E-2</v>
      </c>
      <c r="C196" s="88">
        <v>1.4492756159904376E-3</v>
      </c>
      <c r="D196" s="88">
        <v>-2.1266042191494649E-2</v>
      </c>
      <c r="E196" s="88">
        <v>-7.6586807610626939E-3</v>
      </c>
      <c r="F196" s="88">
        <v>-1.9733664156950249E-2</v>
      </c>
      <c r="G196" s="88">
        <v>-1.279831314330962E-2</v>
      </c>
      <c r="H196" s="88">
        <v>1.0362787035546658E-2</v>
      </c>
      <c r="I196" s="88">
        <v>1.0193501750841133E-2</v>
      </c>
      <c r="J196" s="88">
        <v>-4.1465159618485773E-3</v>
      </c>
      <c r="K196" s="88">
        <v>5.6786069688435142E-3</v>
      </c>
      <c r="L196" s="88">
        <v>-1.5401844611506477E-2</v>
      </c>
      <c r="M196" s="88">
        <v>-7.416597655049483E-3</v>
      </c>
      <c r="N196" s="88">
        <v>-7.4349784875180902E-3</v>
      </c>
      <c r="O196" s="88">
        <v>-1.8742181809740639E-2</v>
      </c>
      <c r="P196" s="88">
        <v>-5.5020771539834217E-3</v>
      </c>
      <c r="Q196" s="89">
        <v>-4.60115189230236E-3</v>
      </c>
      <c r="R196" s="52"/>
      <c r="S196" s="52"/>
      <c r="T196" s="52"/>
      <c r="U196" s="52"/>
      <c r="V196" s="52"/>
      <c r="W196" s="52"/>
    </row>
    <row r="197" spans="1:23">
      <c r="A197" s="87">
        <v>43844</v>
      </c>
      <c r="B197" s="88">
        <v>2.5683594734695381E-2</v>
      </c>
      <c r="C197" s="88">
        <v>6.4958727154452349E-3</v>
      </c>
      <c r="D197" s="88">
        <v>1.6583751727761256E-3</v>
      </c>
      <c r="E197" s="88">
        <v>-1.1043734551651835E-2</v>
      </c>
      <c r="F197" s="88">
        <v>8.1728417558743858E-3</v>
      </c>
      <c r="G197" s="88">
        <v>-1.1778699192612763E-2</v>
      </c>
      <c r="H197" s="88">
        <v>-2.0834086902841914E-2</v>
      </c>
      <c r="I197" s="88">
        <v>1.7656235458913101E-2</v>
      </c>
      <c r="J197" s="88">
        <v>4.3367229115129864E-2</v>
      </c>
      <c r="K197" s="88">
        <v>-9.1013142463456358E-3</v>
      </c>
      <c r="L197" s="88">
        <v>2.2148403295528213E-3</v>
      </c>
      <c r="M197" s="88">
        <v>4.9505051598559835E-3</v>
      </c>
      <c r="N197" s="88">
        <v>0</v>
      </c>
      <c r="O197" s="88">
        <v>5.390848634876373E-3</v>
      </c>
      <c r="P197" s="88">
        <v>-6.9204428445737952E-3</v>
      </c>
      <c r="Q197" s="89">
        <v>4.6661108599108624E-3</v>
      </c>
      <c r="R197" s="52"/>
      <c r="S197" s="52"/>
      <c r="T197" s="52"/>
      <c r="U197" s="52"/>
      <c r="V197" s="52"/>
      <c r="W197" s="52"/>
    </row>
    <row r="198" spans="1:23">
      <c r="A198" s="87">
        <v>43845</v>
      </c>
      <c r="B198" s="88">
        <v>2.0392863563140535E-2</v>
      </c>
      <c r="C198" s="88">
        <v>-1.4493007302566864E-2</v>
      </c>
      <c r="D198" s="88">
        <v>1.6556295172611565E-3</v>
      </c>
      <c r="E198" s="88">
        <v>-5.5540129170012875E-4</v>
      </c>
      <c r="F198" s="88">
        <v>4.5462374076757413E-2</v>
      </c>
      <c r="G198" s="88">
        <v>1.184132761216772E-3</v>
      </c>
      <c r="H198" s="88">
        <v>-5.2770571008438931E-3</v>
      </c>
      <c r="I198" s="88">
        <v>1.7475435225622598E-2</v>
      </c>
      <c r="J198" s="88">
        <v>6.6094093876738072E-3</v>
      </c>
      <c r="K198" s="88">
        <v>0</v>
      </c>
      <c r="L198" s="88">
        <v>1.1001211061973583E-2</v>
      </c>
      <c r="M198" s="88">
        <v>2.4660924951934683E-3</v>
      </c>
      <c r="N198" s="88">
        <v>3.7243990909822727E-3</v>
      </c>
      <c r="O198" s="88">
        <v>3.434948001463764E-2</v>
      </c>
      <c r="P198" s="88">
        <v>0</v>
      </c>
      <c r="Q198" s="89">
        <v>5.366169380779837E-3</v>
      </c>
      <c r="R198" s="52"/>
      <c r="S198" s="52"/>
      <c r="T198" s="52"/>
      <c r="U198" s="52"/>
      <c r="V198" s="52"/>
      <c r="W198" s="52"/>
    </row>
    <row r="199" spans="1:23">
      <c r="A199" s="87">
        <v>43846</v>
      </c>
      <c r="B199" s="88">
        <v>1.2414650880649455E-3</v>
      </c>
      <c r="C199" s="88">
        <v>7.2727593290798781E-3</v>
      </c>
      <c r="D199" s="88">
        <v>-6.4924589586786402E-2</v>
      </c>
      <c r="E199" s="88">
        <v>2.6317308317373358E-2</v>
      </c>
      <c r="F199" s="88">
        <v>2.21975673831281E-3</v>
      </c>
      <c r="G199" s="88">
        <v>5.899722127188322E-3</v>
      </c>
      <c r="H199" s="88">
        <v>2.0943173845243388E-2</v>
      </c>
      <c r="I199" s="88">
        <v>1.8161962089374907E-2</v>
      </c>
      <c r="J199" s="88">
        <v>2.6315804660560424E-3</v>
      </c>
      <c r="K199" s="88">
        <v>-2.2883305180121626E-3</v>
      </c>
      <c r="L199" s="88">
        <v>4.3668191663403895E-3</v>
      </c>
      <c r="M199" s="88">
        <v>-2.4660924951934427E-3</v>
      </c>
      <c r="N199" s="88">
        <v>-3.7243990909823282E-3</v>
      </c>
      <c r="O199" s="88">
        <v>0</v>
      </c>
      <c r="P199" s="88">
        <v>0</v>
      </c>
      <c r="Q199" s="89">
        <v>3.7296030420302393E-3</v>
      </c>
      <c r="R199" s="52"/>
      <c r="S199" s="52"/>
      <c r="T199" s="52"/>
      <c r="U199" s="52"/>
      <c r="V199" s="52"/>
      <c r="W199" s="52"/>
    </row>
    <row r="200" spans="1:23">
      <c r="A200" s="87">
        <v>43847</v>
      </c>
      <c r="B200" s="88">
        <v>7.1086684763268758E-3</v>
      </c>
      <c r="C200" s="88">
        <v>0</v>
      </c>
      <c r="D200" s="88">
        <v>8.7874027668042379E-3</v>
      </c>
      <c r="E200" s="88">
        <v>1.1299555253933466E-2</v>
      </c>
      <c r="F200" s="88">
        <v>-2.2197567383128881E-3</v>
      </c>
      <c r="G200" s="88">
        <v>-8.2693914825067421E-3</v>
      </c>
      <c r="H200" s="88">
        <v>-1.2513197684783949E-2</v>
      </c>
      <c r="I200" s="88">
        <v>0</v>
      </c>
      <c r="J200" s="88">
        <v>-1.4560151331329776E-2</v>
      </c>
      <c r="K200" s="88">
        <v>-8.0506472771671323E-3</v>
      </c>
      <c r="L200" s="88">
        <v>-6.5574005461590517E-3</v>
      </c>
      <c r="M200" s="88">
        <v>1.9560525854493572E-2</v>
      </c>
      <c r="N200" s="88">
        <v>0</v>
      </c>
      <c r="O200" s="88">
        <v>3.0692946399406198E-2</v>
      </c>
      <c r="P200" s="88">
        <v>2.7739268827252244E-3</v>
      </c>
      <c r="Q200" s="89">
        <v>2.239666593767078E-3</v>
      </c>
      <c r="R200" s="52"/>
      <c r="S200" s="52"/>
      <c r="T200" s="52"/>
      <c r="U200" s="52"/>
      <c r="V200" s="52"/>
      <c r="W200" s="52"/>
    </row>
    <row r="201" spans="1:23">
      <c r="A201" s="87">
        <v>43850</v>
      </c>
      <c r="B201" s="88">
        <v>7.0584917884532498E-3</v>
      </c>
      <c r="C201" s="88">
        <v>0</v>
      </c>
      <c r="D201" s="88">
        <v>8.7450814493257568E-4</v>
      </c>
      <c r="E201" s="88">
        <v>2.5879447987820541E-2</v>
      </c>
      <c r="F201" s="88">
        <v>2.6317308317373358E-2</v>
      </c>
      <c r="G201" s="88">
        <v>-3.5650661644960344E-3</v>
      </c>
      <c r="H201" s="88">
        <v>-2.1008411088117279E-3</v>
      </c>
      <c r="I201" s="88">
        <v>-1.1100833702391837E-3</v>
      </c>
      <c r="J201" s="88">
        <v>-1.3342230131366103E-3</v>
      </c>
      <c r="K201" s="88">
        <v>3.1820866611078975E-2</v>
      </c>
      <c r="L201" s="88">
        <v>8.7336799687546315E-3</v>
      </c>
      <c r="M201" s="88">
        <v>0</v>
      </c>
      <c r="N201" s="88">
        <v>0</v>
      </c>
      <c r="O201" s="88">
        <v>-2.2930941063917017E-2</v>
      </c>
      <c r="P201" s="88">
        <v>-9.7425961988185927E-3</v>
      </c>
      <c r="Q201" s="89">
        <v>6.3806620592564171E-3</v>
      </c>
      <c r="R201" s="52"/>
      <c r="S201" s="52"/>
      <c r="T201" s="52"/>
      <c r="U201" s="52"/>
      <c r="V201" s="52"/>
      <c r="W201" s="52"/>
    </row>
    <row r="202" spans="1:23">
      <c r="A202" s="87">
        <v>43851</v>
      </c>
      <c r="B202" s="88">
        <v>0</v>
      </c>
      <c r="C202" s="88">
        <v>-5.8139698654198447E-3</v>
      </c>
      <c r="D202" s="88">
        <v>7.8363483293158696E-3</v>
      </c>
      <c r="E202" s="88">
        <v>3.6429912785010087E-3</v>
      </c>
      <c r="F202" s="88">
        <v>-1.5267472130788421E-2</v>
      </c>
      <c r="G202" s="88">
        <v>-5.9701669865039079E-3</v>
      </c>
      <c r="H202" s="88">
        <v>-1.0520779508037803E-3</v>
      </c>
      <c r="I202" s="88">
        <v>-3.7092030657097336E-3</v>
      </c>
      <c r="J202" s="88">
        <v>-4.0133833134586763E-3</v>
      </c>
      <c r="K202" s="88">
        <v>2.8667894869571848E-2</v>
      </c>
      <c r="L202" s="88">
        <v>-1.0929070532190317E-2</v>
      </c>
      <c r="M202" s="88">
        <v>7.2376673002306031E-3</v>
      </c>
      <c r="N202" s="88">
        <v>3.7243990909822727E-3</v>
      </c>
      <c r="O202" s="88">
        <v>1.2804272245987968E-2</v>
      </c>
      <c r="P202" s="88">
        <v>1.2508849691708707E-2</v>
      </c>
      <c r="Q202" s="89">
        <v>2.1992391212848029E-3</v>
      </c>
      <c r="R202" s="52"/>
      <c r="S202" s="52"/>
      <c r="T202" s="52"/>
      <c r="U202" s="52"/>
      <c r="V202" s="52"/>
      <c r="W202" s="52"/>
    </row>
    <row r="203" spans="1:23">
      <c r="A203" s="87">
        <v>43852</v>
      </c>
      <c r="B203" s="88">
        <v>-4.9049761123160429E-3</v>
      </c>
      <c r="C203" s="88">
        <v>1.1594332780919227E-2</v>
      </c>
      <c r="D203" s="88">
        <v>2.0601586991217731E-2</v>
      </c>
      <c r="E203" s="88">
        <v>7.7620053354891094E-3</v>
      </c>
      <c r="F203" s="88">
        <v>-1.1049836186584935E-2</v>
      </c>
      <c r="G203" s="88">
        <v>-6.006024060211698E-3</v>
      </c>
      <c r="H203" s="88">
        <v>4.2016868536999766E-3</v>
      </c>
      <c r="I203" s="88">
        <v>6.0512688512274551E-3</v>
      </c>
      <c r="J203" s="88">
        <v>4.0133833134587413E-3</v>
      </c>
      <c r="K203" s="88">
        <v>-6.5430985889358357E-3</v>
      </c>
      <c r="L203" s="88">
        <v>-8.8300794482720369E-3</v>
      </c>
      <c r="M203" s="88">
        <v>2.3754086008107057E-2</v>
      </c>
      <c r="N203" s="88">
        <v>0</v>
      </c>
      <c r="O203" s="88">
        <v>2.5126950077421859E-2</v>
      </c>
      <c r="P203" s="88">
        <v>-5.5401803756153561E-3</v>
      </c>
      <c r="Q203" s="89">
        <v>6.8958569243179229E-4</v>
      </c>
      <c r="R203" s="52"/>
      <c r="S203" s="52"/>
      <c r="T203" s="52"/>
      <c r="U203" s="52"/>
      <c r="V203" s="52"/>
      <c r="W203" s="52"/>
    </row>
    <row r="204" spans="1:23">
      <c r="A204" s="87">
        <v>43853</v>
      </c>
      <c r="B204" s="88">
        <v>4.5991189452273731E-3</v>
      </c>
      <c r="C204" s="88">
        <v>-7.2306894931460589E-3</v>
      </c>
      <c r="D204" s="88">
        <v>-6.8201457882083264E-3</v>
      </c>
      <c r="E204" s="88">
        <v>-6.7235836430074008E-3</v>
      </c>
      <c r="F204" s="88">
        <v>1.5435808129839248E-2</v>
      </c>
      <c r="G204" s="88">
        <v>0</v>
      </c>
      <c r="H204" s="88">
        <v>-4.2016868536999697E-3</v>
      </c>
      <c r="I204" s="88">
        <v>-1.2139378604471751E-2</v>
      </c>
      <c r="J204" s="88">
        <v>5.3262442826741627E-3</v>
      </c>
      <c r="K204" s="88">
        <v>-1.1001211061973682E-2</v>
      </c>
      <c r="L204" s="88">
        <v>-2.2197567383128881E-3</v>
      </c>
      <c r="M204" s="88">
        <v>-7.0671672230923311E-3</v>
      </c>
      <c r="N204" s="88">
        <v>0</v>
      </c>
      <c r="O204" s="88">
        <v>-2.4844733276620564E-3</v>
      </c>
      <c r="P204" s="88">
        <v>6.920442844573757E-3</v>
      </c>
      <c r="Q204" s="89">
        <v>-3.9849369184383728E-3</v>
      </c>
      <c r="R204" s="52"/>
      <c r="S204" s="52"/>
      <c r="T204" s="52"/>
      <c r="U204" s="52"/>
      <c r="V204" s="52"/>
      <c r="W204" s="52"/>
    </row>
    <row r="205" spans="1:23">
      <c r="A205" s="87">
        <v>43854</v>
      </c>
      <c r="B205" s="88">
        <v>8.5288363475205017E-3</v>
      </c>
      <c r="C205" s="88">
        <v>-7.2595284494901655E-4</v>
      </c>
      <c r="D205" s="88">
        <v>1.7094021256491012E-3</v>
      </c>
      <c r="E205" s="88">
        <v>9.8115943315839702E-3</v>
      </c>
      <c r="F205" s="88">
        <v>-6.5861928528567265E-3</v>
      </c>
      <c r="G205" s="88">
        <v>2.0274993861410861E-2</v>
      </c>
      <c r="H205" s="88">
        <v>1.5666116744399456E-2</v>
      </c>
      <c r="I205" s="88">
        <v>1.3369845106465834E-2</v>
      </c>
      <c r="J205" s="88">
        <v>1.8421573567362595E-2</v>
      </c>
      <c r="K205" s="88">
        <v>-3.3241027838385598E-3</v>
      </c>
      <c r="L205" s="88">
        <v>1.1049836186584935E-2</v>
      </c>
      <c r="M205" s="88">
        <v>4.8452383385946748E-2</v>
      </c>
      <c r="N205" s="88">
        <v>3.2909734088797958E-2</v>
      </c>
      <c r="O205" s="88">
        <v>4.9627893421290972E-3</v>
      </c>
      <c r="P205" s="88">
        <v>5.5020771539833384E-3</v>
      </c>
      <c r="Q205" s="89">
        <v>1.0032873473749161E-2</v>
      </c>
      <c r="R205" s="52"/>
      <c r="S205" s="52"/>
      <c r="T205" s="52"/>
      <c r="U205" s="52"/>
      <c r="V205" s="52"/>
      <c r="W205" s="52"/>
    </row>
    <row r="206" spans="1:23">
      <c r="A206" s="87">
        <v>43857</v>
      </c>
      <c r="B206" s="88">
        <v>-8.5288363475204357E-3</v>
      </c>
      <c r="C206" s="88">
        <v>-5.0964799064843148E-3</v>
      </c>
      <c r="D206" s="88">
        <v>-1.0300520257965767E-2</v>
      </c>
      <c r="E206" s="88">
        <v>-2.8141513134126772E-2</v>
      </c>
      <c r="F206" s="88">
        <v>-3.3597784966176672E-2</v>
      </c>
      <c r="G206" s="88">
        <v>-2.2687540266794884E-2</v>
      </c>
      <c r="H206" s="88">
        <v>-1.5666116744399463E-2</v>
      </c>
      <c r="I206" s="88">
        <v>2.4564001543234725E-3</v>
      </c>
      <c r="J206" s="88">
        <v>-9.1683680868794425E-3</v>
      </c>
      <c r="K206" s="88">
        <v>-1.228379488215231E-2</v>
      </c>
      <c r="L206" s="88">
        <v>1.092907053219023E-2</v>
      </c>
      <c r="M206" s="88">
        <v>8.9686699827603161E-3</v>
      </c>
      <c r="N206" s="88">
        <v>0</v>
      </c>
      <c r="O206" s="88">
        <v>-2.7605266091888857E-2</v>
      </c>
      <c r="P206" s="88">
        <v>-1.103459472370906E-2</v>
      </c>
      <c r="Q206" s="89">
        <v>-1.3146845127628287E-2</v>
      </c>
      <c r="R206" s="52"/>
      <c r="S206" s="52"/>
      <c r="T206" s="52"/>
      <c r="U206" s="52"/>
      <c r="V206" s="52"/>
      <c r="W206" s="52"/>
    </row>
    <row r="207" spans="1:23">
      <c r="A207" s="87">
        <v>43858</v>
      </c>
      <c r="B207" s="88">
        <v>8.2254843051518568E-3</v>
      </c>
      <c r="C207" s="88">
        <v>-1.3965680861971759E-2</v>
      </c>
      <c r="D207" s="88">
        <v>-2.5339931633365412E-2</v>
      </c>
      <c r="E207" s="88">
        <v>-1.0093047167735132E-2</v>
      </c>
      <c r="F207" s="88">
        <v>-2.0714204387563221E-2</v>
      </c>
      <c r="G207" s="88">
        <v>9.6154586994419734E-3</v>
      </c>
      <c r="H207" s="88">
        <v>-3.1628914085081953E-3</v>
      </c>
      <c r="I207" s="88">
        <v>0</v>
      </c>
      <c r="J207" s="88">
        <v>0</v>
      </c>
      <c r="K207" s="88">
        <v>1.1173300598125255E-2</v>
      </c>
      <c r="L207" s="88">
        <v>-1.0929070532190317E-2</v>
      </c>
      <c r="M207" s="88">
        <v>2.8604810581663417E-2</v>
      </c>
      <c r="N207" s="88">
        <v>-3.6036075032986558E-3</v>
      </c>
      <c r="O207" s="88">
        <v>1.5151805020602246E-2</v>
      </c>
      <c r="P207" s="88">
        <v>5.5325175697256979E-3</v>
      </c>
      <c r="Q207" s="89">
        <v>-3.0165612708224067E-3</v>
      </c>
      <c r="R207" s="52"/>
      <c r="S207" s="52"/>
      <c r="T207" s="52"/>
      <c r="U207" s="52"/>
      <c r="V207" s="52"/>
      <c r="W207" s="52"/>
    </row>
    <row r="208" spans="1:23">
      <c r="A208" s="87">
        <v>43859</v>
      </c>
      <c r="B208" s="88">
        <v>-3.9519735277696883E-3</v>
      </c>
      <c r="C208" s="88">
        <v>-7.4046652772369499E-4</v>
      </c>
      <c r="D208" s="88">
        <v>-7.104825623744683E-3</v>
      </c>
      <c r="E208" s="88">
        <v>-4.2803703661726516E-3</v>
      </c>
      <c r="F208" s="88">
        <v>3.4823018358744904E-3</v>
      </c>
      <c r="G208" s="88">
        <v>-4.7961722634929441E-3</v>
      </c>
      <c r="H208" s="88">
        <v>-6.3559536006987157E-3</v>
      </c>
      <c r="I208" s="88">
        <v>-6.0289324418354466E-3</v>
      </c>
      <c r="J208" s="88">
        <v>5.249355886143745E-3</v>
      </c>
      <c r="K208" s="88">
        <v>3.3277900926745245E-3</v>
      </c>
      <c r="L208" s="88">
        <v>2.195390563435656E-3</v>
      </c>
      <c r="M208" s="88">
        <v>2.1668480850902932E-3</v>
      </c>
      <c r="N208" s="88">
        <v>-1.0889399799268319E-2</v>
      </c>
      <c r="O208" s="88">
        <v>2.9631797606371149E-2</v>
      </c>
      <c r="P208" s="88">
        <v>1.3783599701213596E-3</v>
      </c>
      <c r="Q208" s="89">
        <v>-2.3811578094792142E-3</v>
      </c>
      <c r="R208" s="52"/>
      <c r="S208" s="52"/>
      <c r="T208" s="52"/>
      <c r="U208" s="52"/>
      <c r="V208" s="52"/>
      <c r="W208" s="52"/>
    </row>
    <row r="209" spans="1:23">
      <c r="A209" s="87">
        <v>43860</v>
      </c>
      <c r="B209" s="88">
        <v>7.5861386419891867E-3</v>
      </c>
      <c r="C209" s="88">
        <v>-2.9673612278020007E-3</v>
      </c>
      <c r="D209" s="88">
        <v>1.780944370994692E-3</v>
      </c>
      <c r="E209" s="88">
        <v>-1.3495481474884621E-2</v>
      </c>
      <c r="F209" s="88">
        <v>-2.3447733081572462E-2</v>
      </c>
      <c r="G209" s="88">
        <v>-1.9418085857101627E-2</v>
      </c>
      <c r="H209" s="88">
        <v>1.1621895205985527E-2</v>
      </c>
      <c r="I209" s="88">
        <v>-1.8308002486862353E-2</v>
      </c>
      <c r="J209" s="88">
        <v>-2.1164811192043158E-2</v>
      </c>
      <c r="K209" s="88">
        <v>-1.0016778243471232E-2</v>
      </c>
      <c r="L209" s="88">
        <v>-3.1182927436687938E-2</v>
      </c>
      <c r="M209" s="88">
        <v>-1.7467693040390832E-2</v>
      </c>
      <c r="N209" s="88">
        <v>-2.5879447987820721E-2</v>
      </c>
      <c r="O209" s="88">
        <v>-3.7179003241754133E-2</v>
      </c>
      <c r="P209" s="88">
        <v>-1.3783599701212709E-3</v>
      </c>
      <c r="Q209" s="89">
        <v>-1.0796792457524858E-2</v>
      </c>
      <c r="R209" s="52"/>
      <c r="S209" s="52"/>
      <c r="T209" s="52"/>
      <c r="U209" s="52"/>
      <c r="V209" s="52"/>
      <c r="W209" s="52"/>
    </row>
    <row r="210" spans="1:23">
      <c r="A210" s="87">
        <v>43861</v>
      </c>
      <c r="B210" s="88">
        <v>2.1138464763809706E-3</v>
      </c>
      <c r="C210" s="88">
        <v>2.9673612278020081E-3</v>
      </c>
      <c r="D210" s="88">
        <v>0</v>
      </c>
      <c r="E210" s="88">
        <v>-1.6317653879055589E-3</v>
      </c>
      <c r="F210" s="88">
        <v>-1.0733555643108664E-2</v>
      </c>
      <c r="G210" s="88">
        <v>-8.6154379056154005E-3</v>
      </c>
      <c r="H210" s="88">
        <v>-1.694955831377332E-2</v>
      </c>
      <c r="I210" s="88">
        <v>2.3852876791824939E-3</v>
      </c>
      <c r="J210" s="88">
        <v>-5.3619431413853991E-3</v>
      </c>
      <c r="K210" s="88">
        <v>-4.4843124473285759E-3</v>
      </c>
      <c r="L210" s="88">
        <v>-2.0572154075208432E-2</v>
      </c>
      <c r="M210" s="88">
        <v>-2.6787315963649843E-2</v>
      </c>
      <c r="N210" s="88">
        <v>-7.5188324140273398E-3</v>
      </c>
      <c r="O210" s="88">
        <v>-2.8170876966696335E-2</v>
      </c>
      <c r="P210" s="88">
        <v>-6.9204428445737952E-3</v>
      </c>
      <c r="Q210" s="89">
        <v>-1.1254901542838765E-2</v>
      </c>
      <c r="R210" s="52"/>
      <c r="S210" s="52"/>
      <c r="T210" s="52"/>
      <c r="U210" s="52"/>
      <c r="V210" s="52"/>
      <c r="W210" s="52"/>
    </row>
    <row r="211" spans="1:23">
      <c r="A211" s="87">
        <v>43864</v>
      </c>
      <c r="B211" s="88">
        <v>-5.7480115906005441E-3</v>
      </c>
      <c r="C211" s="88">
        <v>5.9084366861662683E-3</v>
      </c>
      <c r="D211" s="88">
        <v>8.8928418488403663E-4</v>
      </c>
      <c r="E211" s="88">
        <v>1.6317653879054127E-3</v>
      </c>
      <c r="F211" s="88">
        <v>-3.1671343837651293E-2</v>
      </c>
      <c r="G211" s="88">
        <v>-1.9975695423643695E-2</v>
      </c>
      <c r="H211" s="88">
        <v>-2.7072579217633744E-2</v>
      </c>
      <c r="I211" s="88">
        <v>0</v>
      </c>
      <c r="J211" s="88">
        <v>0</v>
      </c>
      <c r="K211" s="88">
        <v>0</v>
      </c>
      <c r="L211" s="88">
        <v>1.376168507268153E-2</v>
      </c>
      <c r="M211" s="88">
        <v>-4.5351551653911512E-3</v>
      </c>
      <c r="N211" s="88">
        <v>-7.5757938084576558E-3</v>
      </c>
      <c r="O211" s="88">
        <v>-2.6007817000574785E-3</v>
      </c>
      <c r="P211" s="88">
        <v>0</v>
      </c>
      <c r="Q211" s="89">
        <v>-8.1902164756188379E-3</v>
      </c>
      <c r="R211" s="52"/>
      <c r="S211" s="52"/>
      <c r="T211" s="52"/>
      <c r="U211" s="52"/>
      <c r="V211" s="52"/>
      <c r="W211" s="52"/>
    </row>
    <row r="212" spans="1:23">
      <c r="A212" s="87">
        <v>43865</v>
      </c>
      <c r="B212" s="88">
        <v>7.2551708811720156E-3</v>
      </c>
      <c r="C212" s="88">
        <v>2.0408871631207033E-2</v>
      </c>
      <c r="D212" s="88">
        <v>7.9681696491768813E-3</v>
      </c>
      <c r="E212" s="88">
        <v>3.7971295962086643E-3</v>
      </c>
      <c r="F212" s="88">
        <v>2.0821327813585516E-2</v>
      </c>
      <c r="G212" s="88">
        <v>2.3677118526829976E-2</v>
      </c>
      <c r="H212" s="88">
        <v>1.3086337242893918E-2</v>
      </c>
      <c r="I212" s="88">
        <v>2.3055061816197597E-2</v>
      </c>
      <c r="J212" s="88">
        <v>1.2024192966801591E-2</v>
      </c>
      <c r="K212" s="88">
        <v>2.2446698538237278E-3</v>
      </c>
      <c r="L212" s="88">
        <v>-2.2805026987252177E-3</v>
      </c>
      <c r="M212" s="88">
        <v>3.5718082602079031E-2</v>
      </c>
      <c r="N212" s="88">
        <v>3.3648034118232729E-2</v>
      </c>
      <c r="O212" s="88">
        <v>3.5809452696710778E-2</v>
      </c>
      <c r="P212" s="88">
        <v>6.920442844573757E-3</v>
      </c>
      <c r="Q212" s="89">
        <v>1.4591901676290124E-2</v>
      </c>
      <c r="R212" s="52"/>
      <c r="S212" s="52"/>
      <c r="T212" s="52"/>
      <c r="U212" s="52"/>
      <c r="V212" s="52"/>
      <c r="W212" s="52"/>
    </row>
    <row r="213" spans="1:23">
      <c r="A213" s="87">
        <v>43866</v>
      </c>
      <c r="B213" s="88">
        <v>2.1062141079424817E-3</v>
      </c>
      <c r="C213" s="88">
        <v>2.1621630044953172E-3</v>
      </c>
      <c r="D213" s="88">
        <v>1.5748356968139112E-2</v>
      </c>
      <c r="E213" s="88">
        <v>-1.6255760827007402E-3</v>
      </c>
      <c r="F213" s="88">
        <v>4.8367688006140212E-3</v>
      </c>
      <c r="G213" s="88">
        <v>-2.4660924951934427E-3</v>
      </c>
      <c r="H213" s="88">
        <v>-1.0840109462583367E-3</v>
      </c>
      <c r="I213" s="88">
        <v>1.5562624122283398E-2</v>
      </c>
      <c r="J213" s="88">
        <v>3.9761483796394168E-3</v>
      </c>
      <c r="K213" s="88">
        <v>1.2256420836976022E-2</v>
      </c>
      <c r="L213" s="88">
        <v>0</v>
      </c>
      <c r="M213" s="88">
        <v>6.5574005461590396E-3</v>
      </c>
      <c r="N213" s="88">
        <v>1.0969031370573937E-2</v>
      </c>
      <c r="O213" s="88">
        <v>2.2361180158157325E-2</v>
      </c>
      <c r="P213" s="88">
        <v>-6.9204428445737952E-3</v>
      </c>
      <c r="Q213" s="89">
        <v>4.6143714816247851E-3</v>
      </c>
      <c r="R213" s="52"/>
      <c r="S213" s="52"/>
      <c r="T213" s="52"/>
      <c r="U213" s="52"/>
      <c r="V213" s="52"/>
      <c r="W213" s="52"/>
    </row>
    <row r="214" spans="1:23">
      <c r="A214" s="87">
        <v>43867</v>
      </c>
      <c r="B214" s="88">
        <v>2.701487460160518E-3</v>
      </c>
      <c r="C214" s="88">
        <v>7.8881728490060796E-3</v>
      </c>
      <c r="D214" s="88">
        <v>-4.349724126465759E-3</v>
      </c>
      <c r="E214" s="88">
        <v>3.7889084569583012E-3</v>
      </c>
      <c r="F214" s="88">
        <v>-2.415460111603662E-3</v>
      </c>
      <c r="G214" s="88">
        <v>0</v>
      </c>
      <c r="H214" s="88">
        <v>1.5070252920998173E-2</v>
      </c>
      <c r="I214" s="88">
        <v>1.4016401973535783E-2</v>
      </c>
      <c r="J214" s="88">
        <v>-3.9761483796392945E-3</v>
      </c>
      <c r="K214" s="88">
        <v>-1.4501090690799844E-2</v>
      </c>
      <c r="L214" s="88">
        <v>-6.8728792877619524E-3</v>
      </c>
      <c r="M214" s="88">
        <v>-6.5574005461591636E-3</v>
      </c>
      <c r="N214" s="88">
        <v>7.2464085207672533E-3</v>
      </c>
      <c r="O214" s="88">
        <v>-4.9261183360560009E-3</v>
      </c>
      <c r="P214" s="88">
        <v>1.5162247739677455E-2</v>
      </c>
      <c r="Q214" s="89">
        <v>4.9933784498610808E-4</v>
      </c>
      <c r="R214" s="52"/>
      <c r="S214" s="52"/>
      <c r="T214" s="52"/>
      <c r="U214" s="52"/>
      <c r="V214" s="52"/>
      <c r="W214" s="52"/>
    </row>
    <row r="215" spans="1:23">
      <c r="A215" s="87">
        <v>43868</v>
      </c>
      <c r="B215" s="88">
        <v>-1.3581014535297579E-2</v>
      </c>
      <c r="C215" s="88">
        <v>1.980262729617973E-2</v>
      </c>
      <c r="D215" s="88">
        <v>5.2174031396881402E-3</v>
      </c>
      <c r="E215" s="88">
        <v>6.9986826720389202E-3</v>
      </c>
      <c r="F215" s="88">
        <v>-3.5696097573882396E-2</v>
      </c>
      <c r="G215" s="88">
        <v>-1.2422519998557096E-2</v>
      </c>
      <c r="H215" s="88">
        <v>-2.1390382487494184E-3</v>
      </c>
      <c r="I215" s="88">
        <v>-2.1159721893946531E-2</v>
      </c>
      <c r="J215" s="88">
        <v>-1.7415041601678123E-2</v>
      </c>
      <c r="K215" s="88">
        <v>-6.7644000885421487E-3</v>
      </c>
      <c r="L215" s="88">
        <v>-1.1560822401075971E-2</v>
      </c>
      <c r="M215" s="88">
        <v>-1.3245226750020567E-2</v>
      </c>
      <c r="N215" s="88">
        <v>0</v>
      </c>
      <c r="O215" s="88">
        <v>-2.4721891453890368E-3</v>
      </c>
      <c r="P215" s="88">
        <v>0</v>
      </c>
      <c r="Q215" s="89">
        <v>-1.1504416434066893E-2</v>
      </c>
      <c r="R215" s="52"/>
      <c r="S215" s="52"/>
      <c r="T215" s="52"/>
      <c r="U215" s="52"/>
      <c r="V215" s="52"/>
      <c r="W215" s="52"/>
    </row>
    <row r="216" spans="1:23">
      <c r="A216" s="87">
        <v>43871</v>
      </c>
      <c r="B216" s="88">
        <v>3.0339829098530524E-3</v>
      </c>
      <c r="C216" s="88">
        <v>-3.3466989490237457E-2</v>
      </c>
      <c r="D216" s="88">
        <v>-1.0462170406983296E-2</v>
      </c>
      <c r="E216" s="88">
        <v>6.9500413409722727E-3</v>
      </c>
      <c r="F216" s="88">
        <v>-1.6424879667400305E-2</v>
      </c>
      <c r="G216" s="88">
        <v>0</v>
      </c>
      <c r="H216" s="88">
        <v>-2.3836448154511299E-2</v>
      </c>
      <c r="I216" s="88">
        <v>9.4328913248874456E-3</v>
      </c>
      <c r="J216" s="88">
        <v>-1.0869672236903879E-2</v>
      </c>
      <c r="K216" s="88">
        <v>1.7937700686667252E-2</v>
      </c>
      <c r="L216" s="88">
        <v>-9.345862418237658E-3</v>
      </c>
      <c r="M216" s="88">
        <v>1.1049836186584935E-2</v>
      </c>
      <c r="N216" s="88">
        <v>0</v>
      </c>
      <c r="O216" s="88">
        <v>4.9382816405825767E-3</v>
      </c>
      <c r="P216" s="88">
        <v>0</v>
      </c>
      <c r="Q216" s="89">
        <v>-8.7436950665144564E-3</v>
      </c>
      <c r="R216" s="52"/>
      <c r="S216" s="52"/>
      <c r="T216" s="52"/>
      <c r="U216" s="52"/>
      <c r="V216" s="52"/>
      <c r="W216" s="52"/>
    </row>
    <row r="217" spans="1:23">
      <c r="A217" s="87">
        <v>43872</v>
      </c>
      <c r="B217" s="88">
        <v>6.9434241221460061E-3</v>
      </c>
      <c r="C217" s="88">
        <v>4.3352669055394125E-3</v>
      </c>
      <c r="D217" s="88">
        <v>4.3725474126093357E-3</v>
      </c>
      <c r="E217" s="88">
        <v>1.3756830709640783E-2</v>
      </c>
      <c r="F217" s="88">
        <v>1.2658396871923465E-2</v>
      </c>
      <c r="G217" s="88">
        <v>-3.7570488777122881E-3</v>
      </c>
      <c r="H217" s="88">
        <v>-3.2948958968525379E-3</v>
      </c>
      <c r="I217" s="88">
        <v>1.1726830569059137E-2</v>
      </c>
      <c r="J217" s="88">
        <v>1.2220111334775397E-2</v>
      </c>
      <c r="K217" s="88">
        <v>4.4345970678655536E-3</v>
      </c>
      <c r="L217" s="88">
        <v>9.345862418237599E-3</v>
      </c>
      <c r="M217" s="88">
        <v>3.0305349495329058E-2</v>
      </c>
      <c r="N217" s="88">
        <v>1.077209698191104E-2</v>
      </c>
      <c r="O217" s="88">
        <v>-2.4660924951934427E-3</v>
      </c>
      <c r="P217" s="88">
        <v>-2.7397277411203274E-3</v>
      </c>
      <c r="Q217" s="89">
        <v>1.5407067479000164E-2</v>
      </c>
      <c r="R217" s="52"/>
      <c r="S217" s="52"/>
      <c r="T217" s="52"/>
      <c r="U217" s="52"/>
      <c r="V217" s="52"/>
      <c r="W217" s="52"/>
    </row>
    <row r="218" spans="1:23">
      <c r="A218" s="87">
        <v>43873</v>
      </c>
      <c r="B218" s="88">
        <v>-9.0293459859225344E-4</v>
      </c>
      <c r="C218" s="88">
        <v>-1.1602740752517085E-2</v>
      </c>
      <c r="D218" s="88">
        <v>3.7675688830890057E-2</v>
      </c>
      <c r="E218" s="88">
        <v>-2.8245949223779081E-2</v>
      </c>
      <c r="F218" s="88">
        <v>6.269613013595395E-3</v>
      </c>
      <c r="G218" s="88">
        <v>0</v>
      </c>
      <c r="H218" s="88">
        <v>-6.6225407604934942E-3</v>
      </c>
      <c r="I218" s="88">
        <v>-6.923747367970602E-3</v>
      </c>
      <c r="J218" s="88">
        <v>1.4735698653752965E-2</v>
      </c>
      <c r="K218" s="88">
        <v>-1.1068069751911064E-3</v>
      </c>
      <c r="L218" s="88">
        <v>-4.662013105811413E-3</v>
      </c>
      <c r="M218" s="88">
        <v>3.3546122491203589E-2</v>
      </c>
      <c r="N218" s="88">
        <v>-7.168489478612516E-3</v>
      </c>
      <c r="O218" s="88">
        <v>2.4660924951934683E-3</v>
      </c>
      <c r="P218" s="88">
        <v>-4.1237171838620409E-3</v>
      </c>
      <c r="Q218" s="89">
        <v>6.1050062946233006E-4</v>
      </c>
      <c r="R218" s="52"/>
      <c r="S218" s="52"/>
      <c r="T218" s="52"/>
      <c r="U218" s="52"/>
      <c r="V218" s="52"/>
      <c r="W218" s="52"/>
    </row>
    <row r="219" spans="1:23">
      <c r="A219" s="87">
        <v>43874</v>
      </c>
      <c r="B219" s="88">
        <v>2.6446348900815961E-2</v>
      </c>
      <c r="C219" s="88">
        <v>1.0881500187533987E-2</v>
      </c>
      <c r="D219" s="88">
        <v>0</v>
      </c>
      <c r="E219" s="88">
        <v>3.1917602968305162E-2</v>
      </c>
      <c r="F219" s="88">
        <v>-7.5282664207915245E-3</v>
      </c>
      <c r="G219" s="88">
        <v>2.8449661468083608E-2</v>
      </c>
      <c r="H219" s="88">
        <v>6.6225407604934569E-3</v>
      </c>
      <c r="I219" s="88">
        <v>9.3001743418703459E-3</v>
      </c>
      <c r="J219" s="88">
        <v>-1.3387080782459296E-2</v>
      </c>
      <c r="K219" s="88">
        <v>-5.5524851147856673E-3</v>
      </c>
      <c r="L219" s="88">
        <v>1.3921338518608014E-2</v>
      </c>
      <c r="M219" s="88">
        <v>-2.5053502445550026E-2</v>
      </c>
      <c r="N219" s="88">
        <v>7.168489478612497E-3</v>
      </c>
      <c r="O219" s="88">
        <v>-4.9382816405824544E-3</v>
      </c>
      <c r="P219" s="88">
        <v>5.4945193176407798E-3</v>
      </c>
      <c r="Q219" s="89">
        <v>2.9165327018278496E-3</v>
      </c>
      <c r="R219" s="52"/>
      <c r="S219" s="52"/>
      <c r="T219" s="52"/>
      <c r="U219" s="52"/>
      <c r="V219" s="52"/>
      <c r="W219" s="52"/>
    </row>
    <row r="220" spans="1:23">
      <c r="A220" s="87">
        <v>43875</v>
      </c>
      <c r="B220" s="88">
        <v>4.0971669840702872E-3</v>
      </c>
      <c r="C220" s="88">
        <v>-4.3384015985980188E-3</v>
      </c>
      <c r="D220" s="88">
        <v>6.7001925698195654E-3</v>
      </c>
      <c r="E220" s="88">
        <v>-2.1164811192043383E-2</v>
      </c>
      <c r="F220" s="88">
        <v>1.8715455811356002E-2</v>
      </c>
      <c r="G220" s="88">
        <v>1.0915814876996187E-2</v>
      </c>
      <c r="H220" s="88">
        <v>-8.8398365691409516E-3</v>
      </c>
      <c r="I220" s="88">
        <v>8.1555915670703596E-3</v>
      </c>
      <c r="J220" s="88">
        <v>1.4715984632513109E-2</v>
      </c>
      <c r="K220" s="88">
        <v>2.2246950221111086E-3</v>
      </c>
      <c r="L220" s="88">
        <v>9.1743762760412295E-3</v>
      </c>
      <c r="M220" s="88">
        <v>-1.4909754366287151E-2</v>
      </c>
      <c r="N220" s="88">
        <v>0</v>
      </c>
      <c r="O220" s="88">
        <v>1.2300278081651687E-2</v>
      </c>
      <c r="P220" s="88">
        <v>-1.6574965094212676E-2</v>
      </c>
      <c r="Q220" s="89">
        <v>2.2360446539182702E-3</v>
      </c>
      <c r="R220" s="52"/>
      <c r="S220" s="52"/>
      <c r="T220" s="52"/>
      <c r="U220" s="52"/>
      <c r="V220" s="52"/>
      <c r="W220" s="52"/>
    </row>
    <row r="221" spans="1:23">
      <c r="A221" s="87">
        <v>43878</v>
      </c>
      <c r="B221" s="88">
        <v>-1.1689072049818425E-3</v>
      </c>
      <c r="C221" s="88">
        <v>0</v>
      </c>
      <c r="D221" s="88">
        <v>1.6680571006970134E-3</v>
      </c>
      <c r="E221" s="88">
        <v>-2.6773777707164029E-3</v>
      </c>
      <c r="F221" s="88">
        <v>-1.2368585373963583E-3</v>
      </c>
      <c r="G221" s="88">
        <v>2.4096397201533296E-3</v>
      </c>
      <c r="H221" s="88">
        <v>1.1092624542857557E-3</v>
      </c>
      <c r="I221" s="88">
        <v>9.1399745727237074E-3</v>
      </c>
      <c r="J221" s="88">
        <v>-5.3262442826740941E-3</v>
      </c>
      <c r="K221" s="88">
        <v>-1.1173300598125189E-2</v>
      </c>
      <c r="L221" s="88">
        <v>-9.1743762760412694E-3</v>
      </c>
      <c r="M221" s="88">
        <v>-2.6088436084297967E-2</v>
      </c>
      <c r="N221" s="88">
        <v>-1.8018505502678365E-2</v>
      </c>
      <c r="O221" s="88">
        <v>-2.2250608934819692E-2</v>
      </c>
      <c r="P221" s="88">
        <v>2.7816429618767705E-3</v>
      </c>
      <c r="Q221" s="89">
        <v>-2.7469114537964378E-3</v>
      </c>
      <c r="R221" s="52"/>
      <c r="S221" s="52"/>
      <c r="T221" s="52"/>
      <c r="U221" s="52"/>
      <c r="V221" s="52"/>
      <c r="W221" s="52"/>
    </row>
    <row r="222" spans="1:23">
      <c r="A222" s="87">
        <v>43879</v>
      </c>
      <c r="B222" s="88">
        <v>-1.4630580517605511E-3</v>
      </c>
      <c r="C222" s="88">
        <v>0</v>
      </c>
      <c r="D222" s="88">
        <v>-7.5282664207915245E-3</v>
      </c>
      <c r="E222" s="88">
        <v>-3.7604127041321587E-3</v>
      </c>
      <c r="F222" s="88">
        <v>-2.8878340738686972E-2</v>
      </c>
      <c r="G222" s="88">
        <v>-7.2464085207673097E-3</v>
      </c>
      <c r="H222" s="88">
        <v>-8.9087448891095548E-3</v>
      </c>
      <c r="I222" s="88">
        <v>-3.3884474787798748E-3</v>
      </c>
      <c r="J222" s="88">
        <v>1.0624269920229204E-2</v>
      </c>
      <c r="K222" s="88">
        <v>-1.4714470354002541E-2</v>
      </c>
      <c r="L222" s="88">
        <v>-4.6189458562944166E-3</v>
      </c>
      <c r="M222" s="88">
        <v>2.2002209096023376E-3</v>
      </c>
      <c r="N222" s="88">
        <v>7.2464085207672533E-3</v>
      </c>
      <c r="O222" s="88">
        <v>0</v>
      </c>
      <c r="P222" s="88">
        <v>0</v>
      </c>
      <c r="Q222" s="89">
        <v>-8.68103661430779E-3</v>
      </c>
      <c r="R222" s="52"/>
      <c r="S222" s="52"/>
      <c r="T222" s="52"/>
      <c r="U222" s="52"/>
      <c r="V222" s="52"/>
      <c r="W222" s="52"/>
    </row>
    <row r="223" spans="1:23">
      <c r="A223" s="87">
        <v>43880</v>
      </c>
      <c r="B223" s="88">
        <v>1.4630580517605368E-3</v>
      </c>
      <c r="C223" s="88">
        <v>2.2923639901936809E-2</v>
      </c>
      <c r="D223" s="88">
        <v>1.5000281259492598E-2</v>
      </c>
      <c r="E223" s="88">
        <v>-4.3150013014132361E-3</v>
      </c>
      <c r="F223" s="88">
        <v>3.8143720754706925E-3</v>
      </c>
      <c r="G223" s="88">
        <v>2.0396627907645654E-2</v>
      </c>
      <c r="H223" s="88">
        <v>-4.4843124473285759E-3</v>
      </c>
      <c r="I223" s="88">
        <v>1.0246945737994371E-2</v>
      </c>
      <c r="J223" s="88">
        <v>-3.9708854294927317E-3</v>
      </c>
      <c r="K223" s="88">
        <v>-2.2831060145685209E-3</v>
      </c>
      <c r="L223" s="88">
        <v>-6.9686693160934277E-3</v>
      </c>
      <c r="M223" s="88">
        <v>-1.5504186535965086E-2</v>
      </c>
      <c r="N223" s="88">
        <v>-1.0889399799268319E-2</v>
      </c>
      <c r="O223" s="88">
        <v>2.4968801985871458E-3</v>
      </c>
      <c r="P223" s="88">
        <v>1.6529301951210506E-2</v>
      </c>
      <c r="Q223" s="89">
        <v>5.4467437869063053E-3</v>
      </c>
      <c r="R223" s="52"/>
      <c r="S223" s="52"/>
      <c r="T223" s="52"/>
      <c r="U223" s="52"/>
      <c r="V223" s="52"/>
      <c r="W223" s="52"/>
    </row>
    <row r="224" spans="1:23">
      <c r="A224" s="87">
        <v>43881</v>
      </c>
      <c r="B224" s="88">
        <v>-1.799724044435811E-2</v>
      </c>
      <c r="C224" s="88">
        <v>-7.0846620037342276E-4</v>
      </c>
      <c r="D224" s="88">
        <v>1.6528929382995943E-3</v>
      </c>
      <c r="E224" s="88">
        <v>-2.9623669210225512E-2</v>
      </c>
      <c r="F224" s="88">
        <v>-6.3653938670760711E-3</v>
      </c>
      <c r="G224" s="88">
        <v>-2.3781224049673243E-3</v>
      </c>
      <c r="H224" s="88">
        <v>0</v>
      </c>
      <c r="I224" s="88">
        <v>1.0143009965054765E-2</v>
      </c>
      <c r="J224" s="88">
        <v>1.709443335930004E-2</v>
      </c>
      <c r="K224" s="88">
        <v>5.6980211146377959E-3</v>
      </c>
      <c r="L224" s="88">
        <v>2.3282897595911681E-3</v>
      </c>
      <c r="M224" s="88">
        <v>-6.7189502487449808E-3</v>
      </c>
      <c r="N224" s="88">
        <v>0</v>
      </c>
      <c r="O224" s="88">
        <v>0</v>
      </c>
      <c r="P224" s="88">
        <v>1.0869672236903891E-2</v>
      </c>
      <c r="Q224" s="89">
        <v>-4.0658459840433158E-3</v>
      </c>
      <c r="R224" s="52"/>
      <c r="S224" s="52"/>
      <c r="T224" s="52"/>
      <c r="U224" s="52"/>
      <c r="V224" s="52"/>
      <c r="W224" s="52"/>
    </row>
    <row r="225" spans="1:23">
      <c r="A225" s="87">
        <v>43882</v>
      </c>
      <c r="B225" s="88">
        <v>-5.0738804569537676E-3</v>
      </c>
      <c r="C225" s="88">
        <v>-1.4275759929371015E-2</v>
      </c>
      <c r="D225" s="88">
        <v>-1.3300279187481253E-2</v>
      </c>
      <c r="E225" s="88">
        <v>-3.4554556481185293E-2</v>
      </c>
      <c r="F225" s="88">
        <v>-5.6482509792587725E-2</v>
      </c>
      <c r="G225" s="88">
        <v>-2.2878782384930997E-2</v>
      </c>
      <c r="H225" s="88">
        <v>-2.618248594564376E-2</v>
      </c>
      <c r="I225" s="88">
        <v>-5.6351135258650232E-3</v>
      </c>
      <c r="J225" s="88">
        <v>-1.312354792980734E-2</v>
      </c>
      <c r="K225" s="88">
        <v>-3.3509778898878143E-2</v>
      </c>
      <c r="L225" s="88">
        <v>-4.662013105811413E-3</v>
      </c>
      <c r="M225" s="88">
        <v>-2.2728251077556289E-2</v>
      </c>
      <c r="N225" s="88">
        <v>0</v>
      </c>
      <c r="O225" s="88">
        <v>-1.7610518008635279E-2</v>
      </c>
      <c r="P225" s="88">
        <v>-1.7723708664696115E-2</v>
      </c>
      <c r="Q225" s="89">
        <v>-2.2203325039359428E-2</v>
      </c>
      <c r="R225" s="52"/>
      <c r="S225" s="52"/>
      <c r="T225" s="52"/>
      <c r="U225" s="52"/>
      <c r="V225" s="52"/>
      <c r="W225" s="52"/>
    </row>
    <row r="226" spans="1:23">
      <c r="A226" s="87">
        <v>43885</v>
      </c>
      <c r="B226" s="88">
        <v>-2.6377154512669518E-2</v>
      </c>
      <c r="C226" s="88">
        <v>-4.4092373528331195E-2</v>
      </c>
      <c r="D226" s="88">
        <v>-8.6478996857650065E-2</v>
      </c>
      <c r="E226" s="88">
        <v>-0.10632159213737695</v>
      </c>
      <c r="F226" s="88">
        <v>-0.12814054398964619</v>
      </c>
      <c r="G226" s="88">
        <v>-0.11747857530999151</v>
      </c>
      <c r="H226" s="88">
        <v>-0.10190628078973868</v>
      </c>
      <c r="I226" s="88">
        <v>-8.4801639635570844E-2</v>
      </c>
      <c r="J226" s="88">
        <v>-7.4006361626783923E-2</v>
      </c>
      <c r="K226" s="88">
        <v>-5.0613211514882406E-2</v>
      </c>
      <c r="L226" s="88">
        <v>-0.10121543200265745</v>
      </c>
      <c r="M226" s="88">
        <v>-7.8893942469663081E-2</v>
      </c>
      <c r="N226" s="88">
        <v>-6.7950661908507667E-2</v>
      </c>
      <c r="O226" s="88">
        <v>-7.6453555715442365E-2</v>
      </c>
      <c r="P226" s="88">
        <v>-1.5246310572873751E-2</v>
      </c>
      <c r="Q226" s="89">
        <v>-8.7330056985179386E-2</v>
      </c>
      <c r="R226" s="52"/>
      <c r="S226" s="52"/>
      <c r="T226" s="52"/>
      <c r="U226" s="52"/>
      <c r="V226" s="52"/>
      <c r="W226" s="52"/>
    </row>
    <row r="227" spans="1:23">
      <c r="A227" s="87">
        <v>43886</v>
      </c>
      <c r="B227" s="88">
        <v>-3.2789822822990727E-2</v>
      </c>
      <c r="C227" s="88">
        <v>2.155416033498601E-2</v>
      </c>
      <c r="D227" s="88">
        <v>2.7892046531815384E-2</v>
      </c>
      <c r="E227" s="88">
        <v>5.0010420574661416E-2</v>
      </c>
      <c r="F227" s="88">
        <v>7.2570692834835374E-2</v>
      </c>
      <c r="G227" s="88">
        <v>2.435844383204044E-2</v>
      </c>
      <c r="H227" s="88">
        <v>-2.3256862164267235E-2</v>
      </c>
      <c r="I227" s="88">
        <v>3.8539703397216345E-2</v>
      </c>
      <c r="J227" s="88">
        <v>7.4006361626783854E-2</v>
      </c>
      <c r="K227" s="88">
        <v>-2.8842124629285138E-2</v>
      </c>
      <c r="L227" s="88">
        <v>-2.0703941143084019E-3</v>
      </c>
      <c r="M227" s="88">
        <v>3.4233171642242391E-2</v>
      </c>
      <c r="N227" s="88">
        <v>-3.9138993211363287E-3</v>
      </c>
      <c r="O227" s="88">
        <v>0</v>
      </c>
      <c r="P227" s="88">
        <v>1.9364367181791152E-2</v>
      </c>
      <c r="Q227" s="89">
        <v>1.8715440706645686E-2</v>
      </c>
      <c r="R227" s="52"/>
      <c r="S227" s="52"/>
      <c r="T227" s="52"/>
      <c r="U227" s="52"/>
      <c r="V227" s="52"/>
      <c r="W227" s="52"/>
    </row>
    <row r="228" spans="1:23">
      <c r="A228" s="87">
        <v>43887</v>
      </c>
      <c r="B228" s="88">
        <v>-4.7732787526576599E-3</v>
      </c>
      <c r="C228" s="88">
        <v>-1.4815085785140587E-2</v>
      </c>
      <c r="D228" s="88">
        <v>-1.3399039229248689E-2</v>
      </c>
      <c r="E228" s="88">
        <v>-5.1935348984245705E-2</v>
      </c>
      <c r="F228" s="88">
        <v>-3.4887259000440436E-2</v>
      </c>
      <c r="G228" s="88">
        <v>-2.1622464013165657E-2</v>
      </c>
      <c r="H228" s="88">
        <v>-4.0005334613699248E-2</v>
      </c>
      <c r="I228" s="88">
        <v>-4.105353076426161E-2</v>
      </c>
      <c r="J228" s="88">
        <v>-4.1813238612652792E-2</v>
      </c>
      <c r="K228" s="88">
        <v>7.6045993852192125E-3</v>
      </c>
      <c r="L228" s="88">
        <v>-3.2651663110143357E-2</v>
      </c>
      <c r="M228" s="88">
        <v>-4.4233254976825648E-2</v>
      </c>
      <c r="N228" s="88">
        <v>-2.7834798993443988E-2</v>
      </c>
      <c r="O228" s="88">
        <v>-4.4825431380064271E-2</v>
      </c>
      <c r="P228" s="88">
        <v>-5.4945193176407017E-3</v>
      </c>
      <c r="Q228" s="89">
        <v>-2.7318356886065313E-2</v>
      </c>
      <c r="R228" s="52"/>
      <c r="S228" s="52"/>
      <c r="T228" s="52"/>
      <c r="U228" s="52"/>
      <c r="V228" s="52"/>
      <c r="W228" s="52"/>
    </row>
    <row r="229" spans="1:23">
      <c r="A229" s="87">
        <v>43888</v>
      </c>
      <c r="B229" s="88">
        <v>-2.2255393635261685E-2</v>
      </c>
      <c r="C229" s="88">
        <v>-2.1116923440922808E-2</v>
      </c>
      <c r="D229" s="88">
        <v>-5.546708151287251E-2</v>
      </c>
      <c r="E229" s="88">
        <v>-6.4324457131616303E-2</v>
      </c>
      <c r="F229" s="88">
        <v>-9.6198147895821651E-2</v>
      </c>
      <c r="G229" s="88">
        <v>-4.4700178917906938E-2</v>
      </c>
      <c r="H229" s="88">
        <v>-2.3400930164612473E-2</v>
      </c>
      <c r="I229" s="88">
        <v>-2.7559794793076572E-2</v>
      </c>
      <c r="J229" s="88">
        <v>-5.8131176562570872E-2</v>
      </c>
      <c r="K229" s="88">
        <v>-5.063301956546762E-3</v>
      </c>
      <c r="L229" s="88">
        <v>-5.3888793220913174E-2</v>
      </c>
      <c r="M229" s="88">
        <v>-4.3652630157736759E-2</v>
      </c>
      <c r="N229" s="88">
        <v>-1.2170535620255179E-2</v>
      </c>
      <c r="O229" s="88">
        <v>-4.9936953285938751E-2</v>
      </c>
      <c r="P229" s="88">
        <v>-8.2988028146950658E-3</v>
      </c>
      <c r="Q229" s="89">
        <v>-5.381732302548603E-2</v>
      </c>
      <c r="R229" s="52"/>
      <c r="S229" s="52"/>
      <c r="T229" s="52"/>
      <c r="U229" s="52"/>
      <c r="V229" s="52"/>
      <c r="W229" s="52"/>
    </row>
    <row r="230" spans="1:23">
      <c r="A230" s="87">
        <v>43889</v>
      </c>
      <c r="B230" s="88">
        <v>-7.6569728276507765E-2</v>
      </c>
      <c r="C230" s="88">
        <v>-2.3131332023418966E-2</v>
      </c>
      <c r="D230" s="88">
        <v>-8.1152321800226718E-2</v>
      </c>
      <c r="E230" s="88">
        <v>-2.6372104339195884E-2</v>
      </c>
      <c r="F230" s="88">
        <v>-8.1400849943959561E-2</v>
      </c>
      <c r="G230" s="88">
        <v>9.950330853168092E-3</v>
      </c>
      <c r="H230" s="88">
        <v>-0.11656511467068938</v>
      </c>
      <c r="I230" s="88">
        <v>-4.5387164052730015E-2</v>
      </c>
      <c r="J230" s="88">
        <v>-6.7950661908507667E-2</v>
      </c>
      <c r="K230" s="88">
        <v>-8.8858952572930056E-2</v>
      </c>
      <c r="L230" s="88">
        <v>-7.7503561154860137E-2</v>
      </c>
      <c r="M230" s="88">
        <v>-7.0681585651285198E-2</v>
      </c>
      <c r="N230" s="88">
        <v>-0.10309550902697412</v>
      </c>
      <c r="O230" s="88">
        <v>-2.1309786586750985E-2</v>
      </c>
      <c r="P230" s="88">
        <v>6.920442844573757E-3</v>
      </c>
      <c r="Q230" s="89">
        <v>-6.5132673739505306E-2</v>
      </c>
      <c r="R230" s="52"/>
      <c r="S230" s="52"/>
      <c r="T230" s="52"/>
      <c r="U230" s="52"/>
      <c r="V230" s="52"/>
      <c r="W230" s="52"/>
    </row>
    <row r="231" spans="1:23">
      <c r="A231" s="87">
        <v>43893</v>
      </c>
      <c r="B231" s="88">
        <v>4.3747289135570182E-2</v>
      </c>
      <c r="C231" s="88">
        <v>-1.5612805669524645E-3</v>
      </c>
      <c r="D231" s="88">
        <v>3.7434821221133868E-2</v>
      </c>
      <c r="E231" s="88">
        <v>0.16075929504761455</v>
      </c>
      <c r="F231" s="88">
        <v>0.11503092068950889</v>
      </c>
      <c r="G231" s="88">
        <v>3.2013868245863962E-2</v>
      </c>
      <c r="H231" s="88">
        <v>3.9882586278319476E-2</v>
      </c>
      <c r="I231" s="88">
        <v>7.7843083120375231E-2</v>
      </c>
      <c r="J231" s="88">
        <v>6.2094129795794741E-2</v>
      </c>
      <c r="K231" s="88">
        <v>8.2873402485702866E-3</v>
      </c>
      <c r="L231" s="88">
        <v>6.7282007083321993E-2</v>
      </c>
      <c r="M231" s="88">
        <v>7.5917199705230309E-2</v>
      </c>
      <c r="N231" s="88">
        <v>2.2372297754532984E-2</v>
      </c>
      <c r="O231" s="88">
        <v>6.2613592727986681E-2</v>
      </c>
      <c r="P231" s="88">
        <v>2.7548226788446837E-3</v>
      </c>
      <c r="Q231" s="89">
        <v>6.1862632067154297E-2</v>
      </c>
      <c r="R231" s="52"/>
      <c r="S231" s="52"/>
      <c r="T231" s="52"/>
      <c r="U231" s="52"/>
      <c r="V231" s="52"/>
      <c r="W231" s="52"/>
    </row>
    <row r="232" spans="1:23">
      <c r="A232" s="87">
        <v>43894</v>
      </c>
      <c r="B232" s="88">
        <v>4.7074733872495408E-3</v>
      </c>
      <c r="C232" s="88">
        <v>-3.9138993211363287E-3</v>
      </c>
      <c r="D232" s="88">
        <v>2.2583188505119201E-2</v>
      </c>
      <c r="E232" s="88">
        <v>2.2499468937714318E-2</v>
      </c>
      <c r="F232" s="88">
        <v>-3.1545767485154324E-3</v>
      </c>
      <c r="G232" s="88">
        <v>-4.118056608917486E-3</v>
      </c>
      <c r="H232" s="88">
        <v>-4.5214847188460071E-3</v>
      </c>
      <c r="I232" s="88">
        <v>3.022123302200274E-2</v>
      </c>
      <c r="J232" s="88">
        <v>-8.8496152769824993E-3</v>
      </c>
      <c r="K232" s="88">
        <v>1.7723708664696212E-2</v>
      </c>
      <c r="L232" s="88">
        <v>6.4110347292451159E-2</v>
      </c>
      <c r="M232" s="88">
        <v>2.8315920117287858E-2</v>
      </c>
      <c r="N232" s="88">
        <v>3.9050514871873034E-2</v>
      </c>
      <c r="O232" s="88">
        <v>-3.5297782081023819E-2</v>
      </c>
      <c r="P232" s="88">
        <v>-2.7548226788446199E-3</v>
      </c>
      <c r="Q232" s="89">
        <v>5.4917306793681245E-3</v>
      </c>
      <c r="R232" s="52"/>
      <c r="S232" s="52"/>
      <c r="T232" s="52"/>
      <c r="U232" s="52"/>
      <c r="V232" s="52"/>
      <c r="W232" s="52"/>
    </row>
    <row r="233" spans="1:23">
      <c r="A233" s="87">
        <v>43895</v>
      </c>
      <c r="B233" s="88">
        <v>-2.616971773338472E-2</v>
      </c>
      <c r="C233" s="88">
        <v>-3.2685253127193462E-2</v>
      </c>
      <c r="D233" s="88">
        <v>-1.0737048000956794E-2</v>
      </c>
      <c r="E233" s="88">
        <v>-0.10094664376379356</v>
      </c>
      <c r="F233" s="88">
        <v>-5.6879668193544543E-2</v>
      </c>
      <c r="G233" s="88">
        <v>-8.1648765148507538E-2</v>
      </c>
      <c r="H233" s="88">
        <v>-1.5220994010355355E-2</v>
      </c>
      <c r="I233" s="88">
        <v>-1.8394142155974503E-2</v>
      </c>
      <c r="J233" s="88">
        <v>-3.7740327982847086E-2</v>
      </c>
      <c r="K233" s="88">
        <v>1.7415041601678071E-2</v>
      </c>
      <c r="L233" s="88">
        <v>-7.0983226580213291E-2</v>
      </c>
      <c r="M233" s="88">
        <v>-5.209511188340181E-2</v>
      </c>
      <c r="N233" s="88">
        <v>-3.9050514871873027E-2</v>
      </c>
      <c r="O233" s="88">
        <v>-0.12078153865264005</v>
      </c>
      <c r="P233" s="88">
        <v>1.3783599701213596E-3</v>
      </c>
      <c r="Q233" s="89">
        <v>-5.6557030334532229E-2</v>
      </c>
      <c r="R233" s="52"/>
      <c r="S233" s="52"/>
      <c r="T233" s="52"/>
      <c r="U233" s="52"/>
      <c r="V233" s="52"/>
      <c r="W233" s="52"/>
    </row>
    <row r="234" spans="1:23">
      <c r="A234" s="87">
        <v>43896</v>
      </c>
      <c r="B234" s="88">
        <v>-3.0061683486061176E-2</v>
      </c>
      <c r="C234" s="88">
        <v>-3.7148307774551262E-2</v>
      </c>
      <c r="D234" s="88">
        <v>-5.9123051014113331E-2</v>
      </c>
      <c r="E234" s="88">
        <v>-5.2521209133553758E-2</v>
      </c>
      <c r="F234" s="88">
        <v>-0.1397619423751586</v>
      </c>
      <c r="G234" s="88">
        <v>-5.2079149044889569E-2</v>
      </c>
      <c r="H234" s="88">
        <v>-6.658560475929598E-2</v>
      </c>
      <c r="I234" s="88">
        <v>-2.8878340738686972E-2</v>
      </c>
      <c r="J234" s="88">
        <v>-3.9220713153281267E-2</v>
      </c>
      <c r="K234" s="88">
        <v>-6.7286871641851237E-2</v>
      </c>
      <c r="L234" s="88">
        <v>-1.1560822401075971E-2</v>
      </c>
      <c r="M234" s="88">
        <v>-4.3722811013831693E-2</v>
      </c>
      <c r="N234" s="88">
        <v>1.7544309650909525E-2</v>
      </c>
      <c r="O234" s="88">
        <v>1.0084119066626226E-2</v>
      </c>
      <c r="P234" s="88">
        <v>0</v>
      </c>
      <c r="Q234" s="89">
        <v>-6.1495333252947766E-2</v>
      </c>
      <c r="R234" s="52"/>
      <c r="S234" s="52"/>
      <c r="T234" s="52"/>
      <c r="U234" s="52"/>
      <c r="V234" s="52"/>
      <c r="W234" s="52"/>
    </row>
    <row r="235" spans="1:23">
      <c r="A235" s="87">
        <v>43899</v>
      </c>
      <c r="B235" s="88">
        <v>-9.3289511587485052E-2</v>
      </c>
      <c r="C235" s="88">
        <v>-5.5329582052261392E-2</v>
      </c>
      <c r="D235" s="88">
        <v>-0.11052159296105805</v>
      </c>
      <c r="E235" s="88">
        <v>-3.0494393354066979E-2</v>
      </c>
      <c r="F235" s="88">
        <v>-0.16478393612862707</v>
      </c>
      <c r="G235" s="88">
        <v>-0.14165051706302692</v>
      </c>
      <c r="H235" s="88">
        <v>-0.22007449519679184</v>
      </c>
      <c r="I235" s="88">
        <v>-0.15393838813768046</v>
      </c>
      <c r="J235" s="88">
        <v>-0.12783337150988489</v>
      </c>
      <c r="K235" s="88">
        <v>-8.2887659805767636E-2</v>
      </c>
      <c r="L235" s="88">
        <v>-9.1248671465145037E-2</v>
      </c>
      <c r="M235" s="88">
        <v>-0.1935576300608805</v>
      </c>
      <c r="N235" s="88">
        <v>-0.10536051565782628</v>
      </c>
      <c r="O235" s="88">
        <v>-0.19918536284595942</v>
      </c>
      <c r="P235" s="88">
        <v>-1.5267472130788421E-2</v>
      </c>
      <c r="Q235" s="89">
        <v>-0.14372676829056868</v>
      </c>
      <c r="R235" s="52"/>
      <c r="S235" s="52"/>
      <c r="T235" s="52"/>
      <c r="U235" s="52"/>
      <c r="V235" s="52"/>
      <c r="W235" s="52"/>
    </row>
    <row r="236" spans="1:23">
      <c r="A236" s="87">
        <v>43900</v>
      </c>
      <c r="B236" s="88">
        <v>-2.5647489844283992E-2</v>
      </c>
      <c r="C236" s="88">
        <v>1.3245226750020723E-2</v>
      </c>
      <c r="D236" s="88">
        <v>1.5575740326557778E-2</v>
      </c>
      <c r="E236" s="88">
        <v>6.2733585691255353E-2</v>
      </c>
      <c r="F236" s="88">
        <v>0.12556322297534575</v>
      </c>
      <c r="G236" s="88">
        <v>0.14479023706769459</v>
      </c>
      <c r="H236" s="88">
        <v>7.0013800621058664E-2</v>
      </c>
      <c r="I236" s="88">
        <v>3.933500539867673E-2</v>
      </c>
      <c r="J236" s="88">
        <v>7.020425867324856E-2</v>
      </c>
      <c r="K236" s="88">
        <v>0.14351228162220256</v>
      </c>
      <c r="L236" s="88">
        <v>4.3620622475890353E-2</v>
      </c>
      <c r="M236" s="88">
        <v>0.17095779814363948</v>
      </c>
      <c r="N236" s="88">
        <v>-9.7088141269608269E-3</v>
      </c>
      <c r="O236" s="88">
        <v>2.0202707317519469E-2</v>
      </c>
      <c r="P236" s="88">
        <v>0</v>
      </c>
      <c r="Q236" s="89">
        <v>5.7625740547745705E-2</v>
      </c>
      <c r="R236" s="52"/>
      <c r="S236" s="52"/>
      <c r="T236" s="52"/>
      <c r="U236" s="52"/>
      <c r="V236" s="52"/>
      <c r="W236" s="52"/>
    </row>
    <row r="237" spans="1:23">
      <c r="A237" s="87">
        <v>43901</v>
      </c>
      <c r="B237" s="88">
        <v>-6.8650347078738724E-2</v>
      </c>
      <c r="C237" s="88">
        <v>-1.859283307661597E-2</v>
      </c>
      <c r="D237" s="88">
        <v>-1.7187056651314988E-3</v>
      </c>
      <c r="E237" s="88">
        <v>-8.6951293473524427E-2</v>
      </c>
      <c r="F237" s="88">
        <v>-4.4997365930735805E-2</v>
      </c>
      <c r="G237" s="88">
        <v>-8.672643611293343E-2</v>
      </c>
      <c r="H237" s="88">
        <v>-5.6822335866696216E-2</v>
      </c>
      <c r="I237" s="88">
        <v>-2.8612322810321234E-3</v>
      </c>
      <c r="J237" s="88">
        <v>-5.2185753170570309E-2</v>
      </c>
      <c r="K237" s="88">
        <v>-5.4958884280757472E-2</v>
      </c>
      <c r="L237" s="88">
        <v>-2.844966146808367E-2</v>
      </c>
      <c r="M237" s="88">
        <v>-5.8840500022933465E-2</v>
      </c>
      <c r="N237" s="88">
        <v>-9.8040000966208556E-3</v>
      </c>
      <c r="O237" s="88">
        <v>0</v>
      </c>
      <c r="P237" s="88">
        <v>-1.3995803544232435E-3</v>
      </c>
      <c r="Q237" s="89">
        <v>-4.18837066306052E-2</v>
      </c>
      <c r="R237" s="52"/>
      <c r="S237" s="52"/>
      <c r="T237" s="52"/>
      <c r="U237" s="52"/>
      <c r="V237" s="52"/>
      <c r="W237" s="52"/>
    </row>
    <row r="238" spans="1:23">
      <c r="A238" s="87">
        <v>43902</v>
      </c>
      <c r="B238" s="88">
        <v>-0.1633250561032995</v>
      </c>
      <c r="C238" s="88">
        <v>-0.11343592966337167</v>
      </c>
      <c r="D238" s="88">
        <v>-0.11921755031925256</v>
      </c>
      <c r="E238" s="88">
        <v>-8.8126240862194685E-2</v>
      </c>
      <c r="F238" s="88">
        <v>-0.19072496759033403</v>
      </c>
      <c r="G238" s="88">
        <v>-9.3090423066011854E-2</v>
      </c>
      <c r="H238" s="88">
        <v>1.0075567602997706E-3</v>
      </c>
      <c r="I238" s="88">
        <v>-8.8314648384837727E-2</v>
      </c>
      <c r="J238" s="88">
        <v>-1.801850550267825E-2</v>
      </c>
      <c r="K238" s="88">
        <v>-6.869025384203345E-2</v>
      </c>
      <c r="L238" s="88">
        <v>-8.2345650175699489E-2</v>
      </c>
      <c r="M238" s="88">
        <v>-4.6520015634892817E-2</v>
      </c>
      <c r="N238" s="88">
        <v>-1.4888612493750637E-2</v>
      </c>
      <c r="O238" s="88">
        <v>-6.1875403718087411E-2</v>
      </c>
      <c r="P238" s="88">
        <v>-1.9802627296179754E-2</v>
      </c>
      <c r="Q238" s="89">
        <v>-0.11217412699631719</v>
      </c>
      <c r="R238" s="52"/>
      <c r="S238" s="52"/>
      <c r="T238" s="52"/>
      <c r="U238" s="52"/>
      <c r="V238" s="52"/>
      <c r="W238" s="52"/>
    </row>
    <row r="239" spans="1:23">
      <c r="A239" s="87">
        <v>43903</v>
      </c>
      <c r="B239" s="88">
        <v>5.8249887857881745E-2</v>
      </c>
      <c r="C239" s="88">
        <v>3.3467690471084929E-2</v>
      </c>
      <c r="D239" s="88">
        <v>-2.1548336206202948E-2</v>
      </c>
      <c r="E239" s="88">
        <v>-6.3191363514785463E-3</v>
      </c>
      <c r="F239" s="88">
        <v>6.8486414145156035E-2</v>
      </c>
      <c r="G239" s="88">
        <v>1.3047715392475675E-2</v>
      </c>
      <c r="H239" s="88">
        <v>-2.2404195753847531E-2</v>
      </c>
      <c r="I239" s="88">
        <v>-4.1539518441323323E-2</v>
      </c>
      <c r="J239" s="88">
        <v>1.6231194928582552E-2</v>
      </c>
      <c r="K239" s="88">
        <v>4.2937757739618769E-2</v>
      </c>
      <c r="L239" s="88">
        <v>4.7881486233214005E-2</v>
      </c>
      <c r="M239" s="88">
        <v>9.0971778205726786E-2</v>
      </c>
      <c r="N239" s="88">
        <v>0</v>
      </c>
      <c r="O239" s="88">
        <v>-6.4034370352070245E-3</v>
      </c>
      <c r="P239" s="88">
        <v>-1.4388737452099669E-2</v>
      </c>
      <c r="Q239" s="89">
        <v>2.461335417733275E-2</v>
      </c>
      <c r="R239" s="52"/>
      <c r="S239" s="52"/>
      <c r="T239" s="52"/>
      <c r="U239" s="52"/>
      <c r="V239" s="52"/>
      <c r="W239" s="52"/>
    </row>
    <row r="240" spans="1:23">
      <c r="A240" s="87">
        <v>43906</v>
      </c>
      <c r="B240" s="88">
        <v>-0.18546486556864331</v>
      </c>
      <c r="C240" s="88">
        <v>-0.10988833710608634</v>
      </c>
      <c r="D240" s="88">
        <v>-0.25670374780651151</v>
      </c>
      <c r="E240" s="88">
        <v>-0.10166950171261722</v>
      </c>
      <c r="F240" s="88">
        <v>-0.10720092632584644</v>
      </c>
      <c r="G240" s="88">
        <v>-0.19237189264745613</v>
      </c>
      <c r="H240" s="88">
        <v>-8.4860335711315654E-2</v>
      </c>
      <c r="I240" s="88">
        <v>-5.879106726383386E-2</v>
      </c>
      <c r="J240" s="88">
        <v>-5.7053189448837603E-2</v>
      </c>
      <c r="K240" s="88">
        <v>-5.9719234701622312E-2</v>
      </c>
      <c r="L240" s="88">
        <v>-6.1599122462013191E-2</v>
      </c>
      <c r="M240" s="88">
        <v>-0.10375150485212568</v>
      </c>
      <c r="N240" s="88">
        <v>-5.1293294387550578E-2</v>
      </c>
      <c r="O240" s="88">
        <v>-0.18532391804562393</v>
      </c>
      <c r="P240" s="88">
        <v>-0.12981161152199058</v>
      </c>
      <c r="Q240" s="89">
        <v>-0.13058268529517469</v>
      </c>
      <c r="R240" s="52"/>
      <c r="S240" s="52"/>
      <c r="T240" s="52"/>
      <c r="U240" s="52"/>
      <c r="V240" s="52"/>
      <c r="W240" s="52"/>
    </row>
    <row r="241" spans="1:23">
      <c r="A241" s="87">
        <v>43907</v>
      </c>
      <c r="B241" s="88">
        <v>-2.7860188462124607E-2</v>
      </c>
      <c r="C241" s="88">
        <v>9.1423062152902346E-3</v>
      </c>
      <c r="D241" s="88">
        <v>3.1908668453828774E-2</v>
      </c>
      <c r="E241" s="88">
        <v>-1.9486887673496735E-2</v>
      </c>
      <c r="F241" s="88">
        <v>-0.11122563511022437</v>
      </c>
      <c r="G241" s="88">
        <v>9.2142224571973436E-2</v>
      </c>
      <c r="H241" s="88">
        <v>-2.2446698538238618E-3</v>
      </c>
      <c r="I241" s="88">
        <v>9.4051130220314041E-2</v>
      </c>
      <c r="J241" s="88">
        <v>0.10251556352559499</v>
      </c>
      <c r="K241" s="88">
        <v>1.5267472130788381E-2</v>
      </c>
      <c r="L241" s="88">
        <v>0.13663430840492727</v>
      </c>
      <c r="M241" s="88">
        <v>4.4032270150503344E-2</v>
      </c>
      <c r="N241" s="88">
        <v>-2.6668247082161294E-2</v>
      </c>
      <c r="O241" s="88">
        <v>5.5151820075080064E-2</v>
      </c>
      <c r="P241" s="88">
        <v>7.0092376820368341E-2</v>
      </c>
      <c r="Q241" s="89">
        <v>1.5445746157204206E-2</v>
      </c>
      <c r="R241" s="52"/>
      <c r="S241" s="52"/>
      <c r="T241" s="52"/>
      <c r="U241" s="52"/>
      <c r="V241" s="52"/>
      <c r="W241" s="52"/>
    </row>
    <row r="242" spans="1:23">
      <c r="A242" s="87">
        <v>43908</v>
      </c>
      <c r="B242" s="88">
        <v>0</v>
      </c>
      <c r="C242" s="88">
        <v>7.2270862022831797E-2</v>
      </c>
      <c r="D242" s="88">
        <v>-2.7651531330510008E-2</v>
      </c>
      <c r="E242" s="88">
        <v>8.9405459688071415E-4</v>
      </c>
      <c r="F242" s="88">
        <v>-5.1293294387550578E-2</v>
      </c>
      <c r="G242" s="88">
        <v>3.0659196218349827E-3</v>
      </c>
      <c r="H242" s="88">
        <v>4.9325066562501491E-2</v>
      </c>
      <c r="I242" s="88">
        <v>2.0265697459583142E-2</v>
      </c>
      <c r="J242" s="88">
        <v>4.0206420478040607E-2</v>
      </c>
      <c r="K242" s="88">
        <v>-3.8614836127779543E-2</v>
      </c>
      <c r="L242" s="88">
        <v>-4.057102200042869E-2</v>
      </c>
      <c r="M242" s="88">
        <v>-5.0483905431992097E-2</v>
      </c>
      <c r="N242" s="88">
        <v>2.139118998131756E-2</v>
      </c>
      <c r="O242" s="88">
        <v>-2.9705154413915694E-2</v>
      </c>
      <c r="P242" s="88">
        <v>-5.5350095083164956E-2</v>
      </c>
      <c r="Q242" s="89">
        <v>-9.3742070529222454E-3</v>
      </c>
      <c r="R242" s="52"/>
      <c r="S242" s="52"/>
      <c r="T242" s="52"/>
      <c r="U242" s="52"/>
      <c r="V242" s="52"/>
      <c r="W242" s="52"/>
    </row>
    <row r="243" spans="1:23">
      <c r="A243" s="87">
        <v>43909</v>
      </c>
      <c r="B243" s="88">
        <v>7.8638181243700395E-2</v>
      </c>
      <c r="C243" s="88">
        <v>0.12703624113686673</v>
      </c>
      <c r="D243" s="88">
        <v>5.5363166038848069E-2</v>
      </c>
      <c r="E243" s="88">
        <v>5.9835791610665046E-2</v>
      </c>
      <c r="F243" s="88">
        <v>5.1293294387550481E-2</v>
      </c>
      <c r="G243" s="88">
        <v>-1.4388737452099669E-2</v>
      </c>
      <c r="H243" s="88">
        <v>0.14970997120519366</v>
      </c>
      <c r="I243" s="88">
        <v>3.9339414560032294E-2</v>
      </c>
      <c r="J243" s="88">
        <v>0.12051602451245237</v>
      </c>
      <c r="K243" s="88">
        <v>3.8614836127779516E-2</v>
      </c>
      <c r="L243" s="88">
        <v>5.2547213047144305E-2</v>
      </c>
      <c r="M243" s="88">
        <v>1.9231361927887592E-2</v>
      </c>
      <c r="N243" s="88">
        <v>4.1456713678346128E-2</v>
      </c>
      <c r="O243" s="88">
        <v>-4.3652630157736759E-2</v>
      </c>
      <c r="P243" s="88">
        <v>1.6129381929883717E-2</v>
      </c>
      <c r="Q243" s="89">
        <v>7.4967940254585808E-2</v>
      </c>
      <c r="R243" s="52"/>
      <c r="S243" s="52"/>
      <c r="T243" s="52"/>
      <c r="U243" s="52"/>
      <c r="V243" s="52"/>
      <c r="W243" s="52"/>
    </row>
    <row r="244" spans="1:23">
      <c r="A244" s="87">
        <v>43910</v>
      </c>
      <c r="B244" s="88">
        <v>6.4266449308930787E-2</v>
      </c>
      <c r="C244" s="88">
        <v>3.2789822822990755E-2</v>
      </c>
      <c r="D244" s="88">
        <v>5.6264838586137844E-2</v>
      </c>
      <c r="E244" s="88">
        <v>-4.6520015634892928E-2</v>
      </c>
      <c r="F244" s="88">
        <v>7.0951735972284394E-2</v>
      </c>
      <c r="G244" s="88">
        <v>5.0464793925909121E-2</v>
      </c>
      <c r="H244" s="88">
        <v>5.3776396780804203E-2</v>
      </c>
      <c r="I244" s="88">
        <v>6.3239458135917179E-2</v>
      </c>
      <c r="J244" s="88">
        <v>-1.1713164663653203E-2</v>
      </c>
      <c r="K244" s="88">
        <v>0.11441035117774431</v>
      </c>
      <c r="L244" s="88">
        <v>-1.438873745209978E-2</v>
      </c>
      <c r="M244" s="88">
        <v>4.6520015634892907E-2</v>
      </c>
      <c r="N244" s="88">
        <v>5.4334350963329517E-2</v>
      </c>
      <c r="O244" s="88">
        <v>0.18406980898748401</v>
      </c>
      <c r="P244" s="88">
        <v>0</v>
      </c>
      <c r="Q244" s="89">
        <v>5.5251829514308799E-2</v>
      </c>
      <c r="R244" s="52"/>
      <c r="S244" s="52"/>
      <c r="T244" s="52"/>
      <c r="U244" s="52"/>
      <c r="V244" s="52"/>
      <c r="W244" s="52"/>
    </row>
    <row r="245" spans="1:23">
      <c r="A245" s="87">
        <v>43913</v>
      </c>
      <c r="B245" s="88">
        <v>-8.5157808340306951E-2</v>
      </c>
      <c r="C245" s="88">
        <v>-3.2789822822990838E-2</v>
      </c>
      <c r="D245" s="88">
        <v>-7.5745974157960277E-2</v>
      </c>
      <c r="E245" s="88">
        <v>-0.13176927763112334</v>
      </c>
      <c r="F245" s="88">
        <v>-0.14732471475685843</v>
      </c>
      <c r="G245" s="88">
        <v>-5.6695343676545294E-2</v>
      </c>
      <c r="H245" s="88">
        <v>-7.800871016857211E-2</v>
      </c>
      <c r="I245" s="88">
        <v>-2.96841582877003E-2</v>
      </c>
      <c r="J245" s="88">
        <v>-5.9152951204978488E-2</v>
      </c>
      <c r="K245" s="88">
        <v>-7.2861348264871839E-2</v>
      </c>
      <c r="L245" s="88">
        <v>-8.8329768742887962E-2</v>
      </c>
      <c r="M245" s="88">
        <v>-4.6520015634892817E-2</v>
      </c>
      <c r="N245" s="88">
        <v>-7.7441925973479139E-2</v>
      </c>
      <c r="O245" s="88">
        <v>-0.17362584982640072</v>
      </c>
      <c r="P245" s="88">
        <v>0</v>
      </c>
      <c r="Q245" s="89">
        <v>-7.8790032448388878E-2</v>
      </c>
      <c r="R245" s="52"/>
      <c r="S245" s="52"/>
      <c r="T245" s="52"/>
      <c r="U245" s="52"/>
      <c r="V245" s="52"/>
      <c r="W245" s="52"/>
    </row>
    <row r="246" spans="1:23">
      <c r="A246" s="87">
        <v>43914</v>
      </c>
      <c r="B246" s="88">
        <v>8.770558041910545E-2</v>
      </c>
      <c r="C246" s="88">
        <v>4.0400853221126694E-2</v>
      </c>
      <c r="D246" s="88">
        <v>7.4985806884562814E-2</v>
      </c>
      <c r="E246" s="88">
        <v>0.13967445713823656</v>
      </c>
      <c r="F246" s="88">
        <v>8.2238098236972215E-2</v>
      </c>
      <c r="G246" s="88">
        <v>0.11592946700706044</v>
      </c>
      <c r="H246" s="88">
        <v>3.7041271680349076E-2</v>
      </c>
      <c r="I246" s="88">
        <v>5.5802481428812709E-2</v>
      </c>
      <c r="J246" s="88">
        <v>3.8318864302136602E-2</v>
      </c>
      <c r="K246" s="88">
        <v>2.9027596579614102E-3</v>
      </c>
      <c r="L246" s="88">
        <v>7.2504727598491164E-2</v>
      </c>
      <c r="M246" s="88">
        <v>9.0971778205726786E-2</v>
      </c>
      <c r="N246" s="88">
        <v>8.7011376989629699E-2</v>
      </c>
      <c r="O246" s="88">
        <v>3.8221212820197671E-2</v>
      </c>
      <c r="P246" s="88">
        <v>2.3716526617316065E-2</v>
      </c>
      <c r="Q246" s="89">
        <v>7.3950643455459292E-2</v>
      </c>
      <c r="R246" s="52"/>
      <c r="S246" s="52"/>
      <c r="T246" s="52"/>
      <c r="U246" s="52"/>
      <c r="V246" s="52"/>
      <c r="W246" s="52"/>
    </row>
    <row r="247" spans="1:23">
      <c r="A247" s="87">
        <v>43916</v>
      </c>
      <c r="B247" s="88">
        <v>-2.3167059281534303E-2</v>
      </c>
      <c r="C247" s="88">
        <v>1.0892441166423754E-2</v>
      </c>
      <c r="D247" s="88">
        <v>7.3292865465473062E-2</v>
      </c>
      <c r="E247" s="88">
        <v>8.4675609504313992E-2</v>
      </c>
      <c r="F247" s="88">
        <v>0.20067069546215105</v>
      </c>
      <c r="G247" s="88">
        <v>5.5920789919598687E-2</v>
      </c>
      <c r="H247" s="88">
        <v>-5.4168236473149695E-2</v>
      </c>
      <c r="I247" s="88">
        <v>-2.7173929765000266E-3</v>
      </c>
      <c r="J247" s="88">
        <v>1.1958288988873576E-2</v>
      </c>
      <c r="K247" s="88">
        <v>2.0086758566737292E-2</v>
      </c>
      <c r="L247" s="88">
        <v>1.2195273093818206E-2</v>
      </c>
      <c r="M247" s="88">
        <v>-8.7336799687546662E-3</v>
      </c>
      <c r="N247" s="88">
        <v>9.4787439545437387E-3</v>
      </c>
      <c r="O247" s="88">
        <v>3.9220713153281329E-2</v>
      </c>
      <c r="P247" s="88">
        <v>1.5504186535965254E-2</v>
      </c>
      <c r="Q247" s="89">
        <v>3.7133418925129419E-2</v>
      </c>
      <c r="R247" s="52"/>
      <c r="S247" s="52"/>
      <c r="T247" s="52"/>
      <c r="U247" s="52"/>
      <c r="V247" s="52"/>
      <c r="W247" s="52"/>
    </row>
    <row r="248" spans="1:23">
      <c r="A248" s="90">
        <v>43917</v>
      </c>
      <c r="B248" s="91">
        <v>-6.4260781932897318E-2</v>
      </c>
      <c r="C248" s="91">
        <v>-7.3467151881872514E-2</v>
      </c>
      <c r="D248" s="91">
        <v>-2.070763032748954E-2</v>
      </c>
      <c r="E248" s="91">
        <v>-2.7711634708337929E-2</v>
      </c>
      <c r="F248" s="91">
        <v>-5.1545151837565764E-2</v>
      </c>
      <c r="G248" s="91">
        <v>-2.1277398447284965E-2</v>
      </c>
      <c r="H248" s="91">
        <v>5.7416425676751828E-3</v>
      </c>
      <c r="I248" s="91">
        <v>-2.3400930164612473E-2</v>
      </c>
      <c r="J248" s="91">
        <v>-2.9761926730461127E-3</v>
      </c>
      <c r="K248" s="91">
        <v>5.6657375356772999E-3</v>
      </c>
      <c r="L248" s="91">
        <v>-3.20224405684063E-2</v>
      </c>
      <c r="M248" s="91">
        <v>-4.1797128678461477E-2</v>
      </c>
      <c r="N248" s="91">
        <v>-3.8466280827796052E-2</v>
      </c>
      <c r="O248" s="91">
        <v>-2.1872074818668215E-2</v>
      </c>
      <c r="P248" s="91">
        <v>-2.0202707317519466E-2</v>
      </c>
      <c r="Q248" s="92">
        <v>-4.0033810698239455E-2</v>
      </c>
      <c r="R248" s="52"/>
      <c r="S248" s="52"/>
      <c r="T248" s="52"/>
      <c r="U248" s="52"/>
      <c r="V248" s="52"/>
      <c r="W248" s="52"/>
    </row>
    <row r="249" spans="1:23">
      <c r="A249" s="84"/>
      <c r="B249" s="85"/>
      <c r="C249" s="85"/>
      <c r="D249" s="85"/>
      <c r="E249" s="85"/>
      <c r="F249" s="85"/>
      <c r="G249" s="52"/>
      <c r="H249" s="52"/>
      <c r="I249" s="52"/>
      <c r="J249" s="52"/>
      <c r="K249" s="52"/>
      <c r="L249" s="52"/>
      <c r="M249" s="52"/>
      <c r="N249" s="52"/>
      <c r="O249" s="52"/>
      <c r="P249" s="52"/>
      <c r="Q249" s="52"/>
      <c r="R249" s="52"/>
      <c r="S249" s="52"/>
      <c r="T249" s="52"/>
      <c r="U249" s="52"/>
      <c r="V249" s="52"/>
      <c r="W249" s="52"/>
    </row>
    <row r="250" spans="1:23">
      <c r="A250" s="84"/>
      <c r="B250" s="52"/>
      <c r="C250" s="52"/>
      <c r="D250" s="52"/>
      <c r="E250" s="52"/>
      <c r="F250" s="52"/>
      <c r="G250" s="52"/>
      <c r="H250" s="52"/>
      <c r="I250" s="52"/>
      <c r="J250" s="52"/>
      <c r="K250" s="52"/>
      <c r="L250" s="52"/>
      <c r="M250" s="52"/>
      <c r="N250" s="52"/>
      <c r="O250" s="52"/>
      <c r="P250" s="52"/>
      <c r="Q250" s="52"/>
      <c r="R250" s="52"/>
      <c r="S250" s="52"/>
      <c r="T250" s="52"/>
      <c r="U250" s="52"/>
      <c r="V250" s="52"/>
    </row>
    <row r="251" spans="1:23">
      <c r="A251" s="84"/>
      <c r="B251" s="52"/>
      <c r="C251" s="52"/>
      <c r="D251" s="52"/>
      <c r="E251" s="52"/>
      <c r="F251" s="52"/>
      <c r="G251" s="52"/>
      <c r="H251" s="52"/>
      <c r="J251" s="52"/>
      <c r="K251" s="52"/>
      <c r="L251" s="52"/>
      <c r="M251" s="52"/>
      <c r="N251" s="52"/>
      <c r="O251" s="52"/>
      <c r="P251" s="52"/>
      <c r="Q251" s="52"/>
      <c r="R251" s="52"/>
      <c r="S251" s="52"/>
      <c r="T251" s="52"/>
      <c r="U251" s="52"/>
      <c r="V251" s="5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C33-BDA8-405F-88B6-16830D552996}">
  <sheetPr>
    <tabColor theme="5" tint="0.59999389629810485"/>
  </sheetPr>
  <dimension ref="A1:L322"/>
  <sheetViews>
    <sheetView topLeftCell="A303" workbookViewId="0">
      <selection activeCell="I323" sqref="I323"/>
    </sheetView>
  </sheetViews>
  <sheetFormatPr baseColWidth="10" defaultColWidth="8.83203125" defaultRowHeight="15"/>
  <cols>
    <col min="1" max="1" width="26.1640625" bestFit="1" customWidth="1"/>
    <col min="2" max="2" width="17.33203125" bestFit="1" customWidth="1"/>
    <col min="3" max="3" width="14.33203125" bestFit="1" customWidth="1"/>
    <col min="6" max="6" width="15.1640625" bestFit="1" customWidth="1"/>
    <col min="7" max="7" width="14.6640625" bestFit="1" customWidth="1"/>
    <col min="8" max="8" width="15" bestFit="1" customWidth="1"/>
    <col min="9" max="9" width="16.1640625" bestFit="1" customWidth="1"/>
  </cols>
  <sheetData>
    <row r="1" spans="1:12">
      <c r="A1" s="7"/>
      <c r="B1" s="7"/>
      <c r="C1" s="7"/>
      <c r="D1" s="7"/>
      <c r="E1" s="7"/>
      <c r="F1" s="7"/>
      <c r="G1" s="7"/>
      <c r="H1" s="7"/>
      <c r="I1" s="7"/>
      <c r="J1" s="7"/>
    </row>
    <row r="2" spans="1:12">
      <c r="A2" s="390" t="s">
        <v>261</v>
      </c>
      <c r="B2" s="390"/>
      <c r="C2" s="390"/>
      <c r="D2" s="390"/>
      <c r="E2" s="390"/>
      <c r="F2" s="390"/>
      <c r="G2" s="390"/>
      <c r="H2" s="390"/>
      <c r="I2" s="390"/>
      <c r="J2" s="390"/>
      <c r="K2" s="7"/>
      <c r="L2" s="7"/>
    </row>
    <row r="3" spans="1:12">
      <c r="A3" s="390"/>
      <c r="B3" s="390"/>
      <c r="C3" s="390"/>
      <c r="D3" s="390"/>
      <c r="E3" s="390"/>
      <c r="F3" s="390"/>
      <c r="G3" s="390"/>
      <c r="H3" s="390"/>
      <c r="I3" s="390"/>
      <c r="J3" s="390"/>
      <c r="K3" s="7"/>
      <c r="L3" s="7"/>
    </row>
    <row r="4" spans="1:12">
      <c r="A4" s="7"/>
      <c r="B4" s="7"/>
      <c r="C4" s="7"/>
      <c r="D4" s="7"/>
      <c r="E4" s="7"/>
      <c r="F4" s="7"/>
      <c r="G4" s="7"/>
      <c r="H4" s="7"/>
      <c r="I4" s="7"/>
      <c r="J4" s="7"/>
      <c r="K4" s="7"/>
      <c r="L4" s="7"/>
    </row>
    <row r="5" spans="1:12">
      <c r="A5" t="s">
        <v>142</v>
      </c>
    </row>
    <row r="6" spans="1:12" ht="16" thickBot="1"/>
    <row r="7" spans="1:12">
      <c r="A7" s="156" t="s">
        <v>143</v>
      </c>
      <c r="B7" s="156"/>
    </row>
    <row r="8" spans="1:12">
      <c r="A8" s="123" t="s">
        <v>144</v>
      </c>
      <c r="B8" s="123">
        <v>0.72663925100406412</v>
      </c>
    </row>
    <row r="9" spans="1:12">
      <c r="A9" s="123" t="s">
        <v>145</v>
      </c>
      <c r="B9" s="123">
        <v>0.52800460109974723</v>
      </c>
    </row>
    <row r="10" spans="1:12">
      <c r="A10" s="123" t="s">
        <v>146</v>
      </c>
      <c r="B10" s="123">
        <v>0.52607808926750133</v>
      </c>
    </row>
    <row r="11" spans="1:12">
      <c r="A11" s="123" t="s">
        <v>147</v>
      </c>
      <c r="B11" s="123">
        <v>1.7712314596820284E-2</v>
      </c>
    </row>
    <row r="12" spans="1:12" ht="16" thickBot="1">
      <c r="A12" s="124" t="s">
        <v>148</v>
      </c>
      <c r="B12" s="124">
        <v>247</v>
      </c>
    </row>
    <row r="14" spans="1:12" ht="16" thickBot="1">
      <c r="A14" t="s">
        <v>149</v>
      </c>
    </row>
    <row r="15" spans="1:12">
      <c r="A15" s="125"/>
      <c r="B15" s="125" t="s">
        <v>154</v>
      </c>
      <c r="C15" s="125" t="s">
        <v>155</v>
      </c>
      <c r="D15" s="125" t="s">
        <v>156</v>
      </c>
      <c r="E15" s="125" t="s">
        <v>157</v>
      </c>
      <c r="F15" s="125" t="s">
        <v>158</v>
      </c>
    </row>
    <row r="16" spans="1:12">
      <c r="A16" s="123" t="s">
        <v>150</v>
      </c>
      <c r="B16" s="123">
        <v>1</v>
      </c>
      <c r="C16" s="123">
        <v>8.5983805225233065E-2</v>
      </c>
      <c r="D16" s="123">
        <v>8.5983805225233065E-2</v>
      </c>
      <c r="E16" s="123">
        <v>274.07285658048562</v>
      </c>
      <c r="F16" s="123">
        <v>7.9691739965257112E-42</v>
      </c>
    </row>
    <row r="17" spans="1:10">
      <c r="A17" s="123" t="s">
        <v>151</v>
      </c>
      <c r="B17" s="123">
        <v>245</v>
      </c>
      <c r="C17" s="123">
        <v>7.686289165229955E-2</v>
      </c>
      <c r="D17" s="123">
        <v>3.1372608837673286E-4</v>
      </c>
      <c r="E17" s="123"/>
      <c r="F17" s="123"/>
    </row>
    <row r="18" spans="1:10" ht="16" thickBot="1">
      <c r="A18" s="124" t="s">
        <v>152</v>
      </c>
      <c r="B18" s="124">
        <v>246</v>
      </c>
      <c r="C18" s="124">
        <v>0.16284669687753262</v>
      </c>
      <c r="D18" s="124"/>
      <c r="E18" s="124"/>
      <c r="F18" s="124"/>
    </row>
    <row r="19" spans="1:10" ht="16" thickBot="1"/>
    <row r="20" spans="1:10">
      <c r="A20" s="125"/>
      <c r="B20" s="125" t="s">
        <v>159</v>
      </c>
      <c r="C20" s="125" t="s">
        <v>147</v>
      </c>
      <c r="D20" s="125" t="s">
        <v>160</v>
      </c>
      <c r="E20" s="125" t="s">
        <v>161</v>
      </c>
      <c r="F20" s="125" t="s">
        <v>162</v>
      </c>
      <c r="G20" s="125" t="s">
        <v>163</v>
      </c>
      <c r="H20" s="125" t="s">
        <v>164</v>
      </c>
      <c r="I20" s="125" t="s">
        <v>165</v>
      </c>
    </row>
    <row r="21" spans="1:10">
      <c r="A21" s="123" t="s">
        <v>153</v>
      </c>
      <c r="B21" s="123">
        <v>-1.3313569303692522E-3</v>
      </c>
      <c r="C21" s="123">
        <v>1.1281019358325333E-3</v>
      </c>
      <c r="D21" s="123">
        <v>-1.1801743158845994</v>
      </c>
      <c r="E21" s="123">
        <v>0.23907547294042372</v>
      </c>
      <c r="F21" s="123">
        <v>-3.5533724551319924E-3</v>
      </c>
      <c r="G21" s="123">
        <v>8.9065859439348789E-4</v>
      </c>
      <c r="H21" s="123">
        <v>-3.5533724551319924E-3</v>
      </c>
      <c r="I21" s="123">
        <v>8.9065859439348789E-4</v>
      </c>
    </row>
    <row r="22" spans="1:10" ht="16" thickBot="1">
      <c r="A22" s="124" t="s">
        <v>166</v>
      </c>
      <c r="B22" s="157">
        <v>0.7841888451225385</v>
      </c>
      <c r="C22" s="124">
        <v>4.7368283475136948E-2</v>
      </c>
      <c r="D22" s="124">
        <v>16.555145924469691</v>
      </c>
      <c r="E22" s="124">
        <v>7.9691739965259381E-42</v>
      </c>
      <c r="F22" s="124">
        <v>0.69088782513497815</v>
      </c>
      <c r="G22" s="124">
        <v>0.87748986511009885</v>
      </c>
      <c r="H22" s="124">
        <v>0.69088782513497815</v>
      </c>
      <c r="I22" s="124">
        <v>0.87748986511009885</v>
      </c>
    </row>
    <row r="24" spans="1:10">
      <c r="A24" s="390" t="s">
        <v>205</v>
      </c>
      <c r="B24" s="390"/>
      <c r="C24" s="390"/>
      <c r="D24" s="390"/>
      <c r="E24" s="390"/>
      <c r="F24" s="390"/>
      <c r="G24" s="390"/>
      <c r="H24" s="390"/>
      <c r="I24" s="390"/>
      <c r="J24" s="390"/>
    </row>
    <row r="25" spans="1:10">
      <c r="A25" s="390"/>
      <c r="B25" s="390"/>
      <c r="C25" s="390"/>
      <c r="D25" s="390"/>
      <c r="E25" s="390"/>
      <c r="F25" s="390"/>
      <c r="G25" s="390"/>
      <c r="H25" s="390"/>
      <c r="I25" s="390"/>
      <c r="J25" s="390"/>
    </row>
    <row r="27" spans="1:10">
      <c r="A27" t="s">
        <v>142</v>
      </c>
    </row>
    <row r="28" spans="1:10" ht="16" thickBot="1"/>
    <row r="29" spans="1:10">
      <c r="A29" s="156" t="s">
        <v>143</v>
      </c>
      <c r="B29" s="156"/>
    </row>
    <row r="30" spans="1:10">
      <c r="A30" s="123" t="s">
        <v>144</v>
      </c>
      <c r="B30" s="123">
        <v>0.72098480515427021</v>
      </c>
    </row>
    <row r="31" spans="1:10">
      <c r="A31" s="123" t="s">
        <v>145</v>
      </c>
      <c r="B31" s="123">
        <v>0.51981908926334097</v>
      </c>
    </row>
    <row r="32" spans="1:10">
      <c r="A32" s="123" t="s">
        <v>146</v>
      </c>
      <c r="B32" s="123">
        <v>0.51785916717870162</v>
      </c>
    </row>
    <row r="33" spans="1:10">
      <c r="A33" s="123" t="s">
        <v>147</v>
      </c>
      <c r="B33" s="123">
        <v>1.3700650600006886E-2</v>
      </c>
    </row>
    <row r="34" spans="1:10" ht="16" thickBot="1">
      <c r="A34" s="124" t="s">
        <v>148</v>
      </c>
      <c r="B34" s="124">
        <v>247</v>
      </c>
    </row>
    <row r="36" spans="1:10" ht="16" thickBot="1">
      <c r="A36" t="s">
        <v>149</v>
      </c>
    </row>
    <row r="37" spans="1:10">
      <c r="A37" s="125"/>
      <c r="B37" s="125" t="s">
        <v>154</v>
      </c>
      <c r="C37" s="125" t="s">
        <v>155</v>
      </c>
      <c r="D37" s="125" t="s">
        <v>156</v>
      </c>
      <c r="E37" s="125" t="s">
        <v>157</v>
      </c>
      <c r="F37" s="125" t="s">
        <v>158</v>
      </c>
    </row>
    <row r="38" spans="1:10">
      <c r="A38" s="123" t="s">
        <v>150</v>
      </c>
      <c r="B38" s="123">
        <v>1</v>
      </c>
      <c r="C38" s="123">
        <v>4.9784689081515454E-2</v>
      </c>
      <c r="D38" s="123">
        <v>4.9784689081515454E-2</v>
      </c>
      <c r="E38" s="123">
        <v>265.22436444659701</v>
      </c>
      <c r="F38" s="123">
        <v>6.5989899688504316E-41</v>
      </c>
    </row>
    <row r="39" spans="1:10">
      <c r="A39" s="123" t="s">
        <v>151</v>
      </c>
      <c r="B39" s="123">
        <v>245</v>
      </c>
      <c r="C39" s="123">
        <v>4.5988417581549923E-2</v>
      </c>
      <c r="D39" s="123">
        <v>1.8770782686346906E-4</v>
      </c>
      <c r="E39" s="123"/>
      <c r="F39" s="123"/>
    </row>
    <row r="40" spans="1:10" ht="16" thickBot="1">
      <c r="A40" s="124" t="s">
        <v>152</v>
      </c>
      <c r="B40" s="124">
        <v>246</v>
      </c>
      <c r="C40" s="124">
        <v>9.5773106663065377E-2</v>
      </c>
      <c r="D40" s="124"/>
      <c r="E40" s="124"/>
      <c r="F40" s="124"/>
    </row>
    <row r="41" spans="1:10" ht="16" thickBot="1"/>
    <row r="42" spans="1:10">
      <c r="A42" s="125"/>
      <c r="B42" s="125" t="s">
        <v>159</v>
      </c>
      <c r="C42" s="125" t="s">
        <v>147</v>
      </c>
      <c r="D42" s="125" t="s">
        <v>160</v>
      </c>
      <c r="E42" s="125" t="s">
        <v>161</v>
      </c>
      <c r="F42" s="125" t="s">
        <v>162</v>
      </c>
      <c r="G42" s="125" t="s">
        <v>163</v>
      </c>
      <c r="H42" s="125" t="s">
        <v>164</v>
      </c>
      <c r="I42" s="125" t="s">
        <v>165</v>
      </c>
    </row>
    <row r="43" spans="1:10">
      <c r="A43" s="123" t="s">
        <v>153</v>
      </c>
      <c r="B43" s="123">
        <v>4.4472586809377133E-4</v>
      </c>
      <c r="C43" s="123">
        <v>8.7259800968121604E-4</v>
      </c>
      <c r="D43" s="123">
        <v>0.50965721117819407</v>
      </c>
      <c r="E43" s="123">
        <v>0.61075040499991384</v>
      </c>
      <c r="F43" s="123">
        <v>-1.2740251266537136E-3</v>
      </c>
      <c r="G43" s="123">
        <v>2.163476862841256E-3</v>
      </c>
      <c r="H43" s="123">
        <v>-1.2740251266537136E-3</v>
      </c>
      <c r="I43" s="123">
        <v>2.163476862841256E-3</v>
      </c>
    </row>
    <row r="44" spans="1:10" ht="16" thickBot="1">
      <c r="A44" s="124" t="s">
        <v>166</v>
      </c>
      <c r="B44" s="157">
        <v>0.5967057590198418</v>
      </c>
      <c r="C44" s="124">
        <v>3.6639835966522163E-2</v>
      </c>
      <c r="D44" s="124">
        <v>16.285710437269756</v>
      </c>
      <c r="E44" s="124">
        <v>6.5989899688503357E-41</v>
      </c>
      <c r="F44" s="124">
        <v>0.52453649686687054</v>
      </c>
      <c r="G44" s="124">
        <v>0.66887502117281306</v>
      </c>
      <c r="H44" s="124">
        <v>0.52453649686687054</v>
      </c>
      <c r="I44" s="124">
        <v>0.66887502117281306</v>
      </c>
    </row>
    <row r="46" spans="1:10">
      <c r="A46" s="390" t="s">
        <v>262</v>
      </c>
      <c r="B46" s="390"/>
      <c r="C46" s="390"/>
      <c r="D46" s="390"/>
      <c r="E46" s="390"/>
      <c r="F46" s="390"/>
      <c r="G46" s="390"/>
      <c r="H46" s="390"/>
      <c r="I46" s="390"/>
      <c r="J46" s="390"/>
    </row>
    <row r="47" spans="1:10">
      <c r="A47" s="390"/>
      <c r="B47" s="390"/>
      <c r="C47" s="390"/>
      <c r="D47" s="390"/>
      <c r="E47" s="390"/>
      <c r="F47" s="390"/>
      <c r="G47" s="390"/>
      <c r="H47" s="390"/>
      <c r="I47" s="390"/>
      <c r="J47" s="390"/>
    </row>
    <row r="49" spans="1:9">
      <c r="A49" t="s">
        <v>142</v>
      </c>
    </row>
    <row r="50" spans="1:9" ht="16" thickBot="1"/>
    <row r="51" spans="1:9">
      <c r="A51" s="156" t="s">
        <v>143</v>
      </c>
      <c r="B51" s="156"/>
    </row>
    <row r="52" spans="1:9">
      <c r="A52" s="123" t="s">
        <v>144</v>
      </c>
      <c r="B52" s="123">
        <v>0.7976738983397258</v>
      </c>
    </row>
    <row r="53" spans="1:9">
      <c r="A53" s="123" t="s">
        <v>145</v>
      </c>
      <c r="B53" s="123">
        <v>0.63628364809249527</v>
      </c>
    </row>
    <row r="54" spans="1:9">
      <c r="A54" s="123" t="s">
        <v>146</v>
      </c>
      <c r="B54" s="123">
        <v>0.63479909155409731</v>
      </c>
    </row>
    <row r="55" spans="1:9">
      <c r="A55" s="123" t="s">
        <v>147</v>
      </c>
      <c r="B55" s="123">
        <v>1.7328013853176588E-2</v>
      </c>
    </row>
    <row r="56" spans="1:9" ht="16" thickBot="1">
      <c r="A56" s="124" t="s">
        <v>148</v>
      </c>
      <c r="B56" s="124">
        <v>247</v>
      </c>
    </row>
    <row r="58" spans="1:9" ht="16" thickBot="1">
      <c r="A58" t="s">
        <v>149</v>
      </c>
    </row>
    <row r="59" spans="1:9">
      <c r="A59" s="125"/>
      <c r="B59" s="125" t="s">
        <v>154</v>
      </c>
      <c r="C59" s="125" t="s">
        <v>155</v>
      </c>
      <c r="D59" s="125" t="s">
        <v>156</v>
      </c>
      <c r="E59" s="125" t="s">
        <v>157</v>
      </c>
      <c r="F59" s="125" t="s">
        <v>158</v>
      </c>
    </row>
    <row r="60" spans="1:9">
      <c r="A60" s="123" t="s">
        <v>150</v>
      </c>
      <c r="B60" s="123">
        <v>1</v>
      </c>
      <c r="C60" s="123">
        <v>0.12869201274447939</v>
      </c>
      <c r="D60" s="123">
        <v>0.12869201274447939</v>
      </c>
      <c r="E60" s="123">
        <v>428.60182932414597</v>
      </c>
      <c r="F60" s="123">
        <v>9.9434098157320396E-56</v>
      </c>
    </row>
    <row r="61" spans="1:9">
      <c r="A61" s="123" t="s">
        <v>151</v>
      </c>
      <c r="B61" s="123">
        <v>245</v>
      </c>
      <c r="C61" s="123">
        <v>7.3563715703490545E-2</v>
      </c>
      <c r="D61" s="123">
        <v>3.0026006409587976E-4</v>
      </c>
      <c r="E61" s="123"/>
      <c r="F61" s="123"/>
    </row>
    <row r="62" spans="1:9" ht="16" thickBot="1">
      <c r="A62" s="124" t="s">
        <v>152</v>
      </c>
      <c r="B62" s="124">
        <v>246</v>
      </c>
      <c r="C62" s="124">
        <v>0.20225572844796993</v>
      </c>
      <c r="D62" s="124"/>
      <c r="E62" s="124"/>
      <c r="F62" s="124"/>
    </row>
    <row r="63" spans="1:9" ht="16" thickBot="1"/>
    <row r="64" spans="1:9">
      <c r="A64" s="125"/>
      <c r="B64" s="125" t="s">
        <v>159</v>
      </c>
      <c r="C64" s="125" t="s">
        <v>147</v>
      </c>
      <c r="D64" s="125" t="s">
        <v>160</v>
      </c>
      <c r="E64" s="125" t="s">
        <v>161</v>
      </c>
      <c r="F64" s="125" t="s">
        <v>162</v>
      </c>
      <c r="G64" s="125" t="s">
        <v>163</v>
      </c>
      <c r="H64" s="125" t="s">
        <v>164</v>
      </c>
      <c r="I64" s="125" t="s">
        <v>165</v>
      </c>
    </row>
    <row r="65" spans="1:10">
      <c r="A65" s="123" t="s">
        <v>153</v>
      </c>
      <c r="B65" s="123">
        <v>1.9697057895564155E-5</v>
      </c>
      <c r="C65" s="123">
        <v>1.1036257212488018E-3</v>
      </c>
      <c r="D65" s="123">
        <v>1.7847588649235226E-2</v>
      </c>
      <c r="E65" s="123">
        <v>0.98577496633654205</v>
      </c>
      <c r="F65" s="123">
        <v>-2.1541078158036808E-3</v>
      </c>
      <c r="G65" s="123">
        <v>2.1935019315948092E-3</v>
      </c>
      <c r="H65" s="123">
        <v>-2.1541078158036808E-3</v>
      </c>
      <c r="I65" s="123">
        <v>2.1935019315948092E-3</v>
      </c>
    </row>
    <row r="66" spans="1:10" ht="16" thickBot="1">
      <c r="A66" s="124" t="s">
        <v>166</v>
      </c>
      <c r="B66" s="157">
        <v>0.9593744019991628</v>
      </c>
      <c r="C66" s="124">
        <v>4.6340542777267436E-2</v>
      </c>
      <c r="D66" s="124">
        <v>20.702701015185092</v>
      </c>
      <c r="E66" s="124">
        <v>9.9434098157323222E-56</v>
      </c>
      <c r="F66" s="124">
        <v>0.86809771661609125</v>
      </c>
      <c r="G66" s="124">
        <v>1.0506510873822343</v>
      </c>
      <c r="H66" s="124">
        <v>0.86809771661609125</v>
      </c>
      <c r="I66" s="124">
        <v>1.0506510873822343</v>
      </c>
    </row>
    <row r="68" spans="1:10">
      <c r="A68" s="390" t="s">
        <v>263</v>
      </c>
      <c r="B68" s="390"/>
      <c r="C68" s="390"/>
      <c r="D68" s="390"/>
      <c r="E68" s="390"/>
      <c r="F68" s="390"/>
      <c r="G68" s="390"/>
      <c r="H68" s="390"/>
      <c r="I68" s="390"/>
      <c r="J68" s="390"/>
    </row>
    <row r="69" spans="1:10">
      <c r="A69" s="390"/>
      <c r="B69" s="390"/>
      <c r="C69" s="390"/>
      <c r="D69" s="390"/>
      <c r="E69" s="390"/>
      <c r="F69" s="390"/>
      <c r="G69" s="390"/>
      <c r="H69" s="390"/>
      <c r="I69" s="390"/>
      <c r="J69" s="390"/>
    </row>
    <row r="71" spans="1:10">
      <c r="A71" t="s">
        <v>142</v>
      </c>
    </row>
    <row r="72" spans="1:10" ht="16" thickBot="1"/>
    <row r="73" spans="1:10">
      <c r="A73" s="156" t="s">
        <v>143</v>
      </c>
      <c r="B73" s="156"/>
    </row>
    <row r="74" spans="1:10">
      <c r="A74" s="123" t="s">
        <v>144</v>
      </c>
      <c r="B74" s="123">
        <v>0.73237767489393335</v>
      </c>
    </row>
    <row r="75" spans="1:10">
      <c r="A75" s="123" t="s">
        <v>145</v>
      </c>
      <c r="B75" s="123">
        <v>0.53637705868304397</v>
      </c>
    </row>
    <row r="76" spans="1:10">
      <c r="A76" s="123" t="s">
        <v>146</v>
      </c>
      <c r="B76" s="123">
        <v>0.53448472014705639</v>
      </c>
    </row>
    <row r="77" spans="1:10">
      <c r="A77" s="123" t="s">
        <v>147</v>
      </c>
      <c r="B77" s="123">
        <v>2.0974826365063863E-2</v>
      </c>
    </row>
    <row r="78" spans="1:10" ht="16" thickBot="1">
      <c r="A78" s="124" t="s">
        <v>148</v>
      </c>
      <c r="B78" s="124">
        <v>247</v>
      </c>
    </row>
    <row r="80" spans="1:10" ht="16" thickBot="1">
      <c r="A80" t="s">
        <v>149</v>
      </c>
    </row>
    <row r="81" spans="1:10">
      <c r="A81" s="125"/>
      <c r="B81" s="125" t="s">
        <v>154</v>
      </c>
      <c r="C81" s="125" t="s">
        <v>155</v>
      </c>
      <c r="D81" s="125" t="s">
        <v>156</v>
      </c>
      <c r="E81" s="125" t="s">
        <v>157</v>
      </c>
      <c r="F81" s="125" t="s">
        <v>158</v>
      </c>
    </row>
    <row r="82" spans="1:10">
      <c r="A82" s="123" t="s">
        <v>150</v>
      </c>
      <c r="B82" s="123">
        <v>1</v>
      </c>
      <c r="C82" s="123">
        <v>0.12470047550637177</v>
      </c>
      <c r="D82" s="123">
        <v>0.12470047550637177</v>
      </c>
      <c r="E82" s="123">
        <v>283.44667113335453</v>
      </c>
      <c r="F82" s="123">
        <v>8.8282448973828154E-43</v>
      </c>
    </row>
    <row r="83" spans="1:10">
      <c r="A83" s="123" t="s">
        <v>151</v>
      </c>
      <c r="B83" s="123">
        <v>245</v>
      </c>
      <c r="C83" s="123">
        <v>0.10778611855592164</v>
      </c>
      <c r="D83" s="123">
        <v>4.3994334104457814E-4</v>
      </c>
      <c r="E83" s="123"/>
      <c r="F83" s="123"/>
    </row>
    <row r="84" spans="1:10" ht="16" thickBot="1">
      <c r="A84" s="124" t="s">
        <v>152</v>
      </c>
      <c r="B84" s="124">
        <v>246</v>
      </c>
      <c r="C84" s="124">
        <v>0.23248659406229341</v>
      </c>
      <c r="D84" s="124"/>
      <c r="E84" s="124"/>
      <c r="F84" s="124"/>
    </row>
    <row r="85" spans="1:10" ht="16" thickBot="1"/>
    <row r="86" spans="1:10">
      <c r="A86" s="125"/>
      <c r="B86" s="125" t="s">
        <v>159</v>
      </c>
      <c r="C86" s="125" t="s">
        <v>147</v>
      </c>
      <c r="D86" s="125" t="s">
        <v>160</v>
      </c>
      <c r="E86" s="125" t="s">
        <v>161</v>
      </c>
      <c r="F86" s="125" t="s">
        <v>162</v>
      </c>
      <c r="G86" s="125" t="s">
        <v>163</v>
      </c>
      <c r="H86" s="125" t="s">
        <v>164</v>
      </c>
      <c r="I86" s="125" t="s">
        <v>165</v>
      </c>
    </row>
    <row r="87" spans="1:10">
      <c r="A87" s="123" t="s">
        <v>153</v>
      </c>
      <c r="B87" s="123">
        <v>2.300322800596542E-4</v>
      </c>
      <c r="C87" s="123">
        <v>1.3358921611762453E-3</v>
      </c>
      <c r="D87" s="123">
        <v>0.17219374942443866</v>
      </c>
      <c r="E87" s="123">
        <v>0.86342736448082036</v>
      </c>
      <c r="F87" s="123">
        <v>-2.401266388310968E-3</v>
      </c>
      <c r="G87" s="123">
        <v>2.8613309484302762E-3</v>
      </c>
      <c r="H87" s="123">
        <v>-2.401266388310968E-3</v>
      </c>
      <c r="I87" s="123">
        <v>2.8613309484302762E-3</v>
      </c>
    </row>
    <row r="88" spans="1:10" ht="16" thickBot="1">
      <c r="A88" s="124" t="s">
        <v>166</v>
      </c>
      <c r="B88" s="157">
        <v>0.94437913783187755</v>
      </c>
      <c r="C88" s="124">
        <v>5.6093263004739199E-2</v>
      </c>
      <c r="D88" s="124">
        <v>16.835874528320613</v>
      </c>
      <c r="E88" s="124">
        <v>8.8282448973824362E-43</v>
      </c>
      <c r="F88" s="124">
        <v>0.83389257870799283</v>
      </c>
      <c r="G88" s="124">
        <v>1.0548656969557622</v>
      </c>
      <c r="H88" s="124">
        <v>0.83389257870799283</v>
      </c>
      <c r="I88" s="124">
        <v>1.0548656969557622</v>
      </c>
    </row>
    <row r="90" spans="1:10">
      <c r="A90" s="390" t="s">
        <v>264</v>
      </c>
      <c r="B90" s="390"/>
      <c r="C90" s="390"/>
      <c r="D90" s="390"/>
      <c r="E90" s="390"/>
      <c r="F90" s="390"/>
      <c r="G90" s="390"/>
      <c r="H90" s="390"/>
      <c r="I90" s="390"/>
      <c r="J90" s="390"/>
    </row>
    <row r="91" spans="1:10">
      <c r="A91" s="390"/>
      <c r="B91" s="390"/>
      <c r="C91" s="390"/>
      <c r="D91" s="390"/>
      <c r="E91" s="390"/>
      <c r="F91" s="390"/>
      <c r="G91" s="390"/>
      <c r="H91" s="390"/>
      <c r="I91" s="390"/>
      <c r="J91" s="390"/>
    </row>
    <row r="93" spans="1:10">
      <c r="A93" t="s">
        <v>142</v>
      </c>
    </row>
    <row r="94" spans="1:10" ht="16" thickBot="1"/>
    <row r="95" spans="1:10">
      <c r="A95" s="156" t="s">
        <v>143</v>
      </c>
      <c r="B95" s="156"/>
    </row>
    <row r="96" spans="1:10">
      <c r="A96" s="123" t="s">
        <v>144</v>
      </c>
      <c r="B96" s="123">
        <v>0.84333157288025107</v>
      </c>
    </row>
    <row r="97" spans="1:10">
      <c r="A97" s="123" t="s">
        <v>145</v>
      </c>
      <c r="B97" s="123">
        <v>0.71120814181667824</v>
      </c>
    </row>
    <row r="98" spans="1:10">
      <c r="A98" s="123" t="s">
        <v>146</v>
      </c>
      <c r="B98" s="123">
        <v>0.71002939953837896</v>
      </c>
    </row>
    <row r="99" spans="1:10">
      <c r="A99" s="123" t="s">
        <v>147</v>
      </c>
      <c r="B99" s="123">
        <v>2.2085774286259758E-2</v>
      </c>
    </row>
    <row r="100" spans="1:10" ht="16" thickBot="1">
      <c r="A100" s="124" t="s">
        <v>148</v>
      </c>
      <c r="B100" s="124">
        <v>247</v>
      </c>
    </row>
    <row r="102" spans="1:10" ht="16" thickBot="1">
      <c r="A102" t="s">
        <v>149</v>
      </c>
    </row>
    <row r="103" spans="1:10">
      <c r="A103" s="125"/>
      <c r="B103" s="125" t="s">
        <v>154</v>
      </c>
      <c r="C103" s="125" t="s">
        <v>155</v>
      </c>
      <c r="D103" s="125" t="s">
        <v>156</v>
      </c>
      <c r="E103" s="125" t="s">
        <v>157</v>
      </c>
      <c r="F103" s="125" t="s">
        <v>158</v>
      </c>
    </row>
    <row r="104" spans="1:10">
      <c r="A104" s="123" t="s">
        <v>150</v>
      </c>
      <c r="B104" s="123">
        <v>1</v>
      </c>
      <c r="C104" s="123">
        <v>0.29430871180190493</v>
      </c>
      <c r="D104" s="123">
        <v>0.29430871180190493</v>
      </c>
      <c r="E104" s="123">
        <v>603.36186705955129</v>
      </c>
      <c r="F104" s="123">
        <v>5.0333856146229194E-68</v>
      </c>
    </row>
    <row r="105" spans="1:10">
      <c r="A105" s="123" t="s">
        <v>151</v>
      </c>
      <c r="B105" s="123">
        <v>245</v>
      </c>
      <c r="C105" s="123">
        <v>0.1195064493267851</v>
      </c>
      <c r="D105" s="123">
        <v>4.8778142582361266E-4</v>
      </c>
      <c r="E105" s="123"/>
      <c r="F105" s="123"/>
    </row>
    <row r="106" spans="1:10" ht="16" thickBot="1">
      <c r="A106" s="124" t="s">
        <v>152</v>
      </c>
      <c r="B106" s="124">
        <v>246</v>
      </c>
      <c r="C106" s="124">
        <v>0.41381516112869005</v>
      </c>
      <c r="D106" s="124"/>
      <c r="E106" s="124"/>
      <c r="F106" s="124"/>
    </row>
    <row r="107" spans="1:10" ht="16" thickBot="1"/>
    <row r="108" spans="1:10">
      <c r="A108" s="125"/>
      <c r="B108" s="125" t="s">
        <v>159</v>
      </c>
      <c r="C108" s="125" t="s">
        <v>147</v>
      </c>
      <c r="D108" s="125" t="s">
        <v>160</v>
      </c>
      <c r="E108" s="125" t="s">
        <v>161</v>
      </c>
      <c r="F108" s="125" t="s">
        <v>162</v>
      </c>
      <c r="G108" s="125" t="s">
        <v>163</v>
      </c>
      <c r="H108" s="125" t="s">
        <v>164</v>
      </c>
      <c r="I108" s="125" t="s">
        <v>165</v>
      </c>
    </row>
    <row r="109" spans="1:10">
      <c r="A109" s="123" t="s">
        <v>153</v>
      </c>
      <c r="B109" s="123">
        <v>-6.3333151412244037E-4</v>
      </c>
      <c r="C109" s="123">
        <v>1.4066487239992205E-3</v>
      </c>
      <c r="D109" s="123">
        <v>-0.45024141657899186</v>
      </c>
      <c r="E109" s="123">
        <v>0.65293451935857649</v>
      </c>
      <c r="F109" s="123">
        <v>-3.4039989541240338E-3</v>
      </c>
      <c r="G109" s="123">
        <v>2.1373359258791531E-3</v>
      </c>
      <c r="H109" s="123">
        <v>-3.4039989541240338E-3</v>
      </c>
      <c r="I109" s="123">
        <v>2.1373359258791531E-3</v>
      </c>
    </row>
    <row r="110" spans="1:10" ht="16" thickBot="1">
      <c r="A110" s="124" t="s">
        <v>166</v>
      </c>
      <c r="B110" s="157">
        <v>1.4508211854779773</v>
      </c>
      <c r="C110" s="124">
        <v>5.9064286118046379E-2</v>
      </c>
      <c r="D110" s="124">
        <v>24.563425393449332</v>
      </c>
      <c r="E110" s="124">
        <v>5.033385614622776E-68</v>
      </c>
      <c r="F110" s="124">
        <v>1.3344826201900171</v>
      </c>
      <c r="G110" s="124">
        <v>1.5671597507659376</v>
      </c>
      <c r="H110" s="124">
        <v>1.3344826201900171</v>
      </c>
      <c r="I110" s="124">
        <v>1.5671597507659376</v>
      </c>
    </row>
    <row r="112" spans="1:10">
      <c r="A112" s="390" t="s">
        <v>265</v>
      </c>
      <c r="B112" s="390"/>
      <c r="C112" s="390"/>
      <c r="D112" s="390"/>
      <c r="E112" s="390"/>
      <c r="F112" s="390"/>
      <c r="G112" s="390"/>
      <c r="H112" s="390"/>
      <c r="I112" s="390"/>
      <c r="J112" s="390"/>
    </row>
    <row r="113" spans="1:10">
      <c r="A113" s="390"/>
      <c r="B113" s="390"/>
      <c r="C113" s="390"/>
      <c r="D113" s="390"/>
      <c r="E113" s="390"/>
      <c r="F113" s="390"/>
      <c r="G113" s="390"/>
      <c r="H113" s="390"/>
      <c r="I113" s="390"/>
      <c r="J113" s="390"/>
    </row>
    <row r="114" spans="1:10">
      <c r="A114" s="162" t="s">
        <v>142</v>
      </c>
      <c r="B114" s="162"/>
      <c r="C114" s="162"/>
      <c r="D114" s="162"/>
      <c r="E114" s="162"/>
      <c r="F114" s="162"/>
      <c r="G114" s="162"/>
      <c r="H114" s="162"/>
      <c r="I114" s="162"/>
    </row>
    <row r="115" spans="1:10" ht="16" thickBot="1">
      <c r="A115" s="162"/>
      <c r="B115" s="162"/>
      <c r="C115" s="162"/>
      <c r="D115" s="162"/>
      <c r="E115" s="162"/>
      <c r="F115" s="162"/>
      <c r="G115" s="162"/>
      <c r="H115" s="162"/>
      <c r="I115" s="162"/>
    </row>
    <row r="116" spans="1:10">
      <c r="A116" s="156" t="s">
        <v>143</v>
      </c>
      <c r="B116" s="156"/>
      <c r="C116" s="162"/>
      <c r="D116" s="162"/>
      <c r="E116" s="162"/>
      <c r="F116" s="162"/>
      <c r="G116" s="162"/>
      <c r="H116" s="162"/>
      <c r="I116" s="162"/>
    </row>
    <row r="117" spans="1:10">
      <c r="A117" s="123" t="s">
        <v>144</v>
      </c>
      <c r="B117" s="123">
        <v>0.78308172103642337</v>
      </c>
      <c r="C117" s="162"/>
      <c r="D117" s="162"/>
      <c r="E117" s="162"/>
      <c r="F117" s="162"/>
      <c r="G117" s="162"/>
      <c r="H117" s="162"/>
      <c r="I117" s="162"/>
    </row>
    <row r="118" spans="1:10">
      <c r="A118" s="123" t="s">
        <v>145</v>
      </c>
      <c r="B118" s="123">
        <v>0.61321698182136675</v>
      </c>
      <c r="C118" s="162"/>
      <c r="D118" s="162"/>
      <c r="E118" s="162"/>
      <c r="F118" s="162"/>
      <c r="G118" s="162"/>
      <c r="H118" s="162"/>
      <c r="I118" s="162"/>
    </row>
    <row r="119" spans="1:10">
      <c r="A119" s="123" t="s">
        <v>146</v>
      </c>
      <c r="B119" s="123">
        <v>0.61163827562471929</v>
      </c>
      <c r="C119" s="162"/>
      <c r="D119" s="162"/>
      <c r="E119" s="162"/>
      <c r="F119" s="162"/>
      <c r="G119" s="162"/>
      <c r="H119" s="162"/>
      <c r="I119" s="162"/>
    </row>
    <row r="120" spans="1:10">
      <c r="A120" s="123" t="s">
        <v>147</v>
      </c>
      <c r="B120" s="123">
        <v>1.9481638738249103E-2</v>
      </c>
      <c r="C120" s="162"/>
      <c r="D120" s="162"/>
      <c r="E120" s="162"/>
      <c r="F120" s="162"/>
      <c r="G120" s="162"/>
      <c r="H120" s="162"/>
      <c r="I120" s="162"/>
    </row>
    <row r="121" spans="1:10" ht="16" thickBot="1">
      <c r="A121" s="124" t="s">
        <v>148</v>
      </c>
      <c r="B121" s="124">
        <v>247</v>
      </c>
      <c r="C121" s="162"/>
      <c r="D121" s="162"/>
      <c r="E121" s="162"/>
      <c r="F121" s="162"/>
      <c r="G121" s="162"/>
      <c r="H121" s="162"/>
      <c r="I121" s="162"/>
    </row>
    <row r="122" spans="1:10">
      <c r="A122" s="162"/>
      <c r="B122" s="162"/>
      <c r="C122" s="162"/>
      <c r="D122" s="162"/>
      <c r="E122" s="162"/>
      <c r="F122" s="162"/>
      <c r="G122" s="162"/>
      <c r="H122" s="162"/>
      <c r="I122" s="162"/>
    </row>
    <row r="123" spans="1:10" ht="16" thickBot="1">
      <c r="A123" s="162" t="s">
        <v>149</v>
      </c>
      <c r="B123" s="162"/>
      <c r="C123" s="162"/>
      <c r="D123" s="162"/>
      <c r="E123" s="162"/>
      <c r="F123" s="162"/>
      <c r="G123" s="162"/>
      <c r="H123" s="162"/>
      <c r="I123" s="162"/>
    </row>
    <row r="124" spans="1:10">
      <c r="A124" s="125"/>
      <c r="B124" s="125" t="s">
        <v>154</v>
      </c>
      <c r="C124" s="125" t="s">
        <v>155</v>
      </c>
      <c r="D124" s="125" t="s">
        <v>156</v>
      </c>
      <c r="E124" s="125" t="s">
        <v>157</v>
      </c>
      <c r="F124" s="125" t="s">
        <v>158</v>
      </c>
      <c r="G124" s="162"/>
      <c r="H124" s="162"/>
      <c r="I124" s="162"/>
    </row>
    <row r="125" spans="1:10">
      <c r="A125" s="123" t="s">
        <v>150</v>
      </c>
      <c r="B125" s="123">
        <v>1</v>
      </c>
      <c r="C125" s="123">
        <v>0.14742252010302564</v>
      </c>
      <c r="D125" s="123">
        <v>0.14742252010302564</v>
      </c>
      <c r="E125" s="123">
        <v>388.43008478942136</v>
      </c>
      <c r="F125" s="123">
        <v>1.8913022323334099E-52</v>
      </c>
      <c r="G125" s="162"/>
      <c r="H125" s="162"/>
      <c r="I125" s="162"/>
    </row>
    <row r="126" spans="1:10">
      <c r="A126" s="123" t="s">
        <v>151</v>
      </c>
      <c r="B126" s="123">
        <v>245</v>
      </c>
      <c r="C126" s="123">
        <v>9.29858907422738E-2</v>
      </c>
      <c r="D126" s="123">
        <v>3.7953424792764814E-4</v>
      </c>
      <c r="E126" s="123"/>
      <c r="F126" s="123"/>
      <c r="G126" s="162"/>
      <c r="H126" s="162"/>
      <c r="I126" s="162"/>
    </row>
    <row r="127" spans="1:10" ht="16" thickBot="1">
      <c r="A127" s="124" t="s">
        <v>152</v>
      </c>
      <c r="B127" s="124">
        <v>246</v>
      </c>
      <c r="C127" s="124">
        <v>0.24040841084529946</v>
      </c>
      <c r="D127" s="124"/>
      <c r="E127" s="124"/>
      <c r="F127" s="124"/>
      <c r="G127" s="162"/>
      <c r="H127" s="162"/>
      <c r="I127" s="162"/>
    </row>
    <row r="128" spans="1:10" ht="16" thickBot="1">
      <c r="A128" s="162"/>
      <c r="B128" s="162"/>
      <c r="C128" s="162"/>
      <c r="D128" s="162"/>
      <c r="E128" s="162"/>
      <c r="F128" s="162"/>
      <c r="G128" s="162"/>
      <c r="H128" s="162"/>
      <c r="I128" s="162"/>
    </row>
    <row r="129" spans="1:10">
      <c r="A129" s="125"/>
      <c r="B129" s="125" t="s">
        <v>159</v>
      </c>
      <c r="C129" s="125" t="s">
        <v>147</v>
      </c>
      <c r="D129" s="125" t="s">
        <v>160</v>
      </c>
      <c r="E129" s="125" t="s">
        <v>161</v>
      </c>
      <c r="F129" s="125" t="s">
        <v>162</v>
      </c>
      <c r="G129" s="125" t="s">
        <v>163</v>
      </c>
      <c r="H129" s="125" t="s">
        <v>164</v>
      </c>
      <c r="I129" s="125" t="s">
        <v>165</v>
      </c>
    </row>
    <row r="130" spans="1:10">
      <c r="A130" s="123" t="s">
        <v>153</v>
      </c>
      <c r="B130" s="123">
        <v>7.7296394057636136E-4</v>
      </c>
      <c r="C130" s="123">
        <v>1.240790651818834E-3</v>
      </c>
      <c r="D130" s="123">
        <v>0.62296080281012678</v>
      </c>
      <c r="E130" s="123">
        <v>0.53388971984839007</v>
      </c>
      <c r="F130" s="123">
        <v>-1.6710138629784533E-3</v>
      </c>
      <c r="G130" s="123">
        <v>3.216941744131176E-3</v>
      </c>
      <c r="H130" s="123">
        <v>-1.6710138629784533E-3</v>
      </c>
      <c r="I130" s="123">
        <v>3.216941744131176E-3</v>
      </c>
    </row>
    <row r="131" spans="1:10" ht="16" thickBot="1">
      <c r="A131" s="124" t="s">
        <v>166</v>
      </c>
      <c r="B131" s="157">
        <v>1.0268198254416081</v>
      </c>
      <c r="C131" s="124">
        <v>5.2100011055543023E-2</v>
      </c>
      <c r="D131" s="124">
        <v>19.708629703493369</v>
      </c>
      <c r="E131" s="124">
        <v>1.8913022323335179E-52</v>
      </c>
      <c r="F131" s="124">
        <v>0.92419875040525379</v>
      </c>
      <c r="G131" s="124">
        <v>1.1294409004779624</v>
      </c>
      <c r="H131" s="124">
        <v>0.92419875040525379</v>
      </c>
      <c r="I131" s="124">
        <v>1.1294409004779624</v>
      </c>
    </row>
    <row r="133" spans="1:10">
      <c r="A133" s="390" t="s">
        <v>266</v>
      </c>
      <c r="B133" s="390"/>
      <c r="C133" s="390"/>
      <c r="D133" s="390"/>
      <c r="E133" s="390"/>
      <c r="F133" s="390"/>
      <c r="G133" s="390"/>
      <c r="H133" s="390"/>
      <c r="I133" s="390"/>
      <c r="J133" s="390"/>
    </row>
    <row r="134" spans="1:10">
      <c r="A134" s="390"/>
      <c r="B134" s="390"/>
      <c r="C134" s="390"/>
      <c r="D134" s="390"/>
      <c r="E134" s="390"/>
      <c r="F134" s="390"/>
      <c r="G134" s="390"/>
      <c r="H134" s="390"/>
      <c r="I134" s="390"/>
      <c r="J134" s="390"/>
    </row>
    <row r="135" spans="1:10">
      <c r="A135" s="162" t="s">
        <v>142</v>
      </c>
      <c r="B135" s="162"/>
      <c r="C135" s="162"/>
      <c r="D135" s="162"/>
      <c r="E135" s="162"/>
      <c r="F135" s="162"/>
      <c r="G135" s="162"/>
      <c r="H135" s="162"/>
      <c r="I135" s="162"/>
    </row>
    <row r="136" spans="1:10" ht="16" thickBot="1">
      <c r="A136" s="162"/>
      <c r="B136" s="162"/>
      <c r="C136" s="162"/>
      <c r="D136" s="162"/>
      <c r="E136" s="162"/>
      <c r="F136" s="162"/>
      <c r="G136" s="162"/>
      <c r="H136" s="162"/>
      <c r="I136" s="162"/>
    </row>
    <row r="137" spans="1:10">
      <c r="A137" s="156" t="s">
        <v>143</v>
      </c>
      <c r="B137" s="156"/>
      <c r="C137" s="162"/>
      <c r="D137" s="162"/>
      <c r="E137" s="162"/>
      <c r="F137" s="162"/>
      <c r="G137" s="162"/>
      <c r="H137" s="162"/>
      <c r="I137" s="162"/>
    </row>
    <row r="138" spans="1:10">
      <c r="A138" s="123" t="s">
        <v>144</v>
      </c>
      <c r="B138" s="123">
        <v>0.69862403625910774</v>
      </c>
      <c r="C138" s="162"/>
      <c r="D138" s="162"/>
      <c r="E138" s="162"/>
      <c r="F138" s="162"/>
      <c r="G138" s="162"/>
      <c r="H138" s="162"/>
      <c r="I138" s="162"/>
    </row>
    <row r="139" spans="1:10">
      <c r="A139" s="123" t="s">
        <v>145</v>
      </c>
      <c r="B139" s="123">
        <v>0.48807554403896714</v>
      </c>
      <c r="C139" s="162"/>
      <c r="D139" s="162"/>
      <c r="E139" s="162"/>
      <c r="F139" s="162"/>
      <c r="G139" s="162"/>
      <c r="H139" s="162"/>
      <c r="I139" s="162"/>
    </row>
    <row r="140" spans="1:10">
      <c r="A140" s="123" t="s">
        <v>146</v>
      </c>
      <c r="B140" s="123">
        <v>0.48598605646361598</v>
      </c>
      <c r="C140" s="162"/>
      <c r="D140" s="162"/>
      <c r="E140" s="162"/>
      <c r="F140" s="162"/>
      <c r="G140" s="162"/>
      <c r="H140" s="162"/>
      <c r="I140" s="162"/>
    </row>
    <row r="141" spans="1:10">
      <c r="A141" s="123" t="s">
        <v>147</v>
      </c>
      <c r="B141" s="123">
        <v>1.9697536944798682E-2</v>
      </c>
      <c r="C141" s="162"/>
      <c r="D141" s="162"/>
      <c r="E141" s="162"/>
      <c r="F141" s="162"/>
      <c r="G141" s="162"/>
      <c r="H141" s="162"/>
      <c r="I141" s="162"/>
    </row>
    <row r="142" spans="1:10" ht="16" thickBot="1">
      <c r="A142" s="124" t="s">
        <v>148</v>
      </c>
      <c r="B142" s="124">
        <v>247</v>
      </c>
      <c r="C142" s="162"/>
      <c r="D142" s="162"/>
      <c r="E142" s="162"/>
      <c r="F142" s="162"/>
      <c r="G142" s="162"/>
      <c r="H142" s="162"/>
      <c r="I142" s="162"/>
    </row>
    <row r="143" spans="1:10">
      <c r="A143" s="162"/>
      <c r="B143" s="162"/>
      <c r="C143" s="162"/>
      <c r="D143" s="162"/>
      <c r="E143" s="162"/>
      <c r="F143" s="162"/>
      <c r="G143" s="162"/>
      <c r="H143" s="162"/>
      <c r="I143" s="162"/>
    </row>
    <row r="144" spans="1:10" ht="16" thickBot="1">
      <c r="A144" s="162" t="s">
        <v>149</v>
      </c>
      <c r="B144" s="162"/>
      <c r="C144" s="162"/>
      <c r="D144" s="162"/>
      <c r="E144" s="162"/>
      <c r="F144" s="162"/>
      <c r="G144" s="162"/>
      <c r="H144" s="162"/>
      <c r="I144" s="162"/>
    </row>
    <row r="145" spans="1:11">
      <c r="A145" s="125"/>
      <c r="B145" s="125" t="s">
        <v>154</v>
      </c>
      <c r="C145" s="125" t="s">
        <v>155</v>
      </c>
      <c r="D145" s="125" t="s">
        <v>156</v>
      </c>
      <c r="E145" s="125" t="s">
        <v>157</v>
      </c>
      <c r="F145" s="125" t="s">
        <v>158</v>
      </c>
      <c r="G145" s="162"/>
      <c r="H145" s="162"/>
      <c r="I145" s="162"/>
    </row>
    <row r="146" spans="1:11">
      <c r="A146" s="123" t="s">
        <v>150</v>
      </c>
      <c r="B146" s="123">
        <v>1</v>
      </c>
      <c r="C146" s="123">
        <v>9.0629816656912138E-2</v>
      </c>
      <c r="D146" s="123">
        <v>9.0629816656912138E-2</v>
      </c>
      <c r="E146" s="123">
        <v>233.58623894039775</v>
      </c>
      <c r="F146" s="123">
        <v>1.7320687765972362E-37</v>
      </c>
      <c r="G146" s="162"/>
      <c r="H146" s="162"/>
      <c r="I146" s="162"/>
    </row>
    <row r="147" spans="1:11">
      <c r="A147" s="123" t="s">
        <v>151</v>
      </c>
      <c r="B147" s="123">
        <v>245</v>
      </c>
      <c r="C147" s="123">
        <v>9.5058275614468724E-2</v>
      </c>
      <c r="D147" s="123">
        <v>3.8799296169170905E-4</v>
      </c>
      <c r="E147" s="123"/>
      <c r="F147" s="123"/>
      <c r="G147" s="162"/>
      <c r="H147" s="162"/>
      <c r="I147" s="162"/>
    </row>
    <row r="148" spans="1:11" ht="16" thickBot="1">
      <c r="A148" s="124" t="s">
        <v>152</v>
      </c>
      <c r="B148" s="124">
        <v>246</v>
      </c>
      <c r="C148" s="124">
        <v>0.18568809227138086</v>
      </c>
      <c r="D148" s="124"/>
      <c r="E148" s="124"/>
      <c r="F148" s="124"/>
      <c r="G148" s="162"/>
      <c r="H148" s="162"/>
      <c r="I148" s="162"/>
    </row>
    <row r="149" spans="1:11" ht="16" thickBot="1">
      <c r="A149" s="162"/>
      <c r="B149" s="162"/>
      <c r="C149" s="162"/>
      <c r="D149" s="162"/>
      <c r="E149" s="162"/>
      <c r="F149" s="162"/>
      <c r="G149" s="162"/>
      <c r="H149" s="162"/>
      <c r="I149" s="162"/>
    </row>
    <row r="150" spans="1:11">
      <c r="A150" s="125"/>
      <c r="B150" s="125" t="s">
        <v>159</v>
      </c>
      <c r="C150" s="125" t="s">
        <v>147</v>
      </c>
      <c r="D150" s="125" t="s">
        <v>160</v>
      </c>
      <c r="E150" s="125" t="s">
        <v>161</v>
      </c>
      <c r="F150" s="125" t="s">
        <v>162</v>
      </c>
      <c r="G150" s="125" t="s">
        <v>163</v>
      </c>
      <c r="H150" s="125" t="s">
        <v>164</v>
      </c>
      <c r="I150" s="125" t="s">
        <v>165</v>
      </c>
    </row>
    <row r="151" spans="1:11">
      <c r="A151" s="123" t="s">
        <v>153</v>
      </c>
      <c r="B151" s="123">
        <v>-1.5686981285220657E-3</v>
      </c>
      <c r="C151" s="123">
        <v>1.254541264897662E-3</v>
      </c>
      <c r="D151" s="123">
        <v>-1.2504157275767496</v>
      </c>
      <c r="E151" s="123">
        <v>0.21234065323455995</v>
      </c>
      <c r="F151" s="123">
        <v>-4.0397604310619941E-3</v>
      </c>
      <c r="G151" s="123">
        <v>9.0236417401786274E-4</v>
      </c>
      <c r="H151" s="123">
        <v>-4.0397604310619941E-3</v>
      </c>
      <c r="I151" s="123">
        <v>9.0236417401786274E-4</v>
      </c>
    </row>
    <row r="152" spans="1:11" ht="16" thickBot="1">
      <c r="A152" s="124" t="s">
        <v>166</v>
      </c>
      <c r="B152" s="157">
        <v>0.80509639224771423</v>
      </c>
      <c r="C152" s="124">
        <v>5.2677390561406703E-2</v>
      </c>
      <c r="D152" s="124">
        <v>15.283528353766938</v>
      </c>
      <c r="E152" s="124">
        <v>1.7320687765971132E-37</v>
      </c>
      <c r="F152" s="124">
        <v>0.70133805630881374</v>
      </c>
      <c r="G152" s="124">
        <v>0.90885472818661472</v>
      </c>
      <c r="H152" s="124">
        <v>0.70133805630881374</v>
      </c>
      <c r="I152" s="124">
        <v>0.90885472818661472</v>
      </c>
    </row>
    <row r="154" spans="1:11">
      <c r="A154" s="390" t="s">
        <v>267</v>
      </c>
      <c r="B154" s="390"/>
      <c r="C154" s="390"/>
      <c r="D154" s="390"/>
      <c r="E154" s="390"/>
      <c r="F154" s="390"/>
      <c r="G154" s="390"/>
      <c r="H154" s="390"/>
      <c r="I154" s="390"/>
      <c r="J154" s="390"/>
    </row>
    <row r="155" spans="1:11">
      <c r="A155" s="390"/>
      <c r="B155" s="390"/>
      <c r="C155" s="390"/>
      <c r="D155" s="390"/>
      <c r="E155" s="390"/>
      <c r="F155" s="390"/>
      <c r="G155" s="390"/>
      <c r="H155" s="390"/>
      <c r="I155" s="390"/>
      <c r="J155" s="390"/>
      <c r="K155" s="155"/>
    </row>
    <row r="156" spans="1:11">
      <c r="A156" t="s">
        <v>142</v>
      </c>
    </row>
    <row r="157" spans="1:11" ht="16" thickBot="1"/>
    <row r="158" spans="1:11">
      <c r="A158" s="156" t="s">
        <v>143</v>
      </c>
      <c r="B158" s="156"/>
    </row>
    <row r="159" spans="1:11">
      <c r="A159" s="123" t="s">
        <v>144</v>
      </c>
      <c r="B159" s="123">
        <v>0.88139194043929669</v>
      </c>
    </row>
    <row r="160" spans="1:11">
      <c r="A160" s="123" t="s">
        <v>145</v>
      </c>
      <c r="B160" s="123">
        <v>0.77685175267134865</v>
      </c>
    </row>
    <row r="161" spans="1:9">
      <c r="A161" s="123" t="s">
        <v>146</v>
      </c>
      <c r="B161" s="123">
        <v>0.77594094349857867</v>
      </c>
    </row>
    <row r="162" spans="1:9">
      <c r="A162" s="123" t="s">
        <v>147</v>
      </c>
      <c r="B162" s="123">
        <v>2.162953951534452E-2</v>
      </c>
    </row>
    <row r="163" spans="1:9" ht="16" thickBot="1">
      <c r="A163" s="124" t="s">
        <v>148</v>
      </c>
      <c r="B163" s="124">
        <v>247</v>
      </c>
    </row>
    <row r="165" spans="1:9" ht="16" thickBot="1">
      <c r="A165" t="s">
        <v>149</v>
      </c>
    </row>
    <row r="166" spans="1:9">
      <c r="A166" s="125"/>
      <c r="B166" s="125" t="s">
        <v>154</v>
      </c>
      <c r="C166" s="125" t="s">
        <v>155</v>
      </c>
      <c r="D166" s="125" t="s">
        <v>156</v>
      </c>
      <c r="E166" s="125" t="s">
        <v>157</v>
      </c>
      <c r="F166" s="125" t="s">
        <v>158</v>
      </c>
    </row>
    <row r="167" spans="1:9">
      <c r="A167" s="123" t="s">
        <v>150</v>
      </c>
      <c r="B167" s="123">
        <v>1</v>
      </c>
      <c r="C167" s="123">
        <v>0.39902977315987503</v>
      </c>
      <c r="D167" s="123">
        <v>0.39902977315987503</v>
      </c>
      <c r="E167" s="123">
        <v>852.9248232192723</v>
      </c>
      <c r="F167" s="123">
        <v>9.2032768900880265E-82</v>
      </c>
    </row>
    <row r="168" spans="1:9">
      <c r="A168" s="123" t="s">
        <v>151</v>
      </c>
      <c r="B168" s="123">
        <v>245</v>
      </c>
      <c r="C168" s="123">
        <v>0.11462006001323329</v>
      </c>
      <c r="D168" s="123">
        <v>4.6783697964585013E-4</v>
      </c>
      <c r="E168" s="123"/>
      <c r="F168" s="123"/>
    </row>
    <row r="169" spans="1:9" ht="16" thickBot="1">
      <c r="A169" s="124" t="s">
        <v>152</v>
      </c>
      <c r="B169" s="124">
        <v>246</v>
      </c>
      <c r="C169" s="124">
        <v>0.51364983317310831</v>
      </c>
      <c r="D169" s="124"/>
      <c r="E169" s="124"/>
      <c r="F169" s="124"/>
    </row>
    <row r="170" spans="1:9" ht="16" thickBot="1"/>
    <row r="171" spans="1:9">
      <c r="A171" s="125"/>
      <c r="B171" s="125" t="s">
        <v>159</v>
      </c>
      <c r="C171" s="125" t="s">
        <v>147</v>
      </c>
      <c r="D171" s="125" t="s">
        <v>160</v>
      </c>
      <c r="E171" s="125" t="s">
        <v>161</v>
      </c>
      <c r="F171" s="125" t="s">
        <v>162</v>
      </c>
      <c r="G171" s="125" t="s">
        <v>163</v>
      </c>
      <c r="H171" s="125" t="s">
        <v>164</v>
      </c>
      <c r="I171" s="125" t="s">
        <v>165</v>
      </c>
    </row>
    <row r="172" spans="1:9">
      <c r="A172" s="123" t="s">
        <v>153</v>
      </c>
      <c r="B172" s="123">
        <v>3.5674087052847974E-4</v>
      </c>
      <c r="C172" s="123">
        <v>1.3775910124590256E-3</v>
      </c>
      <c r="D172" s="123">
        <v>0.2589599288192877</v>
      </c>
      <c r="E172" s="123">
        <v>0.79588359824815114</v>
      </c>
      <c r="F172" s="123">
        <v>-2.3566917717074837E-3</v>
      </c>
      <c r="G172" s="123">
        <v>3.0701735127644436E-3</v>
      </c>
      <c r="H172" s="123">
        <v>-2.3566917717074837E-3</v>
      </c>
      <c r="I172" s="123">
        <v>3.0701735127644436E-3</v>
      </c>
    </row>
    <row r="173" spans="1:9" ht="16" thickBot="1">
      <c r="A173" s="124" t="s">
        <v>166</v>
      </c>
      <c r="B173" s="157">
        <v>1.6893318900298184</v>
      </c>
      <c r="C173" s="124">
        <v>5.7844171274117027E-2</v>
      </c>
      <c r="D173" s="124">
        <v>29.204876702689099</v>
      </c>
      <c r="E173" s="124">
        <v>9.2032768900875009E-82</v>
      </c>
      <c r="F173" s="124">
        <v>1.5753965775323109</v>
      </c>
      <c r="G173" s="124">
        <v>1.803267202527326</v>
      </c>
      <c r="H173" s="124">
        <v>1.5753965775323109</v>
      </c>
      <c r="I173" s="124">
        <v>1.803267202527326</v>
      </c>
    </row>
    <row r="177" spans="1:9">
      <c r="A177" t="s">
        <v>142</v>
      </c>
    </row>
    <row r="178" spans="1:9" ht="16" thickBot="1"/>
    <row r="179" spans="1:9">
      <c r="A179" s="156" t="s">
        <v>143</v>
      </c>
      <c r="B179" s="156"/>
    </row>
    <row r="180" spans="1:9">
      <c r="A180" s="123" t="s">
        <v>144</v>
      </c>
      <c r="B180" s="123">
        <v>0.74296448056907949</v>
      </c>
    </row>
    <row r="181" spans="1:9">
      <c r="A181" s="123" t="s">
        <v>145</v>
      </c>
      <c r="B181" s="123">
        <v>0.55199621938728205</v>
      </c>
    </row>
    <row r="182" spans="1:9">
      <c r="A182" s="123" t="s">
        <v>146</v>
      </c>
      <c r="B182" s="123">
        <v>0.55016763252763823</v>
      </c>
    </row>
    <row r="183" spans="1:9">
      <c r="A183" s="123" t="s">
        <v>147</v>
      </c>
      <c r="B183" s="123">
        <v>1.5871871211283799E-2</v>
      </c>
    </row>
    <row r="184" spans="1:9" ht="16" thickBot="1">
      <c r="A184" s="124" t="s">
        <v>148</v>
      </c>
      <c r="B184" s="124">
        <v>247</v>
      </c>
    </row>
    <row r="186" spans="1:9" ht="16" thickBot="1">
      <c r="A186" t="s">
        <v>149</v>
      </c>
    </row>
    <row r="187" spans="1:9">
      <c r="A187" s="125"/>
      <c r="B187" s="125" t="s">
        <v>154</v>
      </c>
      <c r="C187" s="125" t="s">
        <v>155</v>
      </c>
      <c r="D187" s="125" t="s">
        <v>156</v>
      </c>
      <c r="E187" s="125" t="s">
        <v>157</v>
      </c>
      <c r="F187" s="125" t="s">
        <v>158</v>
      </c>
    </row>
    <row r="188" spans="1:9">
      <c r="A188" s="123" t="s">
        <v>150</v>
      </c>
      <c r="B188" s="123">
        <v>1</v>
      </c>
      <c r="C188" s="123">
        <v>7.6046069193455731E-2</v>
      </c>
      <c r="D188" s="123">
        <v>7.6046069193455731E-2</v>
      </c>
      <c r="E188" s="123">
        <v>301.87038503318593</v>
      </c>
      <c r="F188" s="123">
        <v>1.3077835802085975E-44</v>
      </c>
    </row>
    <row r="189" spans="1:9">
      <c r="A189" s="123" t="s">
        <v>151</v>
      </c>
      <c r="B189" s="123">
        <v>245</v>
      </c>
      <c r="C189" s="123">
        <v>6.1719492458156958E-2</v>
      </c>
      <c r="D189" s="123">
        <v>2.519162957475794E-4</v>
      </c>
      <c r="E189" s="123"/>
      <c r="F189" s="123"/>
    </row>
    <row r="190" spans="1:9" ht="16" thickBot="1">
      <c r="A190" s="124" t="s">
        <v>152</v>
      </c>
      <c r="B190" s="124">
        <v>246</v>
      </c>
      <c r="C190" s="124">
        <v>0.13776556165161269</v>
      </c>
      <c r="D190" s="124"/>
      <c r="E190" s="124"/>
      <c r="F190" s="124"/>
    </row>
    <row r="191" spans="1:9" ht="16" thickBot="1"/>
    <row r="192" spans="1:9">
      <c r="A192" s="125"/>
      <c r="B192" s="125" t="s">
        <v>159</v>
      </c>
      <c r="C192" s="125" t="s">
        <v>147</v>
      </c>
      <c r="D192" s="125" t="s">
        <v>160</v>
      </c>
      <c r="E192" s="125" t="s">
        <v>161</v>
      </c>
      <c r="F192" s="125" t="s">
        <v>162</v>
      </c>
      <c r="G192" s="125" t="s">
        <v>163</v>
      </c>
      <c r="H192" s="125" t="s">
        <v>164</v>
      </c>
      <c r="I192" s="125" t="s">
        <v>165</v>
      </c>
    </row>
    <row r="193" spans="1:10">
      <c r="A193" s="123" t="s">
        <v>153</v>
      </c>
      <c r="B193" s="123">
        <v>1.6229090585409705E-3</v>
      </c>
      <c r="C193" s="123">
        <v>1.0108836166419623E-3</v>
      </c>
      <c r="D193" s="123">
        <v>1.6054361074048125</v>
      </c>
      <c r="E193" s="123">
        <v>0.10968601455432882</v>
      </c>
      <c r="F193" s="123">
        <v>-3.6822225553576993E-4</v>
      </c>
      <c r="G193" s="123">
        <v>3.6140403726177108E-3</v>
      </c>
      <c r="H193" s="123">
        <v>-3.6822225553576993E-4</v>
      </c>
      <c r="I193" s="123">
        <v>3.6140403726177108E-3</v>
      </c>
    </row>
    <row r="194" spans="1:10" ht="16" thickBot="1">
      <c r="A194" s="124" t="s">
        <v>166</v>
      </c>
      <c r="B194" s="157">
        <v>0.73748079467064842</v>
      </c>
      <c r="C194" s="124">
        <v>4.2446360734351658E-2</v>
      </c>
      <c r="D194" s="124">
        <v>17.374417545149125</v>
      </c>
      <c r="E194" s="124">
        <v>1.3077835802086162E-44</v>
      </c>
      <c r="F194" s="124">
        <v>0.65387445598299787</v>
      </c>
      <c r="G194" s="124">
        <v>0.82108713335829897</v>
      </c>
      <c r="H194" s="124">
        <v>0.65387445598299787</v>
      </c>
      <c r="I194" s="124">
        <v>0.82108713335829897</v>
      </c>
    </row>
    <row r="196" spans="1:10">
      <c r="A196" s="390" t="s">
        <v>213</v>
      </c>
      <c r="B196" s="390"/>
      <c r="C196" s="390"/>
      <c r="D196" s="390"/>
      <c r="E196" s="390"/>
      <c r="F196" s="390"/>
      <c r="G196" s="390"/>
      <c r="H196" s="390"/>
      <c r="I196" s="390"/>
      <c r="J196" s="390"/>
    </row>
    <row r="197" spans="1:10">
      <c r="A197" s="390"/>
      <c r="B197" s="390"/>
      <c r="C197" s="390"/>
      <c r="D197" s="390"/>
      <c r="E197" s="390"/>
      <c r="F197" s="390"/>
      <c r="G197" s="390"/>
      <c r="H197" s="390"/>
      <c r="I197" s="390"/>
      <c r="J197" s="390"/>
    </row>
    <row r="198" spans="1:10">
      <c r="A198" t="s">
        <v>142</v>
      </c>
    </row>
    <row r="199" spans="1:10" ht="16" thickBot="1"/>
    <row r="200" spans="1:10">
      <c r="A200" s="156" t="s">
        <v>143</v>
      </c>
      <c r="B200" s="156"/>
    </row>
    <row r="201" spans="1:10">
      <c r="A201" s="123" t="s">
        <v>144</v>
      </c>
      <c r="B201" s="123">
        <v>0.62018298985476417</v>
      </c>
    </row>
    <row r="202" spans="1:10">
      <c r="A202" s="123" t="s">
        <v>145</v>
      </c>
      <c r="B202" s="123">
        <v>0.3846269409051945</v>
      </c>
    </row>
    <row r="203" spans="1:10">
      <c r="A203" s="123" t="s">
        <v>146</v>
      </c>
      <c r="B203" s="123">
        <v>0.38211521413337896</v>
      </c>
    </row>
    <row r="204" spans="1:10">
      <c r="A204" s="123" t="s">
        <v>147</v>
      </c>
      <c r="B204" s="123">
        <v>1.9483594125729406E-2</v>
      </c>
    </row>
    <row r="205" spans="1:10" ht="16" thickBot="1">
      <c r="A205" s="124" t="s">
        <v>148</v>
      </c>
      <c r="B205" s="124">
        <v>247</v>
      </c>
    </row>
    <row r="207" spans="1:10" ht="16" thickBot="1">
      <c r="A207" t="s">
        <v>149</v>
      </c>
    </row>
    <row r="208" spans="1:10">
      <c r="A208" s="125"/>
      <c r="B208" s="125" t="s">
        <v>154</v>
      </c>
      <c r="C208" s="125" t="s">
        <v>155</v>
      </c>
      <c r="D208" s="125" t="s">
        <v>156</v>
      </c>
      <c r="E208" s="125" t="s">
        <v>157</v>
      </c>
      <c r="F208" s="125" t="s">
        <v>158</v>
      </c>
    </row>
    <row r="209" spans="1:10">
      <c r="A209" s="123" t="s">
        <v>150</v>
      </c>
      <c r="B209" s="123">
        <v>1</v>
      </c>
      <c r="C209" s="123">
        <v>5.8130686797965833E-2</v>
      </c>
      <c r="D209" s="123">
        <v>5.8130686797965833E-2</v>
      </c>
      <c r="E209" s="123">
        <v>153.13247651820723</v>
      </c>
      <c r="F209" s="123">
        <v>1.2052810922326639E-27</v>
      </c>
    </row>
    <row r="210" spans="1:10">
      <c r="A210" s="123" t="s">
        <v>151</v>
      </c>
      <c r="B210" s="123">
        <v>245</v>
      </c>
      <c r="C210" s="123">
        <v>9.3004557813758562E-2</v>
      </c>
      <c r="D210" s="123">
        <v>3.7961044005615737E-4</v>
      </c>
      <c r="E210" s="123"/>
      <c r="F210" s="123"/>
    </row>
    <row r="211" spans="1:10" ht="16" thickBot="1">
      <c r="A211" s="124" t="s">
        <v>152</v>
      </c>
      <c r="B211" s="124">
        <v>246</v>
      </c>
      <c r="C211" s="124">
        <v>0.1511352446117244</v>
      </c>
      <c r="D211" s="124"/>
      <c r="E211" s="124"/>
      <c r="F211" s="124"/>
    </row>
    <row r="212" spans="1:10" ht="16" thickBot="1"/>
    <row r="213" spans="1:10">
      <c r="A213" s="125"/>
      <c r="B213" s="125" t="s">
        <v>159</v>
      </c>
      <c r="C213" s="125" t="s">
        <v>147</v>
      </c>
      <c r="D213" s="125" t="s">
        <v>160</v>
      </c>
      <c r="E213" s="125" t="s">
        <v>161</v>
      </c>
      <c r="F213" s="125" t="s">
        <v>162</v>
      </c>
      <c r="G213" s="125" t="s">
        <v>163</v>
      </c>
      <c r="H213" s="125" t="s">
        <v>164</v>
      </c>
      <c r="I213" s="125" t="s">
        <v>165</v>
      </c>
    </row>
    <row r="214" spans="1:10">
      <c r="A214" s="123" t="s">
        <v>153</v>
      </c>
      <c r="B214" s="123">
        <v>6.081759388930799E-4</v>
      </c>
      <c r="C214" s="123">
        <v>1.2409151909573964E-3</v>
      </c>
      <c r="D214" s="123">
        <v>0.49010274297944351</v>
      </c>
      <c r="E214" s="123">
        <v>0.62449978988884258</v>
      </c>
      <c r="F214" s="123">
        <v>-1.8360471686458307E-3</v>
      </c>
      <c r="G214" s="123">
        <v>3.0523990464319905E-3</v>
      </c>
      <c r="H214" s="123">
        <v>-1.8360471686458307E-3</v>
      </c>
      <c r="I214" s="123">
        <v>3.0523990464319905E-3</v>
      </c>
    </row>
    <row r="215" spans="1:10" ht="16" thickBot="1">
      <c r="A215" s="124" t="s">
        <v>166</v>
      </c>
      <c r="B215" s="157">
        <v>0.6447851947194011</v>
      </c>
      <c r="C215" s="124">
        <v>5.2105240374837485E-2</v>
      </c>
      <c r="D215" s="124">
        <v>12.374670764032766</v>
      </c>
      <c r="E215" s="124">
        <v>1.2052810922326639E-27</v>
      </c>
      <c r="F215" s="124">
        <v>0.54215381952462383</v>
      </c>
      <c r="G215" s="124">
        <v>0.74741656991417837</v>
      </c>
      <c r="H215" s="124">
        <v>0.54215381952462383</v>
      </c>
      <c r="I215" s="124">
        <v>0.74741656991417837</v>
      </c>
    </row>
    <row r="217" spans="1:10">
      <c r="A217" s="390" t="s">
        <v>214</v>
      </c>
      <c r="B217" s="390"/>
      <c r="C217" s="390"/>
      <c r="D217" s="390"/>
      <c r="E217" s="390"/>
      <c r="F217" s="390"/>
      <c r="G217" s="390"/>
      <c r="H217" s="390"/>
      <c r="I217" s="390"/>
      <c r="J217" s="390"/>
    </row>
    <row r="218" spans="1:10">
      <c r="A218" s="390"/>
      <c r="B218" s="390"/>
      <c r="C218" s="390"/>
      <c r="D218" s="390"/>
      <c r="E218" s="390"/>
      <c r="F218" s="390"/>
      <c r="G218" s="390"/>
      <c r="H218" s="390"/>
      <c r="I218" s="390"/>
      <c r="J218" s="390"/>
    </row>
    <row r="219" spans="1:10">
      <c r="A219" t="s">
        <v>142</v>
      </c>
    </row>
    <row r="220" spans="1:10" ht="16" thickBot="1"/>
    <row r="221" spans="1:10">
      <c r="A221" s="156" t="s">
        <v>143</v>
      </c>
      <c r="B221" s="156"/>
    </row>
    <row r="222" spans="1:10">
      <c r="A222" s="123" t="s">
        <v>144</v>
      </c>
      <c r="B222" s="123">
        <v>0.70948839375600892</v>
      </c>
    </row>
    <row r="223" spans="1:10">
      <c r="A223" s="123" t="s">
        <v>145</v>
      </c>
      <c r="B223" s="123">
        <v>0.50337378087448148</v>
      </c>
    </row>
    <row r="224" spans="1:10">
      <c r="A224" s="123" t="s">
        <v>146</v>
      </c>
      <c r="B224" s="123">
        <v>0.50134673508213246</v>
      </c>
    </row>
    <row r="225" spans="1:10">
      <c r="A225" s="123" t="s">
        <v>147</v>
      </c>
      <c r="B225" s="123">
        <v>1.8784989067151155E-2</v>
      </c>
    </row>
    <row r="226" spans="1:10" ht="16" thickBot="1">
      <c r="A226" s="124" t="s">
        <v>148</v>
      </c>
      <c r="B226" s="124">
        <v>247</v>
      </c>
    </row>
    <row r="228" spans="1:10" ht="16" thickBot="1">
      <c r="A228" t="s">
        <v>149</v>
      </c>
    </row>
    <row r="229" spans="1:10">
      <c r="A229" s="125"/>
      <c r="B229" s="125" t="s">
        <v>154</v>
      </c>
      <c r="C229" s="125" t="s">
        <v>155</v>
      </c>
      <c r="D229" s="125" t="s">
        <v>156</v>
      </c>
      <c r="E229" s="125" t="s">
        <v>157</v>
      </c>
      <c r="F229" s="125" t="s">
        <v>158</v>
      </c>
    </row>
    <row r="230" spans="1:10">
      <c r="A230" s="123" t="s">
        <v>150</v>
      </c>
      <c r="B230" s="123">
        <v>1</v>
      </c>
      <c r="C230" s="123">
        <v>8.7629215615224021E-2</v>
      </c>
      <c r="D230" s="123">
        <v>8.7629215615224021E-2</v>
      </c>
      <c r="E230" s="123">
        <v>248.32876631323825</v>
      </c>
      <c r="F230" s="123">
        <v>4.1484141160138322E-39</v>
      </c>
    </row>
    <row r="231" spans="1:10">
      <c r="A231" s="123" t="s">
        <v>151</v>
      </c>
      <c r="B231" s="123">
        <v>245</v>
      </c>
      <c r="C231" s="123">
        <v>8.6454574491982156E-2</v>
      </c>
      <c r="D231" s="123">
        <v>3.5287581425298838E-4</v>
      </c>
      <c r="E231" s="123"/>
      <c r="F231" s="123"/>
    </row>
    <row r="232" spans="1:10" ht="16" thickBot="1">
      <c r="A232" s="124" t="s">
        <v>152</v>
      </c>
      <c r="B232" s="124">
        <v>246</v>
      </c>
      <c r="C232" s="124">
        <v>0.17408379010720618</v>
      </c>
      <c r="D232" s="124"/>
      <c r="E232" s="124"/>
      <c r="F232" s="124"/>
    </row>
    <row r="233" spans="1:10" ht="16" thickBot="1"/>
    <row r="234" spans="1:10">
      <c r="A234" s="125"/>
      <c r="B234" s="125" t="s">
        <v>159</v>
      </c>
      <c r="C234" s="125" t="s">
        <v>147</v>
      </c>
      <c r="D234" s="125" t="s">
        <v>160</v>
      </c>
      <c r="E234" s="125" t="s">
        <v>161</v>
      </c>
      <c r="F234" s="125" t="s">
        <v>162</v>
      </c>
      <c r="G234" s="125" t="s">
        <v>163</v>
      </c>
      <c r="H234" s="125" t="s">
        <v>164</v>
      </c>
      <c r="I234" s="125" t="s">
        <v>165</v>
      </c>
    </row>
    <row r="235" spans="1:10">
      <c r="A235" s="123" t="s">
        <v>153</v>
      </c>
      <c r="B235" s="123">
        <v>6.859118919888711E-4</v>
      </c>
      <c r="C235" s="123">
        <v>1.1964208525886543E-3</v>
      </c>
      <c r="D235" s="123">
        <v>0.57330319051593537</v>
      </c>
      <c r="E235" s="123">
        <v>0.56696526262779856</v>
      </c>
      <c r="F235" s="123">
        <v>-1.6706709877665209E-3</v>
      </c>
      <c r="G235" s="123">
        <v>3.0424947717442633E-3</v>
      </c>
      <c r="H235" s="123">
        <v>-1.6706709877665209E-3</v>
      </c>
      <c r="I235" s="123">
        <v>3.0424947717442633E-3</v>
      </c>
    </row>
    <row r="236" spans="1:10" ht="16" thickBot="1">
      <c r="A236" s="124" t="s">
        <v>166</v>
      </c>
      <c r="B236" s="157">
        <v>0.79165651819562977</v>
      </c>
      <c r="C236" s="124">
        <v>5.0236951379008563E-2</v>
      </c>
      <c r="D236" s="124">
        <v>15.758450631747975</v>
      </c>
      <c r="E236" s="124">
        <v>4.1484141160140097E-39</v>
      </c>
      <c r="F236" s="124">
        <v>0.69270510047775513</v>
      </c>
      <c r="G236" s="124">
        <v>0.8906079359135044</v>
      </c>
      <c r="H236" s="124">
        <v>0.69270510047775513</v>
      </c>
      <c r="I236" s="124">
        <v>0.8906079359135044</v>
      </c>
    </row>
    <row r="238" spans="1:10">
      <c r="A238" s="390" t="s">
        <v>215</v>
      </c>
      <c r="B238" s="390"/>
      <c r="C238" s="390"/>
      <c r="D238" s="390"/>
      <c r="E238" s="390"/>
      <c r="F238" s="390"/>
      <c r="G238" s="390"/>
      <c r="H238" s="390"/>
      <c r="I238" s="390"/>
      <c r="J238" s="390"/>
    </row>
    <row r="239" spans="1:10">
      <c r="A239" s="390"/>
      <c r="B239" s="390"/>
      <c r="C239" s="390"/>
      <c r="D239" s="390"/>
      <c r="E239" s="390"/>
      <c r="F239" s="390"/>
      <c r="G239" s="390"/>
      <c r="H239" s="390"/>
      <c r="I239" s="390"/>
      <c r="J239" s="390"/>
    </row>
    <row r="240" spans="1:10">
      <c r="A240" t="s">
        <v>142</v>
      </c>
    </row>
    <row r="241" spans="1:9" ht="16" thickBot="1"/>
    <row r="242" spans="1:9">
      <c r="A242" s="156" t="s">
        <v>143</v>
      </c>
      <c r="B242" s="156"/>
    </row>
    <row r="243" spans="1:9">
      <c r="A243" s="123" t="s">
        <v>144</v>
      </c>
      <c r="B243" s="123">
        <v>0.73744639983338378</v>
      </c>
    </row>
    <row r="244" spans="1:9">
      <c r="A244" s="123" t="s">
        <v>145</v>
      </c>
      <c r="B244" s="123">
        <v>0.5438271926272189</v>
      </c>
    </row>
    <row r="245" spans="1:9">
      <c r="A245" s="123" t="s">
        <v>146</v>
      </c>
      <c r="B245" s="123">
        <v>0.54196526280120749</v>
      </c>
    </row>
    <row r="246" spans="1:9">
      <c r="A246" s="123" t="s">
        <v>147</v>
      </c>
      <c r="B246" s="123">
        <v>1.9794804104155683E-2</v>
      </c>
    </row>
    <row r="247" spans="1:9" ht="16" thickBot="1">
      <c r="A247" s="124" t="s">
        <v>148</v>
      </c>
      <c r="B247" s="124">
        <v>247</v>
      </c>
    </row>
    <row r="249" spans="1:9" ht="16" thickBot="1">
      <c r="A249" t="s">
        <v>149</v>
      </c>
    </row>
    <row r="250" spans="1:9">
      <c r="A250" s="125"/>
      <c r="B250" s="125" t="s">
        <v>154</v>
      </c>
      <c r="C250" s="125" t="s">
        <v>155</v>
      </c>
      <c r="D250" s="125" t="s">
        <v>156</v>
      </c>
      <c r="E250" s="125" t="s">
        <v>157</v>
      </c>
      <c r="F250" s="125" t="s">
        <v>158</v>
      </c>
    </row>
    <row r="251" spans="1:9">
      <c r="A251" s="123" t="s">
        <v>150</v>
      </c>
      <c r="B251" s="123">
        <v>1</v>
      </c>
      <c r="C251" s="123">
        <v>0.11444584419473823</v>
      </c>
      <c r="D251" s="123">
        <v>0.11444584419473823</v>
      </c>
      <c r="E251" s="123">
        <v>292.07716909085235</v>
      </c>
      <c r="F251" s="123">
        <v>1.2052340758622581E-43</v>
      </c>
    </row>
    <row r="252" spans="1:9">
      <c r="A252" s="123" t="s">
        <v>151</v>
      </c>
      <c r="B252" s="123">
        <v>245</v>
      </c>
      <c r="C252" s="123">
        <v>9.5999396032865184E-2</v>
      </c>
      <c r="D252" s="123">
        <v>3.918342695218987E-4</v>
      </c>
      <c r="E252" s="123"/>
      <c r="F252" s="123"/>
    </row>
    <row r="253" spans="1:9" ht="16" thickBot="1">
      <c r="A253" s="124" t="s">
        <v>152</v>
      </c>
      <c r="B253" s="124">
        <v>246</v>
      </c>
      <c r="C253" s="124">
        <v>0.21044524022760341</v>
      </c>
      <c r="D253" s="124"/>
      <c r="E253" s="124"/>
      <c r="F253" s="124"/>
    </row>
    <row r="254" spans="1:9" ht="16" thickBot="1"/>
    <row r="255" spans="1:9">
      <c r="A255" s="125"/>
      <c r="B255" s="125" t="s">
        <v>159</v>
      </c>
      <c r="C255" s="125" t="s">
        <v>147</v>
      </c>
      <c r="D255" s="125" t="s">
        <v>160</v>
      </c>
      <c r="E255" s="125" t="s">
        <v>161</v>
      </c>
      <c r="F255" s="125" t="s">
        <v>162</v>
      </c>
      <c r="G255" s="125" t="s">
        <v>163</v>
      </c>
      <c r="H255" s="125" t="s">
        <v>164</v>
      </c>
      <c r="I255" s="125" t="s">
        <v>165</v>
      </c>
    </row>
    <row r="256" spans="1:9">
      <c r="A256" s="123" t="s">
        <v>153</v>
      </c>
      <c r="B256" s="123">
        <v>2.2397312773681458E-3</v>
      </c>
      <c r="C256" s="123">
        <v>1.2607362356432282E-3</v>
      </c>
      <c r="D256" s="123">
        <v>1.776526456563243</v>
      </c>
      <c r="E256" s="123">
        <v>7.6887085801488661E-2</v>
      </c>
      <c r="F256" s="123">
        <v>-2.435332213872694E-4</v>
      </c>
      <c r="G256" s="123">
        <v>4.722995776123561E-3</v>
      </c>
      <c r="H256" s="123">
        <v>-2.435332213872694E-4</v>
      </c>
      <c r="I256" s="123">
        <v>4.722995776123561E-3</v>
      </c>
    </row>
    <row r="257" spans="1:10" ht="16" thickBot="1">
      <c r="A257" s="124" t="s">
        <v>166</v>
      </c>
      <c r="B257" s="157">
        <v>0.90471615077725431</v>
      </c>
      <c r="C257" s="124">
        <v>5.293751344664898E-2</v>
      </c>
      <c r="D257" s="124">
        <v>17.090265331201046</v>
      </c>
      <c r="E257" s="124">
        <v>1.2052340758622234E-43</v>
      </c>
      <c r="F257" s="124">
        <v>0.80044545237269793</v>
      </c>
      <c r="G257" s="124">
        <v>1.0089868491818108</v>
      </c>
      <c r="H257" s="124">
        <v>0.80044545237269793</v>
      </c>
      <c r="I257" s="124">
        <v>1.0089868491818108</v>
      </c>
    </row>
    <row r="259" spans="1:10">
      <c r="A259" s="390" t="s">
        <v>268</v>
      </c>
      <c r="B259" s="390"/>
      <c r="C259" s="390"/>
      <c r="D259" s="390"/>
      <c r="E259" s="390"/>
      <c r="F259" s="390"/>
      <c r="G259" s="390"/>
      <c r="H259" s="390"/>
      <c r="I259" s="390"/>
      <c r="J259" s="390"/>
    </row>
    <row r="260" spans="1:10">
      <c r="A260" s="390"/>
      <c r="B260" s="390"/>
      <c r="C260" s="390"/>
      <c r="D260" s="390"/>
      <c r="E260" s="390"/>
      <c r="F260" s="390"/>
      <c r="G260" s="390"/>
      <c r="H260" s="390"/>
      <c r="I260" s="390"/>
      <c r="J260" s="390"/>
    </row>
    <row r="261" spans="1:10">
      <c r="A261" t="s">
        <v>142</v>
      </c>
    </row>
    <row r="262" spans="1:10" ht="16" thickBot="1"/>
    <row r="263" spans="1:10">
      <c r="A263" s="156" t="s">
        <v>143</v>
      </c>
      <c r="B263" s="156"/>
    </row>
    <row r="264" spans="1:10">
      <c r="A264" s="123" t="s">
        <v>144</v>
      </c>
      <c r="B264" s="123">
        <v>0.6207090022938343</v>
      </c>
    </row>
    <row r="265" spans="1:10">
      <c r="A265" s="123" t="s">
        <v>145</v>
      </c>
      <c r="B265" s="123">
        <v>0.38527966552860721</v>
      </c>
    </row>
    <row r="266" spans="1:10">
      <c r="A266" s="123" t="s">
        <v>146</v>
      </c>
      <c r="B266" s="123">
        <v>0.38277060293892806</v>
      </c>
    </row>
    <row r="267" spans="1:10">
      <c r="A267" s="123" t="s">
        <v>147</v>
      </c>
      <c r="B267" s="123">
        <v>1.5493591930926438E-2</v>
      </c>
    </row>
    <row r="268" spans="1:10" ht="16" thickBot="1">
      <c r="A268" s="124" t="s">
        <v>148</v>
      </c>
      <c r="B268" s="124">
        <v>247</v>
      </c>
    </row>
    <row r="270" spans="1:10" ht="16" thickBot="1">
      <c r="A270" t="s">
        <v>149</v>
      </c>
    </row>
    <row r="271" spans="1:10">
      <c r="A271" s="125"/>
      <c r="B271" s="125" t="s">
        <v>154</v>
      </c>
      <c r="C271" s="125" t="s">
        <v>155</v>
      </c>
      <c r="D271" s="125" t="s">
        <v>156</v>
      </c>
      <c r="E271" s="125" t="s">
        <v>157</v>
      </c>
      <c r="F271" s="125" t="s">
        <v>158</v>
      </c>
    </row>
    <row r="272" spans="1:10">
      <c r="A272" s="123" t="s">
        <v>150</v>
      </c>
      <c r="B272" s="123">
        <v>1</v>
      </c>
      <c r="C272" s="123">
        <v>3.6861144869231165E-2</v>
      </c>
      <c r="D272" s="123">
        <v>3.6861144869231165E-2</v>
      </c>
      <c r="E272" s="123">
        <v>153.55522301971541</v>
      </c>
      <c r="F272" s="123">
        <v>1.0574685648168211E-27</v>
      </c>
    </row>
    <row r="273" spans="1:10">
      <c r="A273" s="123" t="s">
        <v>151</v>
      </c>
      <c r="B273" s="123">
        <v>245</v>
      </c>
      <c r="C273" s="123">
        <v>5.8812590775906858E-2</v>
      </c>
      <c r="D273" s="123">
        <v>2.400513909220688E-4</v>
      </c>
      <c r="E273" s="123"/>
      <c r="F273" s="123"/>
    </row>
    <row r="274" spans="1:10" ht="16" thickBot="1">
      <c r="A274" s="124" t="s">
        <v>152</v>
      </c>
      <c r="B274" s="124">
        <v>246</v>
      </c>
      <c r="C274" s="124">
        <v>9.5673735645138022E-2</v>
      </c>
      <c r="D274" s="124"/>
      <c r="E274" s="124"/>
      <c r="F274" s="124"/>
    </row>
    <row r="275" spans="1:10" ht="16" thickBot="1"/>
    <row r="276" spans="1:10">
      <c r="A276" s="125"/>
      <c r="B276" s="125" t="s">
        <v>159</v>
      </c>
      <c r="C276" s="125" t="s">
        <v>147</v>
      </c>
      <c r="D276" s="125" t="s">
        <v>160</v>
      </c>
      <c r="E276" s="125" t="s">
        <v>161</v>
      </c>
      <c r="F276" s="125" t="s">
        <v>162</v>
      </c>
      <c r="G276" s="125" t="s">
        <v>163</v>
      </c>
      <c r="H276" s="125" t="s">
        <v>164</v>
      </c>
      <c r="I276" s="125" t="s">
        <v>165</v>
      </c>
    </row>
    <row r="277" spans="1:10">
      <c r="A277" s="123" t="s">
        <v>153</v>
      </c>
      <c r="B277" s="123">
        <v>-2.3588485718642048E-4</v>
      </c>
      <c r="C277" s="123">
        <v>9.8679091062526332E-4</v>
      </c>
      <c r="D277" s="123">
        <v>-0.23904238947332423</v>
      </c>
      <c r="E277" s="123">
        <v>0.81127255293104361</v>
      </c>
      <c r="F277" s="123">
        <v>-2.179560914692626E-3</v>
      </c>
      <c r="G277" s="123">
        <v>1.7077912003197852E-3</v>
      </c>
      <c r="H277" s="123">
        <v>-2.179560914692626E-3</v>
      </c>
      <c r="I277" s="123">
        <v>1.7077912003197852E-3</v>
      </c>
    </row>
    <row r="278" spans="1:10" ht="16" thickBot="1">
      <c r="A278" s="124" t="s">
        <v>166</v>
      </c>
      <c r="B278" s="157">
        <v>0.51344832299076448</v>
      </c>
      <c r="C278" s="124">
        <v>4.1434723317525568E-2</v>
      </c>
      <c r="D278" s="124">
        <v>12.391740112660344</v>
      </c>
      <c r="E278" s="124">
        <v>1.0574685648168211E-27</v>
      </c>
      <c r="F278" s="124">
        <v>0.43183460037283067</v>
      </c>
      <c r="G278" s="124">
        <v>0.59506204560869824</v>
      </c>
      <c r="H278" s="124">
        <v>0.43183460037283067</v>
      </c>
      <c r="I278" s="124">
        <v>0.59506204560869824</v>
      </c>
    </row>
    <row r="280" spans="1:10">
      <c r="A280" s="390" t="s">
        <v>217</v>
      </c>
      <c r="B280" s="390"/>
      <c r="C280" s="390"/>
      <c r="D280" s="390"/>
      <c r="E280" s="390"/>
      <c r="F280" s="390"/>
      <c r="G280" s="390"/>
      <c r="H280" s="390"/>
      <c r="I280" s="390"/>
      <c r="J280" s="390"/>
    </row>
    <row r="281" spans="1:10">
      <c r="A281" s="390"/>
      <c r="B281" s="390"/>
      <c r="C281" s="390"/>
      <c r="D281" s="390"/>
      <c r="E281" s="390"/>
      <c r="F281" s="390"/>
      <c r="G281" s="390"/>
      <c r="H281" s="390"/>
      <c r="I281" s="390"/>
      <c r="J281" s="390"/>
    </row>
    <row r="283" spans="1:10">
      <c r="A283" t="s">
        <v>142</v>
      </c>
    </row>
    <row r="284" spans="1:10" ht="16" thickBot="1"/>
    <row r="285" spans="1:10">
      <c r="A285" s="156" t="s">
        <v>143</v>
      </c>
      <c r="B285" s="156"/>
    </row>
    <row r="286" spans="1:10">
      <c r="A286" s="123" t="s">
        <v>144</v>
      </c>
      <c r="B286" s="123">
        <v>0.63874587286887641</v>
      </c>
    </row>
    <row r="287" spans="1:10">
      <c r="A287" s="123" t="s">
        <v>145</v>
      </c>
      <c r="B287" s="123">
        <v>0.40799629010702282</v>
      </c>
    </row>
    <row r="288" spans="1:10">
      <c r="A288" s="123" t="s">
        <v>146</v>
      </c>
      <c r="B288" s="123">
        <v>0.40557994843399026</v>
      </c>
    </row>
    <row r="289" spans="1:10">
      <c r="A289" s="123" t="s">
        <v>147</v>
      </c>
      <c r="B289" s="123">
        <v>2.5000538713918222E-2</v>
      </c>
    </row>
    <row r="290" spans="1:10" ht="16" thickBot="1">
      <c r="A290" s="124" t="s">
        <v>148</v>
      </c>
      <c r="B290" s="124">
        <v>247</v>
      </c>
    </row>
    <row r="292" spans="1:10" ht="16" thickBot="1">
      <c r="A292" t="s">
        <v>149</v>
      </c>
    </row>
    <row r="293" spans="1:10">
      <c r="A293" s="125"/>
      <c r="B293" s="125" t="s">
        <v>154</v>
      </c>
      <c r="C293" s="125" t="s">
        <v>155</v>
      </c>
      <c r="D293" s="125" t="s">
        <v>156</v>
      </c>
      <c r="E293" s="125" t="s">
        <v>157</v>
      </c>
      <c r="F293" s="125" t="s">
        <v>158</v>
      </c>
    </row>
    <row r="294" spans="1:10">
      <c r="A294" s="123" t="s">
        <v>150</v>
      </c>
      <c r="B294" s="123">
        <v>1</v>
      </c>
      <c r="C294" s="123">
        <v>0.10553502178326332</v>
      </c>
      <c r="D294" s="123">
        <v>0.10553502178326332</v>
      </c>
      <c r="E294" s="123">
        <v>168.84875788074245</v>
      </c>
      <c r="F294" s="123">
        <v>1.0205000989874826E-29</v>
      </c>
    </row>
    <row r="295" spans="1:10">
      <c r="A295" s="123" t="s">
        <v>151</v>
      </c>
      <c r="B295" s="123">
        <v>245</v>
      </c>
      <c r="C295" s="123">
        <v>0.15313159931660034</v>
      </c>
      <c r="D295" s="123">
        <v>6.2502693598612377E-4</v>
      </c>
      <c r="E295" s="123"/>
      <c r="F295" s="123"/>
    </row>
    <row r="296" spans="1:10" ht="16" thickBot="1">
      <c r="A296" s="124" t="s">
        <v>152</v>
      </c>
      <c r="B296" s="124">
        <v>246</v>
      </c>
      <c r="C296" s="124">
        <v>0.25866662109986366</v>
      </c>
      <c r="D296" s="124"/>
      <c r="E296" s="124"/>
      <c r="F296" s="124"/>
    </row>
    <row r="297" spans="1:10" ht="16" thickBot="1"/>
    <row r="298" spans="1:10">
      <c r="A298" s="125"/>
      <c r="B298" s="125" t="s">
        <v>159</v>
      </c>
      <c r="C298" s="125" t="s">
        <v>147</v>
      </c>
      <c r="D298" s="125" t="s">
        <v>160</v>
      </c>
      <c r="E298" s="125" t="s">
        <v>161</v>
      </c>
      <c r="F298" s="125" t="s">
        <v>162</v>
      </c>
      <c r="G298" s="125" t="s">
        <v>163</v>
      </c>
      <c r="H298" s="125" t="s">
        <v>164</v>
      </c>
      <c r="I298" s="125" t="s">
        <v>165</v>
      </c>
    </row>
    <row r="299" spans="1:10">
      <c r="A299" s="123" t="s">
        <v>153</v>
      </c>
      <c r="B299" s="123">
        <v>-2.7093726062675473E-4</v>
      </c>
      <c r="C299" s="123">
        <v>1.5922908305326948E-3</v>
      </c>
      <c r="D299" s="123">
        <v>-0.17015563704283451</v>
      </c>
      <c r="E299" s="123">
        <v>0.86502816342389077</v>
      </c>
      <c r="F299" s="123">
        <v>-3.4072628292642288E-3</v>
      </c>
      <c r="G299" s="123">
        <v>2.8653883080107193E-3</v>
      </c>
      <c r="H299" s="123">
        <v>-3.4072628292642288E-3</v>
      </c>
      <c r="I299" s="123">
        <v>2.8653883080107193E-3</v>
      </c>
    </row>
    <row r="300" spans="1:10" ht="16" thickBot="1">
      <c r="A300" s="124" t="s">
        <v>166</v>
      </c>
      <c r="B300" s="157">
        <v>0.8687816349638533</v>
      </c>
      <c r="C300" s="124">
        <v>6.6859280212006142E-2</v>
      </c>
      <c r="D300" s="124">
        <v>12.994181693386572</v>
      </c>
      <c r="E300" s="124">
        <v>1.0205000989874097E-29</v>
      </c>
      <c r="F300" s="124">
        <v>0.73708931719834769</v>
      </c>
      <c r="G300" s="124">
        <v>1.0004739527293589</v>
      </c>
      <c r="H300" s="124">
        <v>0.73708931719834769</v>
      </c>
      <c r="I300" s="124">
        <v>1.0004739527293589</v>
      </c>
    </row>
    <row r="302" spans="1:10">
      <c r="A302" s="390" t="s">
        <v>269</v>
      </c>
      <c r="B302" s="390"/>
      <c r="C302" s="390"/>
      <c r="D302" s="390"/>
      <c r="E302" s="390"/>
      <c r="F302" s="390"/>
      <c r="G302" s="390"/>
      <c r="H302" s="390"/>
      <c r="I302" s="390"/>
      <c r="J302" s="390"/>
    </row>
    <row r="303" spans="1:10">
      <c r="A303" s="390"/>
      <c r="B303" s="390"/>
      <c r="C303" s="390"/>
      <c r="D303" s="390"/>
      <c r="E303" s="390"/>
      <c r="F303" s="390"/>
      <c r="G303" s="390"/>
      <c r="H303" s="390"/>
      <c r="I303" s="390"/>
      <c r="J303" s="390"/>
    </row>
    <row r="305" spans="1:9">
      <c r="A305" t="s">
        <v>142</v>
      </c>
    </row>
    <row r="306" spans="1:9" ht="16" thickBot="1"/>
    <row r="307" spans="1:9">
      <c r="A307" s="156" t="s">
        <v>143</v>
      </c>
      <c r="B307" s="156"/>
    </row>
    <row r="308" spans="1:9">
      <c r="A308" s="123" t="s">
        <v>144</v>
      </c>
      <c r="B308" s="123">
        <v>0.40254249697736694</v>
      </c>
    </row>
    <row r="309" spans="1:9">
      <c r="A309" s="123" t="s">
        <v>145</v>
      </c>
      <c r="B309" s="123">
        <v>0.16204046187277346</v>
      </c>
    </row>
    <row r="310" spans="1:9">
      <c r="A310" s="123" t="s">
        <v>146</v>
      </c>
      <c r="B310" s="123">
        <v>0.15862021886000927</v>
      </c>
    </row>
    <row r="311" spans="1:9">
      <c r="A311" s="123" t="s">
        <v>147</v>
      </c>
      <c r="B311" s="123">
        <v>1.2921926375355582E-2</v>
      </c>
    </row>
    <row r="312" spans="1:9" ht="16" thickBot="1">
      <c r="A312" s="124" t="s">
        <v>148</v>
      </c>
      <c r="B312" s="124">
        <v>247</v>
      </c>
    </row>
    <row r="314" spans="1:9" ht="16" thickBot="1">
      <c r="A314" t="s">
        <v>149</v>
      </c>
    </row>
    <row r="315" spans="1:9">
      <c r="A315" s="125"/>
      <c r="B315" s="125" t="s">
        <v>154</v>
      </c>
      <c r="C315" s="125" t="s">
        <v>155</v>
      </c>
      <c r="D315" s="125" t="s">
        <v>156</v>
      </c>
      <c r="E315" s="125" t="s">
        <v>157</v>
      </c>
      <c r="F315" s="125" t="s">
        <v>158</v>
      </c>
    </row>
    <row r="316" spans="1:9">
      <c r="A316" s="123" t="s">
        <v>150</v>
      </c>
      <c r="B316" s="123">
        <v>1</v>
      </c>
      <c r="C316" s="123">
        <v>7.9108114337328381E-3</v>
      </c>
      <c r="D316" s="123">
        <v>7.9108114337328381E-3</v>
      </c>
      <c r="E316" s="123">
        <v>47.37688558036546</v>
      </c>
      <c r="F316" s="123">
        <v>4.8782317955423707E-11</v>
      </c>
    </row>
    <row r="317" spans="1:9">
      <c r="A317" s="123" t="s">
        <v>151</v>
      </c>
      <c r="B317" s="123">
        <v>245</v>
      </c>
      <c r="C317" s="123">
        <v>4.0909164406277017E-2</v>
      </c>
      <c r="D317" s="123">
        <v>1.6697618125011027E-4</v>
      </c>
      <c r="E317" s="123"/>
      <c r="F317" s="123"/>
    </row>
    <row r="318" spans="1:9" ht="16" thickBot="1">
      <c r="A318" s="124" t="s">
        <v>152</v>
      </c>
      <c r="B318" s="124">
        <v>246</v>
      </c>
      <c r="C318" s="124">
        <v>4.8819975840009855E-2</v>
      </c>
      <c r="D318" s="124"/>
      <c r="E318" s="124"/>
      <c r="F318" s="124"/>
    </row>
    <row r="319" spans="1:9" ht="16" thickBot="1"/>
    <row r="320" spans="1:9">
      <c r="A320" s="125"/>
      <c r="B320" s="125" t="s">
        <v>159</v>
      </c>
      <c r="C320" s="125" t="s">
        <v>147</v>
      </c>
      <c r="D320" s="125" t="s">
        <v>160</v>
      </c>
      <c r="E320" s="125" t="s">
        <v>161</v>
      </c>
      <c r="F320" s="125" t="s">
        <v>162</v>
      </c>
      <c r="G320" s="125" t="s">
        <v>163</v>
      </c>
      <c r="H320" s="125" t="s">
        <v>164</v>
      </c>
      <c r="I320" s="125" t="s">
        <v>165</v>
      </c>
    </row>
    <row r="321" spans="1:9">
      <c r="A321" s="123" t="s">
        <v>153</v>
      </c>
      <c r="B321" s="123">
        <v>-1.3236720134553024E-4</v>
      </c>
      <c r="C321" s="123">
        <v>8.2300086073115568E-4</v>
      </c>
      <c r="D321" s="123">
        <v>-0.16083482735113416</v>
      </c>
      <c r="E321" s="123">
        <v>0.8723560324017543</v>
      </c>
      <c r="F321" s="123">
        <v>-1.7534269933297889E-3</v>
      </c>
      <c r="G321" s="123">
        <v>1.4886925906387283E-3</v>
      </c>
      <c r="H321" s="123">
        <v>-1.7534269933297889E-3</v>
      </c>
      <c r="I321" s="123">
        <v>1.4886925906387283E-3</v>
      </c>
    </row>
    <row r="322" spans="1:9" ht="16" thickBot="1">
      <c r="A322" s="124" t="s">
        <v>166</v>
      </c>
      <c r="B322" s="157">
        <v>0.23786078404301478</v>
      </c>
      <c r="C322" s="124">
        <v>3.4557283196775111E-2</v>
      </c>
      <c r="D322" s="124">
        <v>6.8830869223310929</v>
      </c>
      <c r="E322" s="124">
        <v>4.8782317955427061E-11</v>
      </c>
      <c r="F322" s="124">
        <v>0.1697935134198254</v>
      </c>
      <c r="G322" s="124">
        <v>0.30592805466620415</v>
      </c>
      <c r="H322" s="124">
        <v>0.1697935134198254</v>
      </c>
      <c r="I322" s="124">
        <v>0.30592805466620415</v>
      </c>
    </row>
  </sheetData>
  <mergeCells count="14">
    <mergeCell ref="A2:J3"/>
    <mergeCell ref="A24:J25"/>
    <mergeCell ref="A46:J47"/>
    <mergeCell ref="A68:J69"/>
    <mergeCell ref="A90:J91"/>
    <mergeCell ref="A238:J239"/>
    <mergeCell ref="A259:J260"/>
    <mergeCell ref="A280:J281"/>
    <mergeCell ref="A302:J303"/>
    <mergeCell ref="A112:J113"/>
    <mergeCell ref="A133:J134"/>
    <mergeCell ref="A154:J155"/>
    <mergeCell ref="A196:J197"/>
    <mergeCell ref="A217:J21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98927-D028-47C3-99F2-B7D69DD2AEBE}">
  <sheetPr>
    <tabColor theme="5" tint="0.59999389629810485"/>
  </sheetPr>
  <dimension ref="A1:Y62"/>
  <sheetViews>
    <sheetView workbookViewId="0">
      <selection activeCell="J4" sqref="J4"/>
    </sheetView>
  </sheetViews>
  <sheetFormatPr baseColWidth="10" defaultColWidth="8.83203125" defaultRowHeight="15"/>
  <cols>
    <col min="2" max="2" width="11.33203125" bestFit="1" customWidth="1"/>
    <col min="3" max="3" width="16.5" bestFit="1" customWidth="1"/>
    <col min="9" max="9" width="10.5" bestFit="1" customWidth="1"/>
    <col min="10" max="11" width="14.33203125" customWidth="1"/>
    <col min="12" max="12" width="14.83203125" customWidth="1"/>
    <col min="13" max="13" width="11.33203125" bestFit="1" customWidth="1"/>
    <col min="14" max="14" width="14.83203125" bestFit="1" customWidth="1"/>
    <col min="15" max="15" width="13.83203125" bestFit="1" customWidth="1"/>
    <col min="16" max="16" width="12.83203125" bestFit="1" customWidth="1"/>
    <col min="18" max="19" width="11.33203125" bestFit="1" customWidth="1"/>
    <col min="20" max="20" width="10.33203125" bestFit="1" customWidth="1"/>
    <col min="21" max="24" width="11.33203125" bestFit="1" customWidth="1"/>
  </cols>
  <sheetData>
    <row r="1" spans="1:25" ht="16">
      <c r="A1" s="391" t="s">
        <v>131</v>
      </c>
      <c r="B1" s="391"/>
      <c r="C1" s="391"/>
      <c r="D1" s="391"/>
      <c r="E1" s="391"/>
    </row>
    <row r="2" spans="1:25" ht="33">
      <c r="A2" s="103" t="s">
        <v>132</v>
      </c>
      <c r="B2" s="104" t="s">
        <v>133</v>
      </c>
      <c r="C2" s="104" t="s">
        <v>134</v>
      </c>
      <c r="D2" s="105" t="s">
        <v>135</v>
      </c>
      <c r="E2" s="105" t="s">
        <v>128</v>
      </c>
      <c r="J2" s="392" t="s">
        <v>136</v>
      </c>
      <c r="K2" s="392"/>
      <c r="L2" s="392"/>
      <c r="M2" s="392"/>
      <c r="N2" s="392"/>
      <c r="O2" s="392"/>
      <c r="P2" s="392"/>
      <c r="Q2" s="392"/>
      <c r="R2" s="392"/>
      <c r="S2" s="392"/>
      <c r="T2" s="392"/>
      <c r="U2" s="392"/>
      <c r="V2" s="392"/>
      <c r="W2" s="392"/>
      <c r="X2" s="392"/>
      <c r="Y2" s="392"/>
    </row>
    <row r="3" spans="1:25">
      <c r="A3" s="97" t="s">
        <v>6</v>
      </c>
      <c r="B3" s="95">
        <f>AVERAGE(J4:J62)</f>
        <v>55474.813559322036</v>
      </c>
      <c r="C3" s="77">
        <f>369930157</f>
        <v>369930157</v>
      </c>
      <c r="D3" s="96">
        <f>B3/C3</f>
        <v>1.4996023576234699E-4</v>
      </c>
      <c r="E3" s="73">
        <f>IF(D3&gt;=0.2%,1,0)</f>
        <v>0</v>
      </c>
      <c r="J3" s="101" t="s">
        <v>6</v>
      </c>
      <c r="K3" s="101" t="s">
        <v>47</v>
      </c>
      <c r="L3" s="101" t="s">
        <v>43</v>
      </c>
      <c r="M3" s="101" t="s">
        <v>12</v>
      </c>
      <c r="N3" s="101" t="s">
        <v>8</v>
      </c>
      <c r="O3" s="101" t="s">
        <v>14</v>
      </c>
      <c r="P3" s="101" t="s">
        <v>111</v>
      </c>
      <c r="Q3" s="101" t="s">
        <v>49</v>
      </c>
      <c r="R3" s="101" t="s">
        <v>37</v>
      </c>
      <c r="S3" s="101" t="s">
        <v>26</v>
      </c>
      <c r="T3" s="102" t="s">
        <v>45</v>
      </c>
      <c r="U3" s="102" t="s">
        <v>65</v>
      </c>
      <c r="V3" s="101" t="s">
        <v>85</v>
      </c>
      <c r="W3" s="102" t="s">
        <v>55</v>
      </c>
      <c r="X3" s="102" t="s">
        <v>71</v>
      </c>
    </row>
    <row r="4" spans="1:25">
      <c r="A4" s="97" t="s">
        <v>47</v>
      </c>
      <c r="B4" s="95">
        <f>AVERAGE(K4:K62)</f>
        <v>952539.72881355928</v>
      </c>
      <c r="C4" s="77">
        <v>470174576</v>
      </c>
      <c r="D4" s="96">
        <f t="shared" ref="D4:D17" si="0">B4/C4</f>
        <v>2.0259277669100492E-3</v>
      </c>
      <c r="E4" s="163">
        <f t="shared" ref="E4:E17" si="1">IF(D4&gt;=0.2%,1,0)</f>
        <v>1</v>
      </c>
      <c r="I4" s="100">
        <v>43832</v>
      </c>
      <c r="J4" s="94">
        <v>25445</v>
      </c>
      <c r="K4" s="94">
        <v>431463</v>
      </c>
      <c r="L4" s="94">
        <v>167126</v>
      </c>
      <c r="M4" s="94">
        <v>43692</v>
      </c>
      <c r="N4" s="94">
        <v>4685741</v>
      </c>
      <c r="O4" s="94">
        <v>274702</v>
      </c>
      <c r="P4" s="94">
        <v>27175</v>
      </c>
      <c r="Q4" s="94">
        <v>80667</v>
      </c>
      <c r="R4" s="94">
        <v>47704</v>
      </c>
      <c r="S4" s="94">
        <v>39356</v>
      </c>
      <c r="T4" s="94">
        <v>10733</v>
      </c>
      <c r="U4" s="94">
        <v>14726</v>
      </c>
      <c r="V4" s="94">
        <v>465</v>
      </c>
      <c r="W4" s="94">
        <v>96705</v>
      </c>
      <c r="X4" s="94">
        <v>0</v>
      </c>
    </row>
    <row r="5" spans="1:25">
      <c r="A5" s="97" t="s">
        <v>43</v>
      </c>
      <c r="B5" s="95">
        <f>AVERAGE(L4:L62)</f>
        <v>930311.62711864407</v>
      </c>
      <c r="C5" s="77">
        <v>334707816</v>
      </c>
      <c r="D5" s="96">
        <f t="shared" si="0"/>
        <v>2.7794738654045776E-3</v>
      </c>
      <c r="E5" s="163">
        <f t="shared" si="1"/>
        <v>1</v>
      </c>
      <c r="I5" s="100">
        <v>43833</v>
      </c>
      <c r="J5" s="94">
        <v>27157</v>
      </c>
      <c r="K5" s="94">
        <v>443134</v>
      </c>
      <c r="L5" s="94">
        <v>369566</v>
      </c>
      <c r="M5" s="94">
        <v>65240</v>
      </c>
      <c r="N5" s="94">
        <v>7200169</v>
      </c>
      <c r="O5" s="94">
        <v>523926</v>
      </c>
      <c r="P5" s="94">
        <v>31832</v>
      </c>
      <c r="Q5" s="94">
        <v>58812</v>
      </c>
      <c r="R5" s="94">
        <v>44899</v>
      </c>
      <c r="S5" s="94">
        <v>35539</v>
      </c>
      <c r="T5" s="94">
        <v>8426</v>
      </c>
      <c r="U5" s="94">
        <v>21249</v>
      </c>
      <c r="V5" s="94">
        <v>1279</v>
      </c>
      <c r="W5" s="94">
        <v>62698</v>
      </c>
      <c r="X5" s="94">
        <v>233</v>
      </c>
    </row>
    <row r="6" spans="1:25">
      <c r="A6" s="97" t="s">
        <v>12</v>
      </c>
      <c r="B6" s="95">
        <f>AVERAGE(M4:M62)</f>
        <v>221022.49152542374</v>
      </c>
      <c r="C6" s="77">
        <v>136059759</v>
      </c>
      <c r="D6" s="96">
        <f t="shared" si="0"/>
        <v>1.6244515876690899E-3</v>
      </c>
      <c r="E6" s="163">
        <f t="shared" si="1"/>
        <v>0</v>
      </c>
      <c r="I6" s="100">
        <v>43837</v>
      </c>
      <c r="J6" s="94">
        <v>20490</v>
      </c>
      <c r="K6" s="94">
        <v>830719</v>
      </c>
      <c r="L6" s="94">
        <v>518591</v>
      </c>
      <c r="M6" s="94">
        <v>177004</v>
      </c>
      <c r="N6" s="94">
        <v>4819794</v>
      </c>
      <c r="O6" s="94">
        <v>679316</v>
      </c>
      <c r="P6" s="94">
        <v>25963</v>
      </c>
      <c r="Q6" s="94">
        <v>89989</v>
      </c>
      <c r="R6" s="94">
        <v>86986</v>
      </c>
      <c r="S6" s="94">
        <v>32140</v>
      </c>
      <c r="T6" s="94">
        <v>9445</v>
      </c>
      <c r="U6" s="94">
        <v>2542</v>
      </c>
      <c r="V6" s="94">
        <v>530</v>
      </c>
      <c r="W6" s="94">
        <v>77951</v>
      </c>
      <c r="X6" s="94">
        <v>584</v>
      </c>
    </row>
    <row r="7" spans="1:25">
      <c r="A7" s="97" t="s">
        <v>8</v>
      </c>
      <c r="B7" s="95">
        <f>AVERAGE(N4:N62)</f>
        <v>15138035.627118643</v>
      </c>
      <c r="C7" s="77">
        <v>3709161852</v>
      </c>
      <c r="D7" s="96">
        <f t="shared" si="0"/>
        <v>4.0812550735568826E-3</v>
      </c>
      <c r="E7" s="163">
        <f t="shared" si="1"/>
        <v>1</v>
      </c>
      <c r="I7" s="100">
        <v>43838</v>
      </c>
      <c r="J7" s="94">
        <v>26682</v>
      </c>
      <c r="K7" s="94">
        <v>372972</v>
      </c>
      <c r="L7" s="94">
        <v>714133</v>
      </c>
      <c r="M7" s="94">
        <v>107881</v>
      </c>
      <c r="N7" s="94">
        <v>119086157</v>
      </c>
      <c r="O7" s="94">
        <v>675502</v>
      </c>
      <c r="P7" s="94">
        <v>23980</v>
      </c>
      <c r="Q7" s="94">
        <v>132482</v>
      </c>
      <c r="R7" s="94">
        <v>35936</v>
      </c>
      <c r="S7" s="94">
        <v>14138</v>
      </c>
      <c r="T7" s="94">
        <v>12567</v>
      </c>
      <c r="U7" s="94">
        <v>12509</v>
      </c>
      <c r="V7" s="94">
        <v>423</v>
      </c>
      <c r="W7" s="94">
        <v>63451</v>
      </c>
      <c r="X7" s="94">
        <v>539</v>
      </c>
    </row>
    <row r="8" spans="1:25">
      <c r="A8" s="97" t="s">
        <v>14</v>
      </c>
      <c r="B8" s="95">
        <f>AVERAGE(O4:O62)</f>
        <v>329956.28813559323</v>
      </c>
      <c r="C8" s="77">
        <v>176736715</v>
      </c>
      <c r="D8" s="96">
        <f t="shared" ref="D8" si="2">B8/C8</f>
        <v>1.8669368621884435E-3</v>
      </c>
      <c r="E8" s="163">
        <f t="shared" si="1"/>
        <v>0</v>
      </c>
      <c r="I8" s="100">
        <v>43839</v>
      </c>
      <c r="J8" s="94">
        <v>28786</v>
      </c>
      <c r="K8" s="94">
        <v>476155</v>
      </c>
      <c r="L8" s="94">
        <v>1501306</v>
      </c>
      <c r="M8" s="94">
        <v>159237</v>
      </c>
      <c r="N8" s="94">
        <v>23350672</v>
      </c>
      <c r="O8" s="94">
        <v>628080</v>
      </c>
      <c r="P8" s="94">
        <v>27201</v>
      </c>
      <c r="Q8" s="94">
        <v>62054</v>
      </c>
      <c r="R8" s="94">
        <v>40966</v>
      </c>
      <c r="S8" s="94">
        <v>74258</v>
      </c>
      <c r="T8" s="94">
        <v>4516</v>
      </c>
      <c r="U8" s="94">
        <v>11753</v>
      </c>
      <c r="V8" s="94">
        <v>1337</v>
      </c>
      <c r="W8" s="94">
        <v>125140</v>
      </c>
      <c r="X8" s="94">
        <v>1515</v>
      </c>
    </row>
    <row r="9" spans="1:25">
      <c r="A9" s="97" t="s">
        <v>111</v>
      </c>
      <c r="B9" s="95">
        <f>AVERAGE(P4:P62)</f>
        <v>50774.305084745763</v>
      </c>
      <c r="C9" s="77">
        <v>82447868</v>
      </c>
      <c r="D9" s="96">
        <f t="shared" si="0"/>
        <v>6.1583527041288394E-4</v>
      </c>
      <c r="E9" s="163">
        <f t="shared" si="1"/>
        <v>0</v>
      </c>
      <c r="I9" s="100">
        <v>43840</v>
      </c>
      <c r="J9" s="94">
        <v>37537</v>
      </c>
      <c r="K9" s="94">
        <v>446989</v>
      </c>
      <c r="L9" s="94">
        <v>1045263</v>
      </c>
      <c r="M9" s="94">
        <v>162036</v>
      </c>
      <c r="N9" s="94">
        <v>6697381</v>
      </c>
      <c r="O9" s="94">
        <v>442663</v>
      </c>
      <c r="P9" s="94">
        <v>17831</v>
      </c>
      <c r="Q9" s="94">
        <v>36399</v>
      </c>
      <c r="R9" s="94">
        <v>100347</v>
      </c>
      <c r="S9" s="94">
        <v>41231</v>
      </c>
      <c r="T9" s="94">
        <v>3736</v>
      </c>
      <c r="U9" s="94">
        <v>4545</v>
      </c>
      <c r="V9" s="94">
        <v>445</v>
      </c>
      <c r="W9" s="94">
        <v>133817</v>
      </c>
      <c r="X9" s="94">
        <v>3540</v>
      </c>
    </row>
    <row r="10" spans="1:25">
      <c r="A10" s="97" t="s">
        <v>49</v>
      </c>
      <c r="B10" s="95">
        <f>AVERAGE(Q4:Q62)</f>
        <v>165366.05084745763</v>
      </c>
      <c r="C10" s="77">
        <v>113918936</v>
      </c>
      <c r="D10" s="96">
        <f t="shared" si="0"/>
        <v>1.4516116165925008E-3</v>
      </c>
      <c r="E10" s="163">
        <f t="shared" si="1"/>
        <v>0</v>
      </c>
      <c r="I10" s="100">
        <v>43843</v>
      </c>
      <c r="J10" s="94">
        <v>12522</v>
      </c>
      <c r="K10" s="94">
        <v>362830</v>
      </c>
      <c r="L10" s="94">
        <v>1207781</v>
      </c>
      <c r="M10" s="94">
        <v>62771</v>
      </c>
      <c r="N10" s="94">
        <v>3482216</v>
      </c>
      <c r="O10" s="94">
        <v>226281</v>
      </c>
      <c r="P10" s="94">
        <v>13571</v>
      </c>
      <c r="Q10" s="94">
        <v>56760</v>
      </c>
      <c r="R10" s="94">
        <v>49800</v>
      </c>
      <c r="S10" s="94">
        <v>40961</v>
      </c>
      <c r="T10" s="94">
        <v>5153</v>
      </c>
      <c r="U10" s="94">
        <v>12100</v>
      </c>
      <c r="V10" s="94">
        <v>492</v>
      </c>
      <c r="W10" s="94">
        <v>77185</v>
      </c>
      <c r="X10" s="94">
        <v>4246</v>
      </c>
    </row>
    <row r="11" spans="1:25">
      <c r="A11" s="97" t="s">
        <v>37</v>
      </c>
      <c r="B11" s="95">
        <f>AVERAGE(R4:R62)</f>
        <v>74971.389830508473</v>
      </c>
      <c r="C11" s="77">
        <v>106500000</v>
      </c>
      <c r="D11" s="96">
        <f t="shared" si="0"/>
        <v>7.0395671202355377E-4</v>
      </c>
      <c r="E11" s="163">
        <f t="shared" si="1"/>
        <v>0</v>
      </c>
      <c r="I11" s="100">
        <v>43844</v>
      </c>
      <c r="J11" s="94">
        <v>43622</v>
      </c>
      <c r="K11" s="94">
        <v>779080</v>
      </c>
      <c r="L11" s="94">
        <v>821674</v>
      </c>
      <c r="M11" s="94">
        <v>195628</v>
      </c>
      <c r="N11" s="94">
        <v>9725988</v>
      </c>
      <c r="O11" s="94">
        <v>609912</v>
      </c>
      <c r="P11" s="94">
        <v>29141</v>
      </c>
      <c r="Q11" s="94">
        <v>86354</v>
      </c>
      <c r="R11" s="94">
        <v>66220</v>
      </c>
      <c r="S11" s="94">
        <v>18463</v>
      </c>
      <c r="T11" s="94">
        <v>2488</v>
      </c>
      <c r="U11" s="94">
        <v>13439</v>
      </c>
      <c r="V11" s="94">
        <v>33</v>
      </c>
      <c r="W11" s="94">
        <v>208581</v>
      </c>
      <c r="X11" s="94">
        <v>500</v>
      </c>
    </row>
    <row r="12" spans="1:25">
      <c r="A12" s="97" t="s">
        <v>26</v>
      </c>
      <c r="B12" s="95">
        <f>AVERAGE(S4:S62)</f>
        <v>35628.4406779661</v>
      </c>
      <c r="C12" s="77">
        <v>69877484</v>
      </c>
      <c r="D12" s="96">
        <f t="shared" si="0"/>
        <v>5.0987011321080341E-4</v>
      </c>
      <c r="E12" s="163">
        <f t="shared" si="1"/>
        <v>0</v>
      </c>
      <c r="I12" s="100">
        <v>43845</v>
      </c>
      <c r="J12" s="94">
        <v>52315</v>
      </c>
      <c r="K12" s="94">
        <v>548250</v>
      </c>
      <c r="L12" s="94">
        <v>1199542</v>
      </c>
      <c r="M12" s="94">
        <v>85605</v>
      </c>
      <c r="N12" s="94">
        <v>14576134</v>
      </c>
      <c r="O12" s="94">
        <v>200858</v>
      </c>
      <c r="P12" s="94">
        <v>32299</v>
      </c>
      <c r="Q12" s="94">
        <v>91337</v>
      </c>
      <c r="R12" s="94">
        <v>111975</v>
      </c>
      <c r="S12" s="94">
        <v>25467</v>
      </c>
      <c r="T12" s="94">
        <v>3748</v>
      </c>
      <c r="U12" s="94">
        <v>13929</v>
      </c>
      <c r="V12" s="94">
        <v>1848</v>
      </c>
      <c r="W12" s="94">
        <v>202041</v>
      </c>
      <c r="X12" s="94">
        <v>9955</v>
      </c>
    </row>
    <row r="13" spans="1:25">
      <c r="A13" s="98" t="s">
        <v>45</v>
      </c>
      <c r="B13" s="95">
        <f>AVERAGE(T4:T62)</f>
        <v>16348.728813559323</v>
      </c>
      <c r="C13" s="77">
        <v>25000000</v>
      </c>
      <c r="D13" s="96">
        <f t="shared" si="0"/>
        <v>6.5394915254237285E-4</v>
      </c>
      <c r="E13" s="163">
        <f t="shared" si="1"/>
        <v>0</v>
      </c>
      <c r="I13" s="100">
        <v>43846</v>
      </c>
      <c r="J13" s="94">
        <v>51941</v>
      </c>
      <c r="K13" s="94">
        <v>600378</v>
      </c>
      <c r="L13" s="94">
        <v>856723</v>
      </c>
      <c r="M13" s="94">
        <v>419307</v>
      </c>
      <c r="N13" s="94">
        <v>6086087</v>
      </c>
      <c r="O13" s="94">
        <v>232379</v>
      </c>
      <c r="P13" s="94">
        <v>19510</v>
      </c>
      <c r="Q13" s="94">
        <v>127895</v>
      </c>
      <c r="R13" s="94">
        <v>81753</v>
      </c>
      <c r="S13" s="94">
        <v>28997</v>
      </c>
      <c r="T13" s="94">
        <v>3933</v>
      </c>
      <c r="U13" s="94">
        <v>10149</v>
      </c>
      <c r="V13" s="94">
        <v>2250</v>
      </c>
      <c r="W13" s="94">
        <v>161657</v>
      </c>
      <c r="X13" s="94">
        <v>3076</v>
      </c>
    </row>
    <row r="14" spans="1:25">
      <c r="A14" s="98" t="s">
        <v>65</v>
      </c>
      <c r="B14" s="95">
        <f>AVERAGE(U4:U62)</f>
        <v>32559</v>
      </c>
      <c r="C14" s="77">
        <v>35740896</v>
      </c>
      <c r="D14" s="96">
        <f t="shared" si="0"/>
        <v>9.1097324476700303E-4</v>
      </c>
      <c r="E14" s="163">
        <f t="shared" si="1"/>
        <v>0</v>
      </c>
      <c r="I14" s="100">
        <v>43847</v>
      </c>
      <c r="J14" s="94">
        <v>62675</v>
      </c>
      <c r="K14" s="94">
        <v>599325</v>
      </c>
      <c r="L14" s="94">
        <v>654936</v>
      </c>
      <c r="M14" s="94">
        <v>121064</v>
      </c>
      <c r="N14" s="94">
        <v>6097590</v>
      </c>
      <c r="O14" s="94">
        <v>257159</v>
      </c>
      <c r="P14" s="94">
        <v>34426</v>
      </c>
      <c r="Q14" s="94">
        <v>58462</v>
      </c>
      <c r="R14" s="94">
        <v>104435</v>
      </c>
      <c r="S14" s="94">
        <v>26417</v>
      </c>
      <c r="T14" s="94">
        <v>12438</v>
      </c>
      <c r="U14" s="94">
        <v>53103</v>
      </c>
      <c r="V14" s="94">
        <v>1807</v>
      </c>
      <c r="W14" s="94">
        <v>205927</v>
      </c>
      <c r="X14" s="94">
        <v>2150</v>
      </c>
    </row>
    <row r="15" spans="1:25">
      <c r="A15" s="97" t="s">
        <v>85</v>
      </c>
      <c r="B15" s="95">
        <f>AVERAGE(V4:V62)</f>
        <v>1659.2711864406779</v>
      </c>
      <c r="C15" s="77">
        <v>10080000</v>
      </c>
      <c r="D15" s="96">
        <f t="shared" si="0"/>
        <v>1.6461023675006726E-4</v>
      </c>
      <c r="E15" s="163">
        <f t="shared" si="1"/>
        <v>0</v>
      </c>
      <c r="I15" s="100">
        <v>43850</v>
      </c>
      <c r="J15" s="94">
        <v>30517</v>
      </c>
      <c r="K15" s="94">
        <v>191889</v>
      </c>
      <c r="L15" s="94">
        <v>442238</v>
      </c>
      <c r="M15" s="94">
        <v>359922</v>
      </c>
      <c r="N15" s="94">
        <v>8046706</v>
      </c>
      <c r="O15" s="94">
        <v>169545</v>
      </c>
      <c r="P15" s="94">
        <v>18775</v>
      </c>
      <c r="Q15" s="94">
        <v>66235</v>
      </c>
      <c r="R15" s="94">
        <v>56914</v>
      </c>
      <c r="S15" s="94">
        <v>24216</v>
      </c>
      <c r="T15" s="94">
        <v>8318</v>
      </c>
      <c r="U15" s="94">
        <v>8183</v>
      </c>
      <c r="V15" s="94">
        <v>1102</v>
      </c>
      <c r="W15" s="94">
        <v>283292</v>
      </c>
      <c r="X15" s="94">
        <v>14253</v>
      </c>
    </row>
    <row r="16" spans="1:25">
      <c r="A16" s="98" t="s">
        <v>55</v>
      </c>
      <c r="B16" s="95">
        <f>AVERAGE(W4:W62)</f>
        <v>127860.86440677966</v>
      </c>
      <c r="C16" s="77">
        <v>48855000</v>
      </c>
      <c r="D16" s="96">
        <f t="shared" si="0"/>
        <v>2.6171500236778153E-3</v>
      </c>
      <c r="E16" s="163">
        <f t="shared" si="1"/>
        <v>1</v>
      </c>
      <c r="I16" s="100">
        <v>43851</v>
      </c>
      <c r="J16" s="94">
        <v>36257</v>
      </c>
      <c r="K16" s="94">
        <v>613119</v>
      </c>
      <c r="L16" s="94">
        <v>681724</v>
      </c>
      <c r="M16" s="94">
        <v>114544</v>
      </c>
      <c r="N16" s="94">
        <v>3440650</v>
      </c>
      <c r="O16" s="94">
        <v>174302</v>
      </c>
      <c r="P16" s="94">
        <v>36014</v>
      </c>
      <c r="Q16" s="94">
        <v>101261</v>
      </c>
      <c r="R16" s="94">
        <v>43892</v>
      </c>
      <c r="S16" s="94">
        <v>38861</v>
      </c>
      <c r="T16" s="94">
        <v>10954</v>
      </c>
      <c r="U16" s="94">
        <v>24486</v>
      </c>
      <c r="V16" s="94">
        <v>2128</v>
      </c>
      <c r="W16" s="94">
        <v>196411</v>
      </c>
      <c r="X16" s="94">
        <v>6231</v>
      </c>
    </row>
    <row r="17" spans="1:24">
      <c r="A17" s="98" t="s">
        <v>71</v>
      </c>
      <c r="B17" s="95">
        <f>AVERAGE(X4:X62)</f>
        <v>14398.491525423729</v>
      </c>
      <c r="C17" s="77">
        <v>122156754</v>
      </c>
      <c r="D17" s="96">
        <f t="shared" si="0"/>
        <v>1.1786897616339518E-4</v>
      </c>
      <c r="E17" s="163">
        <f t="shared" si="1"/>
        <v>0</v>
      </c>
      <c r="I17" s="100">
        <v>43852</v>
      </c>
      <c r="J17" s="94">
        <v>9965</v>
      </c>
      <c r="K17" s="94">
        <v>1222240</v>
      </c>
      <c r="L17" s="94">
        <v>794390</v>
      </c>
      <c r="M17" s="94">
        <v>83717</v>
      </c>
      <c r="N17" s="94">
        <v>2125558</v>
      </c>
      <c r="O17" s="94">
        <v>208905</v>
      </c>
      <c r="P17" s="94">
        <v>11744</v>
      </c>
      <c r="Q17" s="94">
        <v>42265</v>
      </c>
      <c r="R17" s="94">
        <v>53246</v>
      </c>
      <c r="S17" s="94">
        <v>80061</v>
      </c>
      <c r="T17" s="94">
        <v>9113</v>
      </c>
      <c r="U17" s="94">
        <v>30531</v>
      </c>
      <c r="V17" s="94">
        <v>2492</v>
      </c>
      <c r="W17" s="94">
        <v>223518</v>
      </c>
      <c r="X17" s="94">
        <v>3812</v>
      </c>
    </row>
    <row r="18" spans="1:24">
      <c r="I18" s="100">
        <v>43853</v>
      </c>
      <c r="J18" s="94">
        <v>8785</v>
      </c>
      <c r="K18" s="94">
        <v>288549</v>
      </c>
      <c r="L18" s="94">
        <v>404354</v>
      </c>
      <c r="M18" s="94">
        <v>131850</v>
      </c>
      <c r="N18" s="94">
        <v>6532326</v>
      </c>
      <c r="O18" s="94">
        <v>174128</v>
      </c>
      <c r="P18" s="94">
        <v>14881</v>
      </c>
      <c r="Q18" s="94">
        <v>73389</v>
      </c>
      <c r="R18" s="94">
        <v>31566</v>
      </c>
      <c r="S18" s="94">
        <v>17493</v>
      </c>
      <c r="T18" s="94">
        <v>11864</v>
      </c>
      <c r="U18" s="94">
        <v>10875</v>
      </c>
      <c r="V18" s="94">
        <v>40</v>
      </c>
      <c r="W18" s="94">
        <v>37996</v>
      </c>
      <c r="X18" s="94">
        <v>4324</v>
      </c>
    </row>
    <row r="19" spans="1:24">
      <c r="I19" s="100">
        <v>43854</v>
      </c>
      <c r="J19" s="94">
        <v>22969</v>
      </c>
      <c r="K19" s="94">
        <v>875094</v>
      </c>
      <c r="L19" s="94">
        <v>876705</v>
      </c>
      <c r="M19" s="94">
        <v>87452</v>
      </c>
      <c r="N19" s="94">
        <v>2480069</v>
      </c>
      <c r="O19" s="94">
        <v>192044</v>
      </c>
      <c r="P19" s="94">
        <v>23657</v>
      </c>
      <c r="Q19" s="94">
        <v>79251</v>
      </c>
      <c r="R19" s="94">
        <v>117250</v>
      </c>
      <c r="S19" s="94">
        <v>15693</v>
      </c>
      <c r="T19" s="94">
        <v>26862</v>
      </c>
      <c r="U19" s="94">
        <v>87227</v>
      </c>
      <c r="V19" s="94">
        <v>2014</v>
      </c>
      <c r="W19" s="94">
        <v>93926</v>
      </c>
      <c r="X19" s="94">
        <v>3732</v>
      </c>
    </row>
    <row r="20" spans="1:24">
      <c r="I20" s="100">
        <v>43857</v>
      </c>
      <c r="J20" s="94">
        <v>9493</v>
      </c>
      <c r="K20" s="94">
        <v>444602</v>
      </c>
      <c r="L20" s="94">
        <v>810692</v>
      </c>
      <c r="M20" s="94">
        <v>128811</v>
      </c>
      <c r="N20" s="94">
        <v>2840910</v>
      </c>
      <c r="O20" s="94">
        <v>186306</v>
      </c>
      <c r="P20" s="94">
        <v>29362</v>
      </c>
      <c r="Q20" s="94">
        <v>81888</v>
      </c>
      <c r="R20" s="94">
        <v>68167</v>
      </c>
      <c r="S20" s="94">
        <v>14103</v>
      </c>
      <c r="T20" s="94">
        <v>23820</v>
      </c>
      <c r="U20" s="94">
        <v>32439</v>
      </c>
      <c r="V20" s="94">
        <v>3821</v>
      </c>
      <c r="W20" s="94">
        <v>180711</v>
      </c>
      <c r="X20" s="94">
        <v>8173</v>
      </c>
    </row>
    <row r="21" spans="1:24">
      <c r="I21" s="100">
        <v>43858</v>
      </c>
      <c r="J21" s="94">
        <v>24584</v>
      </c>
      <c r="K21" s="94">
        <v>516509</v>
      </c>
      <c r="L21" s="94">
        <v>652157</v>
      </c>
      <c r="M21" s="94">
        <v>88003</v>
      </c>
      <c r="N21" s="94">
        <v>5071097</v>
      </c>
      <c r="O21" s="94">
        <v>309109</v>
      </c>
      <c r="P21" s="94">
        <v>19598</v>
      </c>
      <c r="Q21" s="94">
        <v>71341</v>
      </c>
      <c r="R21" s="94">
        <v>136246</v>
      </c>
      <c r="S21" s="94">
        <v>6744</v>
      </c>
      <c r="T21" s="94">
        <v>2164</v>
      </c>
      <c r="U21" s="94">
        <v>57372</v>
      </c>
      <c r="V21" s="94">
        <v>71</v>
      </c>
      <c r="W21" s="94">
        <v>126800</v>
      </c>
      <c r="X21" s="94">
        <v>24348</v>
      </c>
    </row>
    <row r="22" spans="1:24">
      <c r="I22" s="100">
        <v>43859</v>
      </c>
      <c r="J22" s="94">
        <v>4355</v>
      </c>
      <c r="K22" s="94">
        <v>313683</v>
      </c>
      <c r="L22" s="94">
        <v>198420</v>
      </c>
      <c r="M22" s="94">
        <v>31872</v>
      </c>
      <c r="N22" s="94">
        <v>4587504</v>
      </c>
      <c r="O22" s="94">
        <v>158267</v>
      </c>
      <c r="P22" s="94">
        <v>11935</v>
      </c>
      <c r="Q22" s="94">
        <v>58062</v>
      </c>
      <c r="R22" s="94">
        <v>56700</v>
      </c>
      <c r="S22" s="94">
        <v>12884</v>
      </c>
      <c r="T22" s="94">
        <v>2772</v>
      </c>
      <c r="U22" s="94">
        <v>58537</v>
      </c>
      <c r="V22" s="94">
        <v>248</v>
      </c>
      <c r="W22" s="94">
        <v>215584</v>
      </c>
      <c r="X22" s="94">
        <v>1400</v>
      </c>
    </row>
    <row r="23" spans="1:24">
      <c r="I23" s="100">
        <v>43860</v>
      </c>
      <c r="J23" s="94">
        <v>27619</v>
      </c>
      <c r="K23" s="94">
        <v>360060</v>
      </c>
      <c r="L23" s="94">
        <v>512949</v>
      </c>
      <c r="M23" s="94">
        <v>101000</v>
      </c>
      <c r="N23" s="94">
        <v>6119465</v>
      </c>
      <c r="O23" s="94">
        <v>162171</v>
      </c>
      <c r="P23" s="94">
        <v>28368</v>
      </c>
      <c r="Q23" s="94">
        <v>39483</v>
      </c>
      <c r="R23" s="94">
        <v>49108</v>
      </c>
      <c r="S23" s="94">
        <v>14284</v>
      </c>
      <c r="T23" s="94">
        <v>12683</v>
      </c>
      <c r="U23" s="94">
        <v>16741</v>
      </c>
      <c r="V23" s="94">
        <v>1734</v>
      </c>
      <c r="W23" s="94">
        <v>154628</v>
      </c>
      <c r="X23" s="94">
        <v>1142</v>
      </c>
    </row>
    <row r="24" spans="1:24">
      <c r="I24" s="100">
        <v>43861</v>
      </c>
      <c r="J24" s="94">
        <v>28730</v>
      </c>
      <c r="K24" s="94">
        <v>653208</v>
      </c>
      <c r="L24" s="94">
        <v>1548392</v>
      </c>
      <c r="M24" s="94">
        <v>228119</v>
      </c>
      <c r="N24" s="94">
        <v>9025764</v>
      </c>
      <c r="O24" s="94">
        <v>253554</v>
      </c>
      <c r="P24" s="94">
        <v>51277</v>
      </c>
      <c r="Q24" s="94">
        <v>113810</v>
      </c>
      <c r="R24" s="94">
        <v>131612</v>
      </c>
      <c r="S24" s="94">
        <v>13139</v>
      </c>
      <c r="T24" s="94">
        <v>17426</v>
      </c>
      <c r="U24" s="94">
        <v>19351</v>
      </c>
      <c r="V24" s="94">
        <v>604</v>
      </c>
      <c r="W24" s="94">
        <v>178476</v>
      </c>
      <c r="X24" s="94">
        <v>3670</v>
      </c>
    </row>
    <row r="25" spans="1:24">
      <c r="I25" s="100">
        <v>43864</v>
      </c>
      <c r="J25" s="94">
        <v>36820</v>
      </c>
      <c r="K25" s="94">
        <v>451132</v>
      </c>
      <c r="L25" s="94">
        <v>892631</v>
      </c>
      <c r="M25" s="94">
        <v>213450</v>
      </c>
      <c r="N25" s="94">
        <v>7421906</v>
      </c>
      <c r="O25" s="94">
        <v>214665</v>
      </c>
      <c r="P25" s="94">
        <v>26841</v>
      </c>
      <c r="Q25" s="94">
        <v>43266</v>
      </c>
      <c r="R25" s="94">
        <v>44445</v>
      </c>
      <c r="S25" s="94">
        <v>8958</v>
      </c>
      <c r="T25" s="94">
        <v>11684</v>
      </c>
      <c r="U25" s="94">
        <v>13627</v>
      </c>
      <c r="V25" s="94">
        <v>486</v>
      </c>
      <c r="W25" s="94">
        <v>89503</v>
      </c>
      <c r="X25" s="94">
        <v>3574</v>
      </c>
    </row>
    <row r="26" spans="1:24">
      <c r="I26" s="100">
        <v>43865</v>
      </c>
      <c r="J26" s="94">
        <v>17593</v>
      </c>
      <c r="K26" s="94">
        <v>995353</v>
      </c>
      <c r="L26" s="94">
        <v>629472</v>
      </c>
      <c r="M26" s="94">
        <v>191435</v>
      </c>
      <c r="N26" s="94">
        <v>8941541</v>
      </c>
      <c r="O26" s="94">
        <v>206856</v>
      </c>
      <c r="P26" s="94">
        <v>14856</v>
      </c>
      <c r="Q26" s="94">
        <v>138731</v>
      </c>
      <c r="R26" s="94">
        <v>27277</v>
      </c>
      <c r="S26" s="94">
        <v>11775</v>
      </c>
      <c r="T26" s="94">
        <v>2876</v>
      </c>
      <c r="U26" s="94">
        <v>57393</v>
      </c>
      <c r="V26" s="94">
        <v>699</v>
      </c>
      <c r="W26" s="94">
        <v>61753</v>
      </c>
      <c r="X26" s="94">
        <v>3951</v>
      </c>
    </row>
    <row r="27" spans="1:24">
      <c r="I27" s="100">
        <v>43866</v>
      </c>
      <c r="J27" s="94">
        <v>5255</v>
      </c>
      <c r="K27" s="94">
        <v>467137</v>
      </c>
      <c r="L27" s="94">
        <v>407416</v>
      </c>
      <c r="M27" s="94">
        <v>192284</v>
      </c>
      <c r="N27" s="94">
        <v>4121546</v>
      </c>
      <c r="O27" s="94">
        <v>167548</v>
      </c>
      <c r="P27" s="94">
        <v>16436</v>
      </c>
      <c r="Q27" s="94">
        <v>74610</v>
      </c>
      <c r="R27" s="94">
        <v>30770</v>
      </c>
      <c r="S27" s="94">
        <v>23014</v>
      </c>
      <c r="T27" s="94">
        <v>3773</v>
      </c>
      <c r="U27" s="94">
        <v>35149</v>
      </c>
      <c r="V27" s="94">
        <v>3397</v>
      </c>
      <c r="W27" s="94">
        <v>186262</v>
      </c>
      <c r="X27" s="94">
        <v>1400</v>
      </c>
    </row>
    <row r="28" spans="1:24">
      <c r="I28" s="100">
        <v>43867</v>
      </c>
      <c r="J28" s="94">
        <v>15276</v>
      </c>
      <c r="K28" s="94">
        <v>454400</v>
      </c>
      <c r="L28" s="94">
        <v>596810</v>
      </c>
      <c r="M28" s="94">
        <v>145570</v>
      </c>
      <c r="N28" s="94">
        <v>5791160</v>
      </c>
      <c r="O28" s="94">
        <v>136774</v>
      </c>
      <c r="P28" s="94">
        <v>9456</v>
      </c>
      <c r="Q28" s="94">
        <v>55753</v>
      </c>
      <c r="R28" s="94">
        <v>17995</v>
      </c>
      <c r="S28" s="94">
        <v>22820</v>
      </c>
      <c r="T28" s="94">
        <v>4005</v>
      </c>
      <c r="U28" s="94">
        <v>18440</v>
      </c>
      <c r="V28" s="94">
        <v>1001</v>
      </c>
      <c r="W28" s="94">
        <v>141544</v>
      </c>
      <c r="X28" s="94">
        <v>27163</v>
      </c>
    </row>
    <row r="29" spans="1:24">
      <c r="I29" s="100">
        <v>43868</v>
      </c>
      <c r="J29" s="94">
        <v>17519</v>
      </c>
      <c r="K29" s="94">
        <v>533785</v>
      </c>
      <c r="L29" s="94">
        <v>288040</v>
      </c>
      <c r="M29" s="94">
        <v>57355</v>
      </c>
      <c r="N29" s="94">
        <v>10840966</v>
      </c>
      <c r="O29" s="94">
        <v>154014</v>
      </c>
      <c r="P29" s="94">
        <v>13833</v>
      </c>
      <c r="Q29" s="94">
        <v>251515</v>
      </c>
      <c r="R29" s="94">
        <v>32303</v>
      </c>
      <c r="S29" s="94">
        <v>13653</v>
      </c>
      <c r="T29" s="94">
        <v>4586</v>
      </c>
      <c r="U29" s="94">
        <v>11405</v>
      </c>
      <c r="V29" s="94">
        <v>1000</v>
      </c>
      <c r="W29" s="94">
        <v>61514</v>
      </c>
      <c r="X29" s="94">
        <v>18500</v>
      </c>
    </row>
    <row r="30" spans="1:24">
      <c r="I30" s="100">
        <v>43871</v>
      </c>
      <c r="J30" s="94">
        <v>14701</v>
      </c>
      <c r="K30" s="94">
        <v>481580</v>
      </c>
      <c r="L30" s="94">
        <v>307844</v>
      </c>
      <c r="M30" s="94">
        <v>83179</v>
      </c>
      <c r="N30" s="94">
        <v>14010113</v>
      </c>
      <c r="O30" s="94">
        <v>354239</v>
      </c>
      <c r="P30" s="94">
        <v>21731</v>
      </c>
      <c r="Q30" s="94">
        <v>86524</v>
      </c>
      <c r="R30" s="94">
        <v>35423</v>
      </c>
      <c r="S30" s="94">
        <v>41139</v>
      </c>
      <c r="T30" s="94">
        <v>5711</v>
      </c>
      <c r="U30" s="94">
        <v>11161</v>
      </c>
      <c r="V30" s="94">
        <v>1763</v>
      </c>
      <c r="W30" s="94">
        <v>145907</v>
      </c>
      <c r="X30" s="94">
        <v>3411</v>
      </c>
    </row>
    <row r="31" spans="1:24">
      <c r="I31" s="100">
        <v>43872</v>
      </c>
      <c r="J31" s="94">
        <v>10889</v>
      </c>
      <c r="K31" s="94">
        <v>830649</v>
      </c>
      <c r="L31" s="94">
        <v>548633</v>
      </c>
      <c r="M31" s="94">
        <v>85335</v>
      </c>
      <c r="N31" s="94">
        <v>31307576</v>
      </c>
      <c r="O31" s="94">
        <v>247618</v>
      </c>
      <c r="P31" s="94">
        <v>26426</v>
      </c>
      <c r="Q31" s="94">
        <v>32777</v>
      </c>
      <c r="R31" s="94">
        <v>31303</v>
      </c>
      <c r="S31" s="94">
        <v>15979</v>
      </c>
      <c r="T31" s="94">
        <v>6237</v>
      </c>
      <c r="U31" s="94">
        <v>23195</v>
      </c>
      <c r="V31" s="94">
        <v>1103</v>
      </c>
      <c r="W31" s="94">
        <v>57548</v>
      </c>
      <c r="X31" s="94">
        <v>5486</v>
      </c>
    </row>
    <row r="32" spans="1:24">
      <c r="I32" s="100">
        <v>43873</v>
      </c>
      <c r="J32" s="94">
        <v>6684</v>
      </c>
      <c r="K32" s="94">
        <v>739756</v>
      </c>
      <c r="L32" s="94">
        <v>838728</v>
      </c>
      <c r="M32" s="94">
        <v>179296</v>
      </c>
      <c r="N32" s="94">
        <v>24181592</v>
      </c>
      <c r="O32" s="94">
        <v>131882</v>
      </c>
      <c r="P32" s="94">
        <v>31957</v>
      </c>
      <c r="Q32" s="94">
        <v>27481</v>
      </c>
      <c r="R32" s="94">
        <v>93237</v>
      </c>
      <c r="S32" s="94">
        <v>35708</v>
      </c>
      <c r="T32" s="94">
        <v>13709</v>
      </c>
      <c r="U32" s="94">
        <v>45057</v>
      </c>
      <c r="V32" s="94">
        <v>1322</v>
      </c>
      <c r="W32" s="94">
        <v>194934</v>
      </c>
      <c r="X32" s="94">
        <v>3608</v>
      </c>
    </row>
    <row r="33" spans="9:24">
      <c r="I33" s="100">
        <v>43874</v>
      </c>
      <c r="J33" s="94">
        <v>73901</v>
      </c>
      <c r="K33" s="94">
        <v>918750</v>
      </c>
      <c r="L33" s="94">
        <v>678949</v>
      </c>
      <c r="M33" s="94">
        <v>108443</v>
      </c>
      <c r="N33" s="94">
        <v>7181500</v>
      </c>
      <c r="O33" s="94">
        <v>184861</v>
      </c>
      <c r="P33" s="94">
        <v>25066</v>
      </c>
      <c r="Q33" s="94">
        <v>127299</v>
      </c>
      <c r="R33" s="94">
        <v>27546</v>
      </c>
      <c r="S33" s="94">
        <v>91786</v>
      </c>
      <c r="T33" s="94">
        <v>3683</v>
      </c>
      <c r="U33" s="94">
        <v>70668</v>
      </c>
      <c r="V33" s="94">
        <v>1000</v>
      </c>
      <c r="W33" s="94">
        <v>49479</v>
      </c>
      <c r="X33" s="94">
        <v>7829</v>
      </c>
    </row>
    <row r="34" spans="9:24">
      <c r="I34" s="100">
        <v>43875</v>
      </c>
      <c r="J34" s="94">
        <v>18865</v>
      </c>
      <c r="K34" s="94">
        <v>607962</v>
      </c>
      <c r="L34" s="94">
        <v>587976</v>
      </c>
      <c r="M34" s="94">
        <v>51287</v>
      </c>
      <c r="N34" s="94">
        <v>78952459</v>
      </c>
      <c r="O34" s="94">
        <v>139993</v>
      </c>
      <c r="P34" s="94">
        <v>21050</v>
      </c>
      <c r="Q34" s="94">
        <v>24245</v>
      </c>
      <c r="R34" s="94">
        <v>29126</v>
      </c>
      <c r="S34" s="94">
        <v>70417</v>
      </c>
      <c r="T34" s="94">
        <v>7875</v>
      </c>
      <c r="U34" s="94">
        <v>16259</v>
      </c>
      <c r="V34" s="94">
        <v>100</v>
      </c>
      <c r="W34" s="94">
        <v>78370</v>
      </c>
      <c r="X34" s="94">
        <v>489</v>
      </c>
    </row>
    <row r="35" spans="9:24">
      <c r="I35" s="100">
        <v>43878</v>
      </c>
      <c r="J35" s="94">
        <v>7132</v>
      </c>
      <c r="K35" s="94">
        <v>382627</v>
      </c>
      <c r="L35" s="94">
        <v>376137</v>
      </c>
      <c r="M35" s="94">
        <v>52704</v>
      </c>
      <c r="N35" s="94">
        <v>2407881</v>
      </c>
      <c r="O35" s="94">
        <v>79390</v>
      </c>
      <c r="P35" s="94">
        <v>7754</v>
      </c>
      <c r="Q35" s="94">
        <v>41805</v>
      </c>
      <c r="R35" s="94">
        <v>11804</v>
      </c>
      <c r="S35" s="94">
        <v>14040</v>
      </c>
      <c r="T35" s="94">
        <v>4193</v>
      </c>
      <c r="U35" s="94">
        <v>15640</v>
      </c>
      <c r="V35" s="94">
        <v>513</v>
      </c>
      <c r="W35" s="94">
        <v>105854</v>
      </c>
      <c r="X35" s="94">
        <v>791</v>
      </c>
    </row>
    <row r="36" spans="9:24">
      <c r="I36" s="100">
        <v>43879</v>
      </c>
      <c r="J36" s="94">
        <v>4340</v>
      </c>
      <c r="K36" s="94">
        <v>962110</v>
      </c>
      <c r="L36" s="94">
        <v>494213</v>
      </c>
      <c r="M36" s="94">
        <v>61188</v>
      </c>
      <c r="N36" s="94">
        <v>4374517</v>
      </c>
      <c r="O36" s="94">
        <v>113456</v>
      </c>
      <c r="P36" s="94">
        <v>15372</v>
      </c>
      <c r="Q36" s="94">
        <v>121744</v>
      </c>
      <c r="R36" s="94">
        <v>40469</v>
      </c>
      <c r="S36" s="94">
        <v>10433</v>
      </c>
      <c r="T36" s="94">
        <v>4828</v>
      </c>
      <c r="U36" s="94">
        <v>8659</v>
      </c>
      <c r="V36" s="94">
        <v>94</v>
      </c>
      <c r="W36" s="94">
        <v>42012</v>
      </c>
      <c r="X36" s="94">
        <v>30</v>
      </c>
    </row>
    <row r="37" spans="9:24">
      <c r="I37" s="100">
        <v>43880</v>
      </c>
      <c r="J37" s="94">
        <v>9874</v>
      </c>
      <c r="K37" s="94">
        <v>1971812</v>
      </c>
      <c r="L37" s="94">
        <v>494603</v>
      </c>
      <c r="M37" s="94">
        <v>170113</v>
      </c>
      <c r="N37" s="94">
        <v>4745428</v>
      </c>
      <c r="O37" s="94">
        <v>213291</v>
      </c>
      <c r="P37" s="94">
        <v>11717</v>
      </c>
      <c r="Q37" s="94">
        <v>184267</v>
      </c>
      <c r="R37" s="94">
        <v>39224</v>
      </c>
      <c r="S37" s="94">
        <v>13279</v>
      </c>
      <c r="T37" s="94">
        <v>11057</v>
      </c>
      <c r="U37" s="94">
        <v>27059</v>
      </c>
      <c r="V37" s="94">
        <v>1211</v>
      </c>
      <c r="W37" s="94">
        <v>49051</v>
      </c>
      <c r="X37" s="94">
        <v>17686</v>
      </c>
    </row>
    <row r="38" spans="9:24">
      <c r="I38" s="100">
        <v>43881</v>
      </c>
      <c r="J38" s="94">
        <v>60391</v>
      </c>
      <c r="K38" s="94">
        <v>1091865</v>
      </c>
      <c r="L38" s="94">
        <v>907634</v>
      </c>
      <c r="M38" s="94">
        <v>177671</v>
      </c>
      <c r="N38" s="94">
        <v>5760137</v>
      </c>
      <c r="O38" s="94">
        <v>154731</v>
      </c>
      <c r="P38" s="94">
        <v>29833</v>
      </c>
      <c r="Q38" s="94">
        <v>84193</v>
      </c>
      <c r="R38" s="94">
        <v>92631</v>
      </c>
      <c r="S38" s="94">
        <v>22727</v>
      </c>
      <c r="T38" s="94">
        <v>11156</v>
      </c>
      <c r="U38" s="94">
        <v>16444</v>
      </c>
      <c r="V38" s="94">
        <v>450</v>
      </c>
      <c r="W38" s="94">
        <v>56730</v>
      </c>
      <c r="X38" s="94">
        <v>16786</v>
      </c>
    </row>
    <row r="39" spans="9:24">
      <c r="I39" s="100">
        <v>43882</v>
      </c>
      <c r="J39" s="94">
        <v>79851</v>
      </c>
      <c r="K39" s="94">
        <v>473932</v>
      </c>
      <c r="L39" s="94">
        <v>748169</v>
      </c>
      <c r="M39" s="94">
        <v>186338</v>
      </c>
      <c r="N39" s="94">
        <v>15321430</v>
      </c>
      <c r="O39" s="94">
        <v>200909</v>
      </c>
      <c r="P39" s="94">
        <v>46828</v>
      </c>
      <c r="Q39" s="94">
        <v>237662</v>
      </c>
      <c r="R39" s="94">
        <v>41131</v>
      </c>
      <c r="S39" s="94">
        <v>23292</v>
      </c>
      <c r="T39" s="94">
        <v>14825</v>
      </c>
      <c r="U39" s="94">
        <v>59011</v>
      </c>
      <c r="V39" s="94">
        <v>367</v>
      </c>
      <c r="W39" s="94">
        <v>106679</v>
      </c>
      <c r="X39" s="94">
        <v>1150</v>
      </c>
    </row>
    <row r="40" spans="9:24">
      <c r="I40" s="100">
        <v>43885</v>
      </c>
      <c r="J40" s="94">
        <v>54084</v>
      </c>
      <c r="K40" s="94">
        <v>1435481</v>
      </c>
      <c r="L40" s="94">
        <v>1754398</v>
      </c>
      <c r="M40" s="94">
        <v>346907</v>
      </c>
      <c r="N40" s="94">
        <v>24327880</v>
      </c>
      <c r="O40" s="94">
        <v>617232</v>
      </c>
      <c r="P40" s="94">
        <v>63658</v>
      </c>
      <c r="Q40" s="94">
        <v>249520</v>
      </c>
      <c r="R40" s="94">
        <v>102192</v>
      </c>
      <c r="S40" s="94">
        <v>28777</v>
      </c>
      <c r="T40" s="94">
        <v>32777</v>
      </c>
      <c r="U40" s="94">
        <v>35985</v>
      </c>
      <c r="V40" s="94">
        <v>2650</v>
      </c>
      <c r="W40" s="94">
        <v>576796</v>
      </c>
      <c r="X40" s="94">
        <v>17340</v>
      </c>
    </row>
    <row r="41" spans="9:24">
      <c r="I41" s="100">
        <v>43886</v>
      </c>
      <c r="J41" s="94">
        <v>44006</v>
      </c>
      <c r="K41" s="94">
        <v>708251</v>
      </c>
      <c r="L41" s="94">
        <v>911494</v>
      </c>
      <c r="M41" s="94">
        <v>493172</v>
      </c>
      <c r="N41" s="94">
        <v>24237722</v>
      </c>
      <c r="O41" s="94">
        <v>563077</v>
      </c>
      <c r="P41" s="94">
        <v>61170</v>
      </c>
      <c r="Q41" s="94">
        <v>139685</v>
      </c>
      <c r="R41" s="94">
        <v>118911</v>
      </c>
      <c r="S41" s="94">
        <v>35150</v>
      </c>
      <c r="T41" s="94">
        <v>25864</v>
      </c>
      <c r="U41" s="94">
        <v>30275</v>
      </c>
      <c r="V41" s="94">
        <v>1035</v>
      </c>
      <c r="W41" s="94">
        <v>134796</v>
      </c>
      <c r="X41" s="94">
        <v>20385</v>
      </c>
    </row>
    <row r="42" spans="9:24">
      <c r="I42" s="100">
        <v>43887</v>
      </c>
      <c r="J42" s="94">
        <v>59749</v>
      </c>
      <c r="K42" s="94">
        <v>1673578</v>
      </c>
      <c r="L42" s="94">
        <v>1391579</v>
      </c>
      <c r="M42" s="94">
        <v>443998</v>
      </c>
      <c r="N42" s="94">
        <v>14791267</v>
      </c>
      <c r="O42" s="94">
        <v>647597</v>
      </c>
      <c r="P42" s="94">
        <v>63736</v>
      </c>
      <c r="Q42" s="94">
        <v>249419</v>
      </c>
      <c r="R42" s="94">
        <v>77351</v>
      </c>
      <c r="S42" s="94">
        <v>26328</v>
      </c>
      <c r="T42" s="94">
        <v>20885</v>
      </c>
      <c r="U42" s="94">
        <v>44586</v>
      </c>
      <c r="V42" s="94">
        <v>2067</v>
      </c>
      <c r="W42" s="94">
        <v>153693</v>
      </c>
      <c r="X42" s="94">
        <v>5628</v>
      </c>
    </row>
    <row r="43" spans="9:24">
      <c r="I43" s="100">
        <v>43888</v>
      </c>
      <c r="J43" s="94">
        <v>65208</v>
      </c>
      <c r="K43" s="94">
        <v>1537015</v>
      </c>
      <c r="L43" s="94">
        <v>1197600</v>
      </c>
      <c r="M43" s="94">
        <v>482027</v>
      </c>
      <c r="N43" s="94">
        <v>19479075</v>
      </c>
      <c r="O43" s="94">
        <v>575900</v>
      </c>
      <c r="P43" s="94">
        <v>104775</v>
      </c>
      <c r="Q43" s="94">
        <v>358905</v>
      </c>
      <c r="R43" s="94">
        <v>93627</v>
      </c>
      <c r="S43" s="94">
        <v>60084</v>
      </c>
      <c r="T43" s="94">
        <v>36228</v>
      </c>
      <c r="U43" s="94">
        <v>34439</v>
      </c>
      <c r="V43" s="94">
        <v>1455</v>
      </c>
      <c r="W43" s="94">
        <v>130903</v>
      </c>
      <c r="X43" s="94">
        <v>28842</v>
      </c>
    </row>
    <row r="44" spans="9:24">
      <c r="I44" s="100">
        <v>43889</v>
      </c>
      <c r="J44" s="94">
        <v>130914</v>
      </c>
      <c r="K44" s="94">
        <v>1596643</v>
      </c>
      <c r="L44" s="94">
        <v>2560875</v>
      </c>
      <c r="M44" s="94">
        <v>958637</v>
      </c>
      <c r="N44" s="94">
        <v>26995341</v>
      </c>
      <c r="O44" s="94">
        <v>737652</v>
      </c>
      <c r="P44" s="94">
        <v>254661</v>
      </c>
      <c r="Q44" s="94">
        <v>478044</v>
      </c>
      <c r="R44" s="94">
        <v>123830</v>
      </c>
      <c r="S44" s="94">
        <v>50620</v>
      </c>
      <c r="T44" s="94">
        <v>50310</v>
      </c>
      <c r="U44" s="94">
        <v>60121</v>
      </c>
      <c r="V44" s="94">
        <v>9842</v>
      </c>
      <c r="W44" s="94">
        <v>216374</v>
      </c>
      <c r="X44" s="94">
        <v>124125</v>
      </c>
    </row>
    <row r="45" spans="9:24">
      <c r="I45" s="100">
        <v>43893</v>
      </c>
      <c r="J45" s="94">
        <v>45405</v>
      </c>
      <c r="K45" s="94">
        <v>3301549</v>
      </c>
      <c r="L45" s="94">
        <v>1476689</v>
      </c>
      <c r="M45" s="94">
        <v>352153</v>
      </c>
      <c r="N45" s="94">
        <v>19706241</v>
      </c>
      <c r="O45" s="94">
        <v>383343</v>
      </c>
      <c r="P45" s="94">
        <v>141486</v>
      </c>
      <c r="Q45" s="94">
        <v>187158</v>
      </c>
      <c r="R45" s="94">
        <v>75658</v>
      </c>
      <c r="S45" s="94">
        <v>62697</v>
      </c>
      <c r="T45" s="94">
        <v>34019</v>
      </c>
      <c r="U45" s="94">
        <v>26195</v>
      </c>
      <c r="V45" s="94">
        <v>3631</v>
      </c>
      <c r="W45" s="94">
        <v>279761</v>
      </c>
      <c r="X45" s="94">
        <v>9375</v>
      </c>
    </row>
    <row r="46" spans="9:24">
      <c r="I46" s="100">
        <v>43894</v>
      </c>
      <c r="J46" s="94">
        <v>34186</v>
      </c>
      <c r="K46" s="94">
        <v>1763469</v>
      </c>
      <c r="L46" s="94">
        <v>1049195</v>
      </c>
      <c r="M46" s="94">
        <v>306020</v>
      </c>
      <c r="N46" s="94">
        <v>13551967</v>
      </c>
      <c r="O46" s="94">
        <v>271568</v>
      </c>
      <c r="P46" s="94">
        <v>65030</v>
      </c>
      <c r="Q46" s="94">
        <v>257986</v>
      </c>
      <c r="R46" s="94">
        <v>65355</v>
      </c>
      <c r="S46" s="94">
        <v>114146</v>
      </c>
      <c r="T46" s="94">
        <v>22203</v>
      </c>
      <c r="U46" s="94">
        <v>34026</v>
      </c>
      <c r="V46" s="94">
        <v>1233</v>
      </c>
      <c r="W46" s="94">
        <v>93008</v>
      </c>
      <c r="X46" s="94">
        <v>5000</v>
      </c>
    </row>
    <row r="47" spans="9:24">
      <c r="I47" s="100">
        <v>43895</v>
      </c>
      <c r="J47" s="94">
        <v>29903</v>
      </c>
      <c r="K47" s="94">
        <v>1787489</v>
      </c>
      <c r="L47" s="94">
        <v>1151404</v>
      </c>
      <c r="M47" s="94">
        <v>246371</v>
      </c>
      <c r="N47" s="94">
        <v>13135329</v>
      </c>
      <c r="O47" s="94">
        <v>327842</v>
      </c>
      <c r="P47" s="94">
        <v>89072</v>
      </c>
      <c r="Q47" s="94">
        <v>279010</v>
      </c>
      <c r="R47" s="94">
        <v>103050</v>
      </c>
      <c r="S47" s="94">
        <v>42725</v>
      </c>
      <c r="T47" s="94">
        <v>40005</v>
      </c>
      <c r="U47" s="94">
        <v>28633</v>
      </c>
      <c r="V47" s="94">
        <v>2271</v>
      </c>
      <c r="W47" s="94">
        <v>147849</v>
      </c>
      <c r="X47" s="94">
        <v>9425</v>
      </c>
    </row>
    <row r="48" spans="9:24">
      <c r="I48" s="100">
        <v>43896</v>
      </c>
      <c r="J48" s="94">
        <v>50244</v>
      </c>
      <c r="K48" s="94">
        <v>1255843</v>
      </c>
      <c r="L48" s="94">
        <v>1282477</v>
      </c>
      <c r="M48" s="94">
        <v>368386</v>
      </c>
      <c r="N48" s="94">
        <v>24943449</v>
      </c>
      <c r="O48" s="94">
        <v>525862</v>
      </c>
      <c r="P48" s="94">
        <v>46977</v>
      </c>
      <c r="Q48" s="94">
        <v>292991</v>
      </c>
      <c r="R48" s="94">
        <v>165863</v>
      </c>
      <c r="S48" s="94">
        <v>47537</v>
      </c>
      <c r="T48" s="94">
        <v>24775</v>
      </c>
      <c r="U48" s="94">
        <v>52257</v>
      </c>
      <c r="V48" s="94">
        <v>6113</v>
      </c>
      <c r="W48" s="94">
        <v>109022</v>
      </c>
      <c r="X48" s="94">
        <v>14067</v>
      </c>
    </row>
    <row r="49" spans="9:24">
      <c r="I49" s="100">
        <v>43899</v>
      </c>
      <c r="J49" s="94">
        <v>89422</v>
      </c>
      <c r="K49" s="94">
        <v>2275149</v>
      </c>
      <c r="L49" s="94">
        <v>1084943</v>
      </c>
      <c r="M49" s="94">
        <v>357481</v>
      </c>
      <c r="N49" s="94">
        <v>24854245</v>
      </c>
      <c r="O49" s="94">
        <v>599227</v>
      </c>
      <c r="P49" s="94">
        <v>115021</v>
      </c>
      <c r="Q49" s="94">
        <v>546784</v>
      </c>
      <c r="R49" s="94">
        <v>152197</v>
      </c>
      <c r="S49" s="94">
        <v>62625</v>
      </c>
      <c r="T49" s="94">
        <v>57182</v>
      </c>
      <c r="U49" s="94">
        <v>92147</v>
      </c>
      <c r="V49" s="94">
        <v>5999</v>
      </c>
      <c r="W49" s="94">
        <v>105596</v>
      </c>
      <c r="X49" s="94">
        <v>15575</v>
      </c>
    </row>
    <row r="50" spans="9:24">
      <c r="I50" s="100">
        <v>43900</v>
      </c>
      <c r="J50" s="94">
        <v>123162</v>
      </c>
      <c r="K50" s="94">
        <v>874224</v>
      </c>
      <c r="L50" s="94">
        <v>1278446</v>
      </c>
      <c r="M50" s="94">
        <v>213783</v>
      </c>
      <c r="N50" s="94">
        <v>21468077</v>
      </c>
      <c r="O50" s="94">
        <v>791545</v>
      </c>
      <c r="P50" s="94">
        <v>74474</v>
      </c>
      <c r="Q50" s="94">
        <v>501676</v>
      </c>
      <c r="R50" s="94">
        <v>83550</v>
      </c>
      <c r="S50" s="94">
        <v>75841</v>
      </c>
      <c r="T50" s="94">
        <v>23816</v>
      </c>
      <c r="U50" s="94">
        <v>44383</v>
      </c>
      <c r="V50" s="94">
        <v>3178</v>
      </c>
      <c r="W50" s="94">
        <v>96974</v>
      </c>
      <c r="X50" s="94">
        <v>46000</v>
      </c>
    </row>
    <row r="51" spans="9:24">
      <c r="I51" s="100">
        <v>43901</v>
      </c>
      <c r="J51" s="94">
        <v>98027</v>
      </c>
      <c r="K51" s="94">
        <v>1601205</v>
      </c>
      <c r="L51" s="94">
        <v>1202936</v>
      </c>
      <c r="M51" s="94">
        <v>286189</v>
      </c>
      <c r="N51" s="94">
        <v>13723567</v>
      </c>
      <c r="O51" s="94">
        <v>427423</v>
      </c>
      <c r="P51" s="94">
        <v>72546</v>
      </c>
      <c r="Q51" s="94">
        <v>468180</v>
      </c>
      <c r="R51" s="94">
        <v>73028</v>
      </c>
      <c r="S51" s="94">
        <v>59833</v>
      </c>
      <c r="T51" s="94">
        <v>34905</v>
      </c>
      <c r="U51" s="94">
        <v>41054</v>
      </c>
      <c r="V51" s="94">
        <v>2350</v>
      </c>
      <c r="W51" s="94">
        <v>26535</v>
      </c>
      <c r="X51" s="94">
        <v>8546</v>
      </c>
    </row>
    <row r="52" spans="9:24">
      <c r="I52" s="100">
        <v>43902</v>
      </c>
      <c r="J52" s="94">
        <v>252187</v>
      </c>
      <c r="K52" s="94">
        <v>1544130</v>
      </c>
      <c r="L52" s="94">
        <v>1597013</v>
      </c>
      <c r="M52" s="94">
        <v>258844</v>
      </c>
      <c r="N52" s="94">
        <v>18692914</v>
      </c>
      <c r="O52" s="94">
        <v>472084</v>
      </c>
      <c r="P52" s="94">
        <v>70015</v>
      </c>
      <c r="Q52" s="94">
        <v>339874</v>
      </c>
      <c r="R52" s="94">
        <v>81063</v>
      </c>
      <c r="S52" s="94">
        <v>53643</v>
      </c>
      <c r="T52" s="94">
        <v>45980</v>
      </c>
      <c r="U52" s="94">
        <v>39988</v>
      </c>
      <c r="V52" s="94">
        <v>6127</v>
      </c>
      <c r="W52" s="94">
        <v>56904</v>
      </c>
      <c r="X52" s="94">
        <v>56199</v>
      </c>
    </row>
    <row r="53" spans="9:24">
      <c r="I53" s="100">
        <v>43903</v>
      </c>
      <c r="J53" s="94">
        <v>98162</v>
      </c>
      <c r="K53" s="94">
        <v>1248301</v>
      </c>
      <c r="L53" s="94">
        <v>1258483</v>
      </c>
      <c r="M53" s="94">
        <v>240289</v>
      </c>
      <c r="N53" s="94">
        <v>17434975</v>
      </c>
      <c r="O53" s="94">
        <v>410915</v>
      </c>
      <c r="P53" s="94">
        <v>73940</v>
      </c>
      <c r="Q53" s="94">
        <v>479164</v>
      </c>
      <c r="R53" s="94">
        <v>87094</v>
      </c>
      <c r="S53" s="94">
        <v>34933</v>
      </c>
      <c r="T53" s="94">
        <v>33909</v>
      </c>
      <c r="U53" s="94">
        <v>54639</v>
      </c>
      <c r="V53" s="94">
        <v>758</v>
      </c>
      <c r="W53" s="94">
        <v>65704</v>
      </c>
      <c r="X53" s="94">
        <v>89577</v>
      </c>
    </row>
    <row r="54" spans="9:24">
      <c r="I54" s="100">
        <v>43906</v>
      </c>
      <c r="J54" s="94">
        <v>79315</v>
      </c>
      <c r="K54" s="94">
        <v>882282</v>
      </c>
      <c r="L54" s="94">
        <v>1337460</v>
      </c>
      <c r="M54" s="94">
        <v>249128</v>
      </c>
      <c r="N54" s="94">
        <v>13847338</v>
      </c>
      <c r="O54" s="94">
        <v>320554</v>
      </c>
      <c r="P54" s="94">
        <v>85683</v>
      </c>
      <c r="Q54" s="94">
        <v>322026</v>
      </c>
      <c r="R54" s="94">
        <v>105488</v>
      </c>
      <c r="S54" s="94">
        <v>26082</v>
      </c>
      <c r="T54" s="94">
        <v>46438</v>
      </c>
      <c r="U54" s="94">
        <v>42022</v>
      </c>
      <c r="V54" s="94">
        <v>5010</v>
      </c>
      <c r="W54" s="94">
        <v>43723</v>
      </c>
      <c r="X54" s="94">
        <v>36994</v>
      </c>
    </row>
    <row r="55" spans="9:24">
      <c r="I55" s="100">
        <v>43907</v>
      </c>
      <c r="J55" s="94">
        <v>291606</v>
      </c>
      <c r="K55" s="94">
        <v>2019122</v>
      </c>
      <c r="L55" s="94">
        <v>1812192</v>
      </c>
      <c r="M55" s="94">
        <v>594880</v>
      </c>
      <c r="N55" s="94">
        <v>27683176</v>
      </c>
      <c r="O55" s="94">
        <v>508692</v>
      </c>
      <c r="P55" s="94">
        <v>95818</v>
      </c>
      <c r="Q55" s="94">
        <v>192323</v>
      </c>
      <c r="R55" s="94">
        <v>85872</v>
      </c>
      <c r="S55" s="94">
        <v>48973</v>
      </c>
      <c r="T55" s="94">
        <v>20600</v>
      </c>
      <c r="U55" s="94">
        <v>57425</v>
      </c>
      <c r="V55" s="94">
        <v>1221</v>
      </c>
      <c r="W55" s="94">
        <v>57182</v>
      </c>
      <c r="X55" s="94">
        <v>2603</v>
      </c>
    </row>
    <row r="56" spans="9:24">
      <c r="I56" s="100">
        <v>43908</v>
      </c>
      <c r="J56" s="94">
        <v>121031</v>
      </c>
      <c r="K56" s="94">
        <v>1144838</v>
      </c>
      <c r="L56" s="94">
        <v>847350</v>
      </c>
      <c r="M56" s="94">
        <v>149377</v>
      </c>
      <c r="N56" s="94">
        <v>16608126</v>
      </c>
      <c r="O56" s="94">
        <v>231269</v>
      </c>
      <c r="P56" s="94">
        <v>25383</v>
      </c>
      <c r="Q56" s="94">
        <v>234362</v>
      </c>
      <c r="R56" s="94">
        <v>49417</v>
      </c>
      <c r="S56" s="94">
        <v>12042</v>
      </c>
      <c r="T56" s="94">
        <v>4448</v>
      </c>
      <c r="U56" s="94">
        <v>40240</v>
      </c>
      <c r="V56" s="94">
        <v>294</v>
      </c>
      <c r="W56" s="94">
        <v>26884</v>
      </c>
      <c r="X56" s="94">
        <v>110260</v>
      </c>
    </row>
    <row r="57" spans="9:24">
      <c r="I57" s="100">
        <v>43909</v>
      </c>
      <c r="J57" s="94">
        <v>128634</v>
      </c>
      <c r="K57" s="94">
        <v>1179508</v>
      </c>
      <c r="L57" s="94">
        <v>1354722</v>
      </c>
      <c r="M57" s="94">
        <v>152409</v>
      </c>
      <c r="N57" s="94">
        <v>12309747</v>
      </c>
      <c r="O57" s="94">
        <v>218072</v>
      </c>
      <c r="P57" s="94">
        <v>104252</v>
      </c>
      <c r="Q57" s="94">
        <v>263322</v>
      </c>
      <c r="R57" s="94">
        <v>188454</v>
      </c>
      <c r="S57" s="94">
        <v>15294</v>
      </c>
      <c r="T57" s="94">
        <v>22331</v>
      </c>
      <c r="U57" s="94">
        <v>43703</v>
      </c>
      <c r="V57" s="94">
        <v>498</v>
      </c>
      <c r="W57" s="94">
        <v>77002</v>
      </c>
      <c r="X57" s="94">
        <v>7099</v>
      </c>
    </row>
    <row r="58" spans="9:24">
      <c r="I58" s="100">
        <v>43910</v>
      </c>
      <c r="J58" s="94">
        <v>193791</v>
      </c>
      <c r="K58" s="94">
        <v>1292049</v>
      </c>
      <c r="L58" s="94">
        <v>1373387</v>
      </c>
      <c r="M58" s="94">
        <v>593365</v>
      </c>
      <c r="N58" s="94">
        <v>14691378</v>
      </c>
      <c r="O58" s="94">
        <v>267385</v>
      </c>
      <c r="P58" s="94">
        <v>182126</v>
      </c>
      <c r="Q58" s="94">
        <v>217916</v>
      </c>
      <c r="R58" s="94">
        <v>153364</v>
      </c>
      <c r="S58" s="94">
        <v>38249</v>
      </c>
      <c r="T58" s="94">
        <v>12764</v>
      </c>
      <c r="U58" s="94">
        <v>65182</v>
      </c>
      <c r="V58" s="94">
        <v>57</v>
      </c>
      <c r="W58" s="94">
        <v>166562</v>
      </c>
      <c r="X58" s="94">
        <v>5163</v>
      </c>
    </row>
    <row r="59" spans="9:24">
      <c r="I59" s="100">
        <v>43913</v>
      </c>
      <c r="J59" s="94">
        <v>47232</v>
      </c>
      <c r="K59" s="94">
        <v>589891</v>
      </c>
      <c r="L59" s="94">
        <v>779074</v>
      </c>
      <c r="M59" s="94">
        <v>165483</v>
      </c>
      <c r="N59" s="94">
        <v>7639960</v>
      </c>
      <c r="O59" s="94">
        <v>112191</v>
      </c>
      <c r="P59" s="94">
        <v>40119</v>
      </c>
      <c r="Q59" s="94">
        <v>95933</v>
      </c>
      <c r="R59" s="94">
        <v>28153</v>
      </c>
      <c r="S59" s="94">
        <v>25111</v>
      </c>
      <c r="T59" s="94">
        <v>4005</v>
      </c>
      <c r="U59" s="94">
        <v>15687</v>
      </c>
      <c r="V59" s="94">
        <v>126</v>
      </c>
      <c r="W59" s="94">
        <v>52175</v>
      </c>
      <c r="X59" s="94">
        <v>6800</v>
      </c>
    </row>
    <row r="60" spans="9:24">
      <c r="I60" s="100">
        <v>43914</v>
      </c>
      <c r="J60" s="94">
        <v>157666</v>
      </c>
      <c r="K60" s="94">
        <v>1253236</v>
      </c>
      <c r="L60" s="94">
        <v>845811</v>
      </c>
      <c r="M60" s="94">
        <v>295614</v>
      </c>
      <c r="N60" s="94">
        <v>12315841</v>
      </c>
      <c r="O60" s="94">
        <v>268668</v>
      </c>
      <c r="P60" s="94">
        <v>107267</v>
      </c>
      <c r="Q60" s="94">
        <v>186442</v>
      </c>
      <c r="R60" s="94">
        <v>87776</v>
      </c>
      <c r="S60" s="94">
        <v>117119</v>
      </c>
      <c r="T60" s="94">
        <v>27523</v>
      </c>
      <c r="U60" s="94">
        <v>52878</v>
      </c>
      <c r="V60" s="94">
        <v>999</v>
      </c>
      <c r="W60" s="94">
        <v>200082</v>
      </c>
      <c r="X60" s="94">
        <v>7131</v>
      </c>
    </row>
    <row r="61" spans="9:24">
      <c r="I61" s="100">
        <v>43916</v>
      </c>
      <c r="J61" s="94">
        <v>55847</v>
      </c>
      <c r="K61" s="94">
        <v>1680754</v>
      </c>
      <c r="L61" s="94">
        <v>1220399</v>
      </c>
      <c r="M61" s="94">
        <v>348537</v>
      </c>
      <c r="N61" s="94">
        <v>17917152</v>
      </c>
      <c r="O61" s="94">
        <v>500749</v>
      </c>
      <c r="P61" s="94">
        <v>143977</v>
      </c>
      <c r="Q61" s="94">
        <v>176336</v>
      </c>
      <c r="R61" s="94">
        <v>92573</v>
      </c>
      <c r="S61" s="94">
        <v>22293</v>
      </c>
      <c r="T61" s="94">
        <v>15292</v>
      </c>
      <c r="U61" s="94">
        <v>30740</v>
      </c>
      <c r="V61" s="94">
        <v>1055</v>
      </c>
      <c r="W61" s="94">
        <v>105837</v>
      </c>
      <c r="X61" s="94">
        <v>5100</v>
      </c>
    </row>
    <row r="62" spans="9:24">
      <c r="I62" s="100">
        <v>43917</v>
      </c>
      <c r="J62" s="94">
        <v>51696</v>
      </c>
      <c r="K62" s="94">
        <v>822739</v>
      </c>
      <c r="L62" s="94">
        <v>1344542</v>
      </c>
      <c r="M62" s="94">
        <v>226874</v>
      </c>
      <c r="N62" s="94">
        <v>11351605</v>
      </c>
      <c r="O62" s="94">
        <v>249238</v>
      </c>
      <c r="P62" s="94">
        <v>66802</v>
      </c>
      <c r="Q62" s="94">
        <v>99473</v>
      </c>
      <c r="R62" s="94">
        <v>119040</v>
      </c>
      <c r="S62" s="94">
        <v>8511</v>
      </c>
      <c r="T62" s="94">
        <v>14959</v>
      </c>
      <c r="U62" s="94">
        <v>9423</v>
      </c>
      <c r="V62" s="94">
        <v>259</v>
      </c>
      <c r="W62" s="94">
        <v>86794</v>
      </c>
      <c r="X62" s="94">
        <v>9000</v>
      </c>
    </row>
  </sheetData>
  <mergeCells count="2">
    <mergeCell ref="A1:E1"/>
    <mergeCell ref="J2:Y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B0C1-0D7E-445C-A639-A85E7119B117}">
  <sheetPr>
    <tabColor theme="5" tint="0.59999389629810485"/>
  </sheetPr>
  <dimension ref="A1:W251"/>
  <sheetViews>
    <sheetView workbookViewId="0">
      <selection activeCell="F15" sqref="F15"/>
    </sheetView>
  </sheetViews>
  <sheetFormatPr baseColWidth="10" defaultColWidth="8.83203125" defaultRowHeight="15"/>
  <cols>
    <col min="1" max="1" width="19.33203125" bestFit="1" customWidth="1"/>
    <col min="2" max="2" width="10.33203125" customWidth="1"/>
    <col min="7" max="7" width="10.5" bestFit="1" customWidth="1"/>
    <col min="23" max="23" width="19.33203125" bestFit="1" customWidth="1"/>
  </cols>
  <sheetData>
    <row r="1" spans="1:23" ht="16">
      <c r="A1" s="391" t="s">
        <v>123</v>
      </c>
      <c r="B1" s="391"/>
      <c r="C1" s="391"/>
    </row>
    <row r="2" spans="1:23" ht="32">
      <c r="A2" s="107" t="s">
        <v>132</v>
      </c>
      <c r="B2" s="108" t="s">
        <v>123</v>
      </c>
      <c r="C2" s="108" t="s">
        <v>128</v>
      </c>
    </row>
    <row r="3" spans="1:23">
      <c r="A3" s="106" t="s">
        <v>6</v>
      </c>
      <c r="B3" s="110">
        <f>STDEV(H4:H250)</f>
        <v>2.5728941730891228E-2</v>
      </c>
      <c r="C3" s="111">
        <f>IF(B3&lt;$B$20,1,0)</f>
        <v>0</v>
      </c>
      <c r="G3" s="73"/>
      <c r="H3" s="113" t="s">
        <v>6</v>
      </c>
      <c r="I3" s="4" t="s">
        <v>47</v>
      </c>
      <c r="J3" s="4" t="s">
        <v>43</v>
      </c>
      <c r="K3" s="4" t="s">
        <v>12</v>
      </c>
      <c r="L3" s="4" t="s">
        <v>8</v>
      </c>
      <c r="M3" s="4" t="s">
        <v>14</v>
      </c>
      <c r="N3" s="4" t="s">
        <v>111</v>
      </c>
      <c r="O3" s="4" t="s">
        <v>49</v>
      </c>
      <c r="P3" s="4" t="s">
        <v>37</v>
      </c>
      <c r="Q3" s="4" t="s">
        <v>26</v>
      </c>
      <c r="R3" s="18" t="s">
        <v>45</v>
      </c>
      <c r="S3" s="18" t="s">
        <v>65</v>
      </c>
      <c r="T3" s="4" t="s">
        <v>85</v>
      </c>
      <c r="U3" s="18" t="s">
        <v>55</v>
      </c>
      <c r="V3" s="18" t="s">
        <v>71</v>
      </c>
      <c r="W3" s="109" t="s">
        <v>110</v>
      </c>
    </row>
    <row r="4" spans="1:23">
      <c r="A4" s="106" t="s">
        <v>47</v>
      </c>
      <c r="B4" s="96">
        <f>STDEV(I4:I250)</f>
        <v>1.9731233408002626E-2</v>
      </c>
      <c r="C4" s="127">
        <f t="shared" ref="C4:C17" si="0">IF(B4&lt;$B$20,1,0)</f>
        <v>1</v>
      </c>
      <c r="G4" s="114">
        <v>43552</v>
      </c>
      <c r="H4" s="88">
        <v>1.9556720705107473E-3</v>
      </c>
      <c r="I4" s="88">
        <v>2.2892055187478333E-2</v>
      </c>
      <c r="J4" s="88">
        <v>2.0152943582152701E-2</v>
      </c>
      <c r="K4" s="88">
        <v>2.1681066061323948E-2</v>
      </c>
      <c r="L4" s="88">
        <v>1.4684551682921099E-2</v>
      </c>
      <c r="M4" s="88">
        <v>-1.2547216052088528E-2</v>
      </c>
      <c r="N4" s="88">
        <v>9.4192219164915582E-3</v>
      </c>
      <c r="O4" s="88">
        <v>-1.7051249872658693E-2</v>
      </c>
      <c r="P4" s="88">
        <v>-1.2951152347078006E-2</v>
      </c>
      <c r="Q4" s="88">
        <v>-1.9635974516858962E-2</v>
      </c>
      <c r="R4" s="88">
        <v>-6.0569537081897962E-3</v>
      </c>
      <c r="S4" s="88">
        <v>0</v>
      </c>
      <c r="T4" s="88">
        <v>0</v>
      </c>
      <c r="U4" s="88">
        <v>-1.8519047767237642E-2</v>
      </c>
      <c r="V4" s="88">
        <v>-1.077209698191107E-2</v>
      </c>
      <c r="W4" s="89">
        <v>-9.808111315924208E-5</v>
      </c>
    </row>
    <row r="5" spans="1:23">
      <c r="A5" s="106" t="s">
        <v>43</v>
      </c>
      <c r="B5" s="96">
        <f>STDEV(J4:J250)</f>
        <v>2.8673642215780282E-2</v>
      </c>
      <c r="C5" s="127">
        <f t="shared" si="0"/>
        <v>0</v>
      </c>
      <c r="G5" s="114">
        <v>43553</v>
      </c>
      <c r="H5" s="88">
        <v>-8.1739869857152779E-3</v>
      </c>
      <c r="I5" s="88">
        <v>8.3787185463115568E-4</v>
      </c>
      <c r="J5" s="88">
        <v>1.8667501560250377E-2</v>
      </c>
      <c r="K5" s="88">
        <v>-1.3413818242013361E-3</v>
      </c>
      <c r="L5" s="88">
        <v>3.0153038170687457E-2</v>
      </c>
      <c r="M5" s="88">
        <v>1.5701007362315708E-2</v>
      </c>
      <c r="N5" s="88">
        <v>3.1201273362436777E-3</v>
      </c>
      <c r="O5" s="88">
        <v>6.3492276786587445E-3</v>
      </c>
      <c r="P5" s="88">
        <v>2.2100347000665922E-2</v>
      </c>
      <c r="Q5" s="88">
        <v>-2.8368813351996149E-3</v>
      </c>
      <c r="R5" s="88">
        <v>2.2823813565256913E-2</v>
      </c>
      <c r="S5" s="88">
        <v>0</v>
      </c>
      <c r="T5" s="88">
        <v>0</v>
      </c>
      <c r="U5" s="88">
        <v>9.3023926623136306E-3</v>
      </c>
      <c r="V5" s="88">
        <v>2.4956731973867458E-2</v>
      </c>
      <c r="W5" s="89">
        <v>1.0745523350643587E-2</v>
      </c>
    </row>
    <row r="6" spans="1:23">
      <c r="A6" s="106" t="s">
        <v>12</v>
      </c>
      <c r="B6" s="96">
        <f>STDEV(K4:K250)</f>
        <v>3.0741949442704159E-2</v>
      </c>
      <c r="C6" s="127">
        <f t="shared" si="0"/>
        <v>0</v>
      </c>
      <c r="G6" s="114">
        <v>43556</v>
      </c>
      <c r="H6" s="88">
        <v>3.2824553060184372E-4</v>
      </c>
      <c r="I6" s="88">
        <v>5.0125418235444138E-3</v>
      </c>
      <c r="J6" s="88">
        <v>1.0820274361708076E-2</v>
      </c>
      <c r="K6" s="88">
        <v>-1.3431835464676259E-3</v>
      </c>
      <c r="L6" s="88">
        <v>2.514098895810201E-2</v>
      </c>
      <c r="M6" s="88">
        <v>2.92337303446875E-2</v>
      </c>
      <c r="N6" s="88">
        <v>1.1357891844409582E-2</v>
      </c>
      <c r="O6" s="88">
        <v>0</v>
      </c>
      <c r="P6" s="88">
        <v>1.0869672236903891E-2</v>
      </c>
      <c r="Q6" s="88">
        <v>1.5504186535965254E-2</v>
      </c>
      <c r="R6" s="88">
        <v>4.7393453638965681E-3</v>
      </c>
      <c r="S6" s="88">
        <v>3.5583501700941784E-3</v>
      </c>
      <c r="T6" s="88">
        <v>4.040409537005127E-3</v>
      </c>
      <c r="U6" s="88">
        <v>9.2166551049240476E-3</v>
      </c>
      <c r="V6" s="88">
        <v>1.6760168857465101E-2</v>
      </c>
      <c r="W6" s="89">
        <v>2.68619386823329E-2</v>
      </c>
    </row>
    <row r="7" spans="1:23">
      <c r="A7" s="106" t="s">
        <v>8</v>
      </c>
      <c r="B7" s="96">
        <f>STDEV(L4:L250)</f>
        <v>4.1014332272300176E-2</v>
      </c>
      <c r="C7" s="127">
        <f t="shared" si="0"/>
        <v>0</v>
      </c>
      <c r="G7" s="114">
        <v>43557</v>
      </c>
      <c r="H7" s="88">
        <v>1.0447368938791278E-2</v>
      </c>
      <c r="I7" s="88">
        <v>0</v>
      </c>
      <c r="J7" s="88">
        <v>2.1500760809192152E-3</v>
      </c>
      <c r="K7" s="88">
        <v>-4.7154011252384439E-3</v>
      </c>
      <c r="L7" s="88">
        <v>1.3698844358161927E-2</v>
      </c>
      <c r="M7" s="88">
        <v>3.0534374868904698E-3</v>
      </c>
      <c r="N7" s="88">
        <v>-4.1152321451066549E-3</v>
      </c>
      <c r="O7" s="88">
        <v>7.7232632304626118E-3</v>
      </c>
      <c r="P7" s="88">
        <v>1.9625964456748444E-2</v>
      </c>
      <c r="Q7" s="88">
        <v>2.0761991448429006E-2</v>
      </c>
      <c r="R7" s="88">
        <v>1.6413029641330051E-2</v>
      </c>
      <c r="S7" s="88">
        <v>3.3375083128798087E-3</v>
      </c>
      <c r="T7" s="88">
        <v>1.600034134644112E-2</v>
      </c>
      <c r="U7" s="88">
        <v>0</v>
      </c>
      <c r="V7" s="88">
        <v>-9.7425961988185927E-3</v>
      </c>
      <c r="W7" s="89">
        <v>3.3008443747769606E-3</v>
      </c>
    </row>
    <row r="8" spans="1:23">
      <c r="A8" s="106" t="s">
        <v>14</v>
      </c>
      <c r="B8" s="96">
        <f>STDEV(M4:M250)</f>
        <v>3.1261317355251839E-2</v>
      </c>
      <c r="C8" s="127">
        <f t="shared" si="0"/>
        <v>0</v>
      </c>
      <c r="G8" s="114">
        <v>43558</v>
      </c>
      <c r="H8" s="88">
        <v>-9.4632783230430319E-3</v>
      </c>
      <c r="I8" s="88">
        <v>1.4888612493750559E-2</v>
      </c>
      <c r="J8" s="88">
        <v>-1.2970350442627404E-2</v>
      </c>
      <c r="K8" s="88">
        <v>-6.7544750963796684E-4</v>
      </c>
      <c r="L8" s="88">
        <v>-1.3614705983210744E-3</v>
      </c>
      <c r="M8" s="88">
        <v>8.9457465584582667E-3</v>
      </c>
      <c r="N8" s="88">
        <v>-1.1404996613990245E-2</v>
      </c>
      <c r="O8" s="88">
        <v>0</v>
      </c>
      <c r="P8" s="88">
        <v>1.0544913176614819E-2</v>
      </c>
      <c r="Q8" s="88">
        <v>0</v>
      </c>
      <c r="R8" s="88">
        <v>-9.345862418237658E-3</v>
      </c>
      <c r="S8" s="88">
        <v>3.3264063936182561E-3</v>
      </c>
      <c r="T8" s="88">
        <v>-3.9761483796392945E-3</v>
      </c>
      <c r="U8" s="88">
        <v>7.9336742236521013E-2</v>
      </c>
      <c r="V8" s="88">
        <v>-2.8011222797116675E-3</v>
      </c>
      <c r="W8" s="89">
        <v>7.9579215031303149E-3</v>
      </c>
    </row>
    <row r="9" spans="1:23">
      <c r="A9" s="106" t="s">
        <v>111</v>
      </c>
      <c r="B9" s="96">
        <f>STDEV(N4:N250)</f>
        <v>2.747416319707658E-2</v>
      </c>
      <c r="C9" s="127">
        <f t="shared" si="0"/>
        <v>0</v>
      </c>
      <c r="G9" s="114">
        <v>43559</v>
      </c>
      <c r="H9" s="88">
        <v>-1.4198686612928196E-2</v>
      </c>
      <c r="I9" s="88">
        <v>-4.9382816405825663E-3</v>
      </c>
      <c r="J9" s="88">
        <v>-1.6331867095784843E-3</v>
      </c>
      <c r="K9" s="88">
        <v>-4.7409502955304845E-3</v>
      </c>
      <c r="L9" s="88">
        <v>-1.648388972168937E-2</v>
      </c>
      <c r="M9" s="88">
        <v>-5.901604177230073E-3</v>
      </c>
      <c r="N9" s="88">
        <v>-5.2274034351517994E-3</v>
      </c>
      <c r="O9" s="88">
        <v>0</v>
      </c>
      <c r="P9" s="88">
        <v>0</v>
      </c>
      <c r="Q9" s="88">
        <v>1.3689256073417405E-3</v>
      </c>
      <c r="R9" s="88">
        <v>1.1668743834377424E-2</v>
      </c>
      <c r="S9" s="88">
        <v>-1.0222264876592183E-2</v>
      </c>
      <c r="T9" s="88">
        <v>-2.0121403199421063E-2</v>
      </c>
      <c r="U9" s="88">
        <v>4.9596941139371978E-2</v>
      </c>
      <c r="V9" s="88">
        <v>4.1987465463497612E-3</v>
      </c>
      <c r="W9" s="89">
        <v>-5.8886679800273919E-3</v>
      </c>
    </row>
    <row r="10" spans="1:23">
      <c r="A10" s="106" t="s">
        <v>49</v>
      </c>
      <c r="B10" s="96">
        <f>STDEV(O4:O250)</f>
        <v>2.2416795007458485E-2</v>
      </c>
      <c r="C10" s="127">
        <f t="shared" si="0"/>
        <v>1</v>
      </c>
      <c r="G10" s="114">
        <v>43560</v>
      </c>
      <c r="H10" s="88">
        <v>-2.6640042395200312E-3</v>
      </c>
      <c r="I10" s="88">
        <v>4.9382816405825767E-3</v>
      </c>
      <c r="J10" s="88">
        <v>1.6331867095785997E-3</v>
      </c>
      <c r="K10" s="88">
        <v>8.113634774169631E-3</v>
      </c>
      <c r="L10" s="88">
        <v>-8.3449719321806465E-3</v>
      </c>
      <c r="M10" s="88">
        <v>8.9186767318388104E-3</v>
      </c>
      <c r="N10" s="88">
        <v>-5.2548728383585855E-3</v>
      </c>
      <c r="O10" s="88">
        <v>2.978758963537343E-3</v>
      </c>
      <c r="P10" s="88">
        <v>1.7467253349418002E-3</v>
      </c>
      <c r="Q10" s="88">
        <v>-6.8634449249824004E-3</v>
      </c>
      <c r="R10" s="88">
        <v>8.0878546016989062E-3</v>
      </c>
      <c r="S10" s="88">
        <v>1.3744489589170262E-2</v>
      </c>
      <c r="T10" s="88">
        <v>1.6129381929883498E-2</v>
      </c>
      <c r="U10" s="88">
        <v>1.2024192966801812E-2</v>
      </c>
      <c r="V10" s="88">
        <v>6.9589703243035225E-3</v>
      </c>
      <c r="W10" s="89">
        <v>1.2565023722950831E-2</v>
      </c>
    </row>
    <row r="11" spans="1:23">
      <c r="A11" s="106" t="s">
        <v>37</v>
      </c>
      <c r="B11" s="96">
        <f>STDEV(P4:P250)</f>
        <v>2.3664796815943485E-2</v>
      </c>
      <c r="C11" s="127">
        <f t="shared" si="0"/>
        <v>1</v>
      </c>
      <c r="G11" s="114">
        <v>43563</v>
      </c>
      <c r="H11" s="88">
        <v>-1.2414183921264869E-2</v>
      </c>
      <c r="I11" s="88">
        <v>8.2068121142913535E-4</v>
      </c>
      <c r="J11" s="88">
        <v>1.0820274361708076E-2</v>
      </c>
      <c r="K11" s="88">
        <v>3.3613477027049274E-3</v>
      </c>
      <c r="L11" s="88">
        <v>-1.9746762934834558E-2</v>
      </c>
      <c r="M11" s="88">
        <v>0</v>
      </c>
      <c r="N11" s="88">
        <v>-8.4656590245482388E-3</v>
      </c>
      <c r="O11" s="88">
        <v>-2.9787589635373035E-3</v>
      </c>
      <c r="P11" s="88">
        <v>1.214238682572534E-2</v>
      </c>
      <c r="Q11" s="88">
        <v>-1.1080445776571907E-2</v>
      </c>
      <c r="R11" s="88">
        <v>3.5051638058918796E-2</v>
      </c>
      <c r="S11" s="88">
        <v>0</v>
      </c>
      <c r="T11" s="88">
        <v>7.9681696491768813E-3</v>
      </c>
      <c r="U11" s="88">
        <v>3.5228691883743814E-2</v>
      </c>
      <c r="V11" s="88">
        <v>6.9108775398470101E-3</v>
      </c>
      <c r="W11" s="89">
        <v>-1.1140584706615295E-3</v>
      </c>
    </row>
    <row r="12" spans="1:23">
      <c r="A12" s="106" t="s">
        <v>26</v>
      </c>
      <c r="B12" s="96">
        <f>STDEV(Q4:Q250)</f>
        <v>2.4786506673103212E-2</v>
      </c>
      <c r="C12" s="127">
        <f t="shared" si="0"/>
        <v>0</v>
      </c>
      <c r="G12" s="114">
        <v>43564</v>
      </c>
      <c r="H12" s="88">
        <v>-7.1150562737491247E-3</v>
      </c>
      <c r="I12" s="88">
        <v>-4.1101578618278753E-3</v>
      </c>
      <c r="J12" s="88">
        <v>1.3893565369686662E-2</v>
      </c>
      <c r="K12" s="88">
        <v>0</v>
      </c>
      <c r="L12" s="88">
        <v>-1.2903404835907954E-2</v>
      </c>
      <c r="M12" s="88">
        <v>2.6442908133874368E-2</v>
      </c>
      <c r="N12" s="88">
        <v>9.5188450092068399E-3</v>
      </c>
      <c r="O12" s="88">
        <v>6.1047383768295443E-3</v>
      </c>
      <c r="P12" s="88">
        <v>1.3698844358161927E-2</v>
      </c>
      <c r="Q12" s="88">
        <v>-8.3916576362484015E-3</v>
      </c>
      <c r="R12" s="88">
        <v>-2.2246950221110513E-3</v>
      </c>
      <c r="S12" s="88">
        <v>6.5966019460595238E-3</v>
      </c>
      <c r="T12" s="88">
        <v>3.9604012160969143E-3</v>
      </c>
      <c r="U12" s="88">
        <v>-1.1605546120308003E-2</v>
      </c>
      <c r="V12" s="88">
        <v>0</v>
      </c>
      <c r="W12" s="89">
        <v>-5.5749500362123577E-4</v>
      </c>
    </row>
    <row r="13" spans="1:23">
      <c r="A13" s="17" t="s">
        <v>45</v>
      </c>
      <c r="B13" s="96">
        <f>STDEV(R4:R250)</f>
        <v>2.6601836090063911E-2</v>
      </c>
      <c r="C13" s="127">
        <f t="shared" si="0"/>
        <v>0</v>
      </c>
      <c r="G13" s="114">
        <v>43565</v>
      </c>
      <c r="H13" s="88">
        <v>1.986262909625169E-2</v>
      </c>
      <c r="I13" s="88">
        <v>1.3093476747019604E-2</v>
      </c>
      <c r="J13" s="88">
        <v>-7.4571561080821634E-3</v>
      </c>
      <c r="K13" s="88">
        <v>-4.0349752121791056E-3</v>
      </c>
      <c r="L13" s="88">
        <v>1.441961316901184E-3</v>
      </c>
      <c r="M13" s="88">
        <v>-1.0087770810268449E-2</v>
      </c>
      <c r="N13" s="88">
        <v>-8.4567100182235087E-3</v>
      </c>
      <c r="O13" s="88">
        <v>4.5153833044207503E-3</v>
      </c>
      <c r="P13" s="88">
        <v>0</v>
      </c>
      <c r="Q13" s="88">
        <v>1.1173300598125255E-2</v>
      </c>
      <c r="R13" s="88">
        <v>2.7459166200652505E-2</v>
      </c>
      <c r="S13" s="88">
        <v>1.670780511843176E-2</v>
      </c>
      <c r="T13" s="88">
        <v>0</v>
      </c>
      <c r="U13" s="88">
        <v>-3.8986404156571976E-3</v>
      </c>
      <c r="V13" s="88">
        <v>0</v>
      </c>
      <c r="W13" s="89">
        <v>3.1418010983106908E-3</v>
      </c>
    </row>
    <row r="14" spans="1:23">
      <c r="A14" s="17" t="s">
        <v>65</v>
      </c>
      <c r="B14" s="96">
        <f>STDEV(S4:S250)</f>
        <v>2.9248392369663163E-2</v>
      </c>
      <c r="C14" s="127">
        <f t="shared" si="0"/>
        <v>0</v>
      </c>
      <c r="G14" s="114">
        <v>43566</v>
      </c>
      <c r="H14" s="88">
        <v>-9.3771618125970436E-3</v>
      </c>
      <c r="I14" s="88">
        <v>1.8526506529604993E-2</v>
      </c>
      <c r="J14" s="88">
        <v>1.0687187081115956E-3</v>
      </c>
      <c r="K14" s="88">
        <v>-2.6990569691649467E-3</v>
      </c>
      <c r="L14" s="88">
        <v>7.1787817270057702E-3</v>
      </c>
      <c r="M14" s="88">
        <v>1.4028526967496337E-3</v>
      </c>
      <c r="N14" s="88">
        <v>1.1609629077838942E-2</v>
      </c>
      <c r="O14" s="88">
        <v>4.4950862327624817E-3</v>
      </c>
      <c r="P14" s="88">
        <v>2.3530497410194036E-2</v>
      </c>
      <c r="Q14" s="88">
        <v>1.3793322132335769E-2</v>
      </c>
      <c r="R14" s="88">
        <v>1.8250640761197433E-2</v>
      </c>
      <c r="S14" s="88">
        <v>7.0029580500212074E-2</v>
      </c>
      <c r="T14" s="88">
        <v>0</v>
      </c>
      <c r="U14" s="88">
        <v>0</v>
      </c>
      <c r="V14" s="88">
        <v>5.4945193176407798E-3</v>
      </c>
      <c r="W14" s="89">
        <v>1.1318442032973032E-2</v>
      </c>
    </row>
    <row r="15" spans="1:23">
      <c r="A15" s="106" t="s">
        <v>85</v>
      </c>
      <c r="B15" s="96">
        <f>STDEV(T4:T250)</f>
        <v>1.9720994512796044E-2</v>
      </c>
      <c r="C15" s="127">
        <f t="shared" si="0"/>
        <v>1</v>
      </c>
      <c r="G15" s="114">
        <v>43567</v>
      </c>
      <c r="H15" s="88">
        <v>8.7102728248933201E-3</v>
      </c>
      <c r="I15" s="88">
        <v>-8.8176924026441943E-3</v>
      </c>
      <c r="J15" s="88">
        <v>0</v>
      </c>
      <c r="K15" s="88">
        <v>1.6750810424815351E-2</v>
      </c>
      <c r="L15" s="88">
        <v>-1.8773114507924887E-2</v>
      </c>
      <c r="M15" s="88">
        <v>7.2942047625859782E-3</v>
      </c>
      <c r="N15" s="88">
        <v>6.2761712292362043E-3</v>
      </c>
      <c r="O15" s="88">
        <v>2.8510201456509111E-2</v>
      </c>
      <c r="P15" s="88">
        <v>-3.3277900926745796E-3</v>
      </c>
      <c r="Q15" s="88">
        <v>1.8996500690655085E-2</v>
      </c>
      <c r="R15" s="88">
        <v>7.4192179220286467E-3</v>
      </c>
      <c r="S15" s="88">
        <v>4.512320578950918E-2</v>
      </c>
      <c r="T15" s="88">
        <v>5.7597491783336542E-2</v>
      </c>
      <c r="U15" s="88">
        <v>-1.178795575204224E-2</v>
      </c>
      <c r="V15" s="88">
        <v>-1.3708021337787146E-3</v>
      </c>
      <c r="W15" s="89">
        <v>2.0133357565718228E-3</v>
      </c>
    </row>
    <row r="16" spans="1:23">
      <c r="A16" s="17" t="s">
        <v>55</v>
      </c>
      <c r="B16" s="96">
        <f>STDEV(U4:U250)</f>
        <v>3.242669162394219E-2</v>
      </c>
      <c r="C16" s="127">
        <f t="shared" si="0"/>
        <v>0</v>
      </c>
      <c r="G16" s="114">
        <v>43570</v>
      </c>
      <c r="H16" s="88">
        <v>2.2428380769216376E-2</v>
      </c>
      <c r="I16" s="88">
        <v>-1.6116038943415328E-3</v>
      </c>
      <c r="J16" s="88">
        <v>0</v>
      </c>
      <c r="K16" s="88">
        <v>5.9622568144180434E-3</v>
      </c>
      <c r="L16" s="88">
        <v>6.4902886235426172E-2</v>
      </c>
      <c r="M16" s="88">
        <v>-1.3926501283721847E-3</v>
      </c>
      <c r="N16" s="88">
        <v>5.2002197271074982E-3</v>
      </c>
      <c r="O16" s="88">
        <v>2.8517842966951654E-3</v>
      </c>
      <c r="P16" s="88">
        <v>4.9875415110391882E-3</v>
      </c>
      <c r="Q16" s="88">
        <v>-8.0972102326194745E-3</v>
      </c>
      <c r="R16" s="88">
        <v>2.8112210456456781E-2</v>
      </c>
      <c r="S16" s="88">
        <v>2.3316887975384008E-2</v>
      </c>
      <c r="T16" s="88">
        <v>4.0224801310508797E-2</v>
      </c>
      <c r="U16" s="88">
        <v>3.9447782910163251E-3</v>
      </c>
      <c r="V16" s="88">
        <v>1.3708021337786216E-3</v>
      </c>
      <c r="W16" s="89">
        <v>1.0187330661690905E-2</v>
      </c>
    </row>
    <row r="17" spans="1:23">
      <c r="A17" s="17" t="s">
        <v>71</v>
      </c>
      <c r="B17" s="96">
        <f>STDEV(V4:V250)</f>
        <v>1.4087412336604026E-2</v>
      </c>
      <c r="C17" s="127">
        <f t="shared" si="0"/>
        <v>1</v>
      </c>
      <c r="G17" s="114">
        <v>43571</v>
      </c>
      <c r="H17" s="88">
        <v>1.4248945741520492E-2</v>
      </c>
      <c r="I17" s="88">
        <v>7.2318515264951869E-3</v>
      </c>
      <c r="J17" s="88">
        <v>-2.1385807979624927E-3</v>
      </c>
      <c r="K17" s="88">
        <v>3.5683318735638396E-2</v>
      </c>
      <c r="L17" s="88">
        <v>1.2220111334775397E-2</v>
      </c>
      <c r="M17" s="88">
        <v>-1.1838144480031792E-2</v>
      </c>
      <c r="N17" s="88">
        <v>0</v>
      </c>
      <c r="O17" s="88">
        <v>-1.4999252849577148E-3</v>
      </c>
      <c r="P17" s="88">
        <v>8.2576852389816373E-3</v>
      </c>
      <c r="Q17" s="88">
        <v>-2.7137058715961618E-3</v>
      </c>
      <c r="R17" s="88">
        <v>1.02145934097182E-2</v>
      </c>
      <c r="S17" s="88">
        <v>-2.6202372394024072E-2</v>
      </c>
      <c r="T17" s="88">
        <v>2.8270433938255526E-2</v>
      </c>
      <c r="U17" s="88">
        <v>-7.9051795071132611E-3</v>
      </c>
      <c r="V17" s="88">
        <v>0</v>
      </c>
      <c r="W17" s="89">
        <v>2.930376655621967E-3</v>
      </c>
    </row>
    <row r="18" spans="1:23">
      <c r="G18" s="114">
        <v>43572</v>
      </c>
      <c r="H18" s="88">
        <v>-3.2159511452609243E-4</v>
      </c>
      <c r="I18" s="88">
        <v>-1.9402387146750365E-2</v>
      </c>
      <c r="J18" s="88">
        <v>1.0698620898509212E-3</v>
      </c>
      <c r="K18" s="88">
        <v>2.8896482923724286E-2</v>
      </c>
      <c r="L18" s="88">
        <v>-1.4956091153650104E-2</v>
      </c>
      <c r="M18" s="88">
        <v>1.4621507959336958E-2</v>
      </c>
      <c r="N18" s="88">
        <v>-1.3577232065155372E-2</v>
      </c>
      <c r="O18" s="88">
        <v>5.9862495436308052E-3</v>
      </c>
      <c r="P18" s="88">
        <v>-1.6460909066686805E-3</v>
      </c>
      <c r="Q18" s="88">
        <v>2.7137058715961042E-3</v>
      </c>
      <c r="R18" s="88">
        <v>-9.1884260544062551E-3</v>
      </c>
      <c r="S18" s="88">
        <v>8.8106296821549059E-3</v>
      </c>
      <c r="T18" s="88">
        <v>3.4782643763247925E-3</v>
      </c>
      <c r="U18" s="88">
        <v>1.1834457647002798E-2</v>
      </c>
      <c r="V18" s="88">
        <v>0</v>
      </c>
      <c r="W18" s="89">
        <v>-3.0208773182776772E-3</v>
      </c>
    </row>
    <row r="19" spans="1:23">
      <c r="G19" s="114">
        <v>43573</v>
      </c>
      <c r="H19" s="88">
        <v>2.5698697085832986E-3</v>
      </c>
      <c r="I19" s="88">
        <v>5.6980211146377959E-3</v>
      </c>
      <c r="J19" s="88">
        <v>0</v>
      </c>
      <c r="K19" s="88">
        <v>-5.5883411500499301E-3</v>
      </c>
      <c r="L19" s="88">
        <v>9.543358046899696E-3</v>
      </c>
      <c r="M19" s="88">
        <v>0</v>
      </c>
      <c r="N19" s="88">
        <v>-1.0520779508037803E-3</v>
      </c>
      <c r="O19" s="88">
        <v>4.3177317134572811E-3</v>
      </c>
      <c r="P19" s="88">
        <v>9.8361448767129694E-3</v>
      </c>
      <c r="Q19" s="88">
        <v>9.4403937790871265E-3</v>
      </c>
      <c r="R19" s="88">
        <v>0</v>
      </c>
      <c r="S19" s="88">
        <v>2.8762459118168673E-2</v>
      </c>
      <c r="T19" s="88">
        <v>-1.0471299867295478E-2</v>
      </c>
      <c r="U19" s="88">
        <v>-7.874056430905883E-3</v>
      </c>
      <c r="V19" s="88">
        <v>4.1011677442146068E-3</v>
      </c>
      <c r="W19" s="89">
        <v>6.418126757328356E-3</v>
      </c>
    </row>
    <row r="20" spans="1:23">
      <c r="A20" s="109" t="s">
        <v>110</v>
      </c>
      <c r="B20" s="43">
        <f>STDEV(W4:W250)</f>
        <v>2.3840761144135622E-2</v>
      </c>
      <c r="C20" s="112" t="s">
        <v>137</v>
      </c>
      <c r="G20" s="114">
        <v>43578</v>
      </c>
      <c r="H20" s="88">
        <v>2.7216869841821034E-2</v>
      </c>
      <c r="I20" s="88">
        <v>-6.5146810211937538E-3</v>
      </c>
      <c r="J20" s="88">
        <v>2.1362964757818174E-3</v>
      </c>
      <c r="K20" s="88">
        <v>-1.1271252699625771E-2</v>
      </c>
      <c r="L20" s="88">
        <v>-1.3577734604603596E-3</v>
      </c>
      <c r="M20" s="88">
        <v>-1.3055827351415125E-2</v>
      </c>
      <c r="N20" s="88">
        <v>-2.1074823395646983E-3</v>
      </c>
      <c r="O20" s="88">
        <v>5.7773658956076137E-3</v>
      </c>
      <c r="P20" s="88">
        <v>-4.9059787688545183E-3</v>
      </c>
      <c r="Q20" s="88">
        <v>-5.3835930834726427E-3</v>
      </c>
      <c r="R20" s="88">
        <v>2.0305266160745523E-2</v>
      </c>
      <c r="S20" s="88">
        <v>2.9526725750566923E-3</v>
      </c>
      <c r="T20" s="88">
        <v>0</v>
      </c>
      <c r="U20" s="88">
        <v>-7.9365495957363034E-3</v>
      </c>
      <c r="V20" s="88">
        <v>-1.3651879253399699E-3</v>
      </c>
      <c r="W20" s="89">
        <v>-2.5983729775915826E-3</v>
      </c>
    </row>
    <row r="21" spans="1:23">
      <c r="C21" t="s">
        <v>138</v>
      </c>
      <c r="G21" s="114">
        <v>43579</v>
      </c>
      <c r="H21" s="88">
        <v>-2.8138208342004508E-3</v>
      </c>
      <c r="I21" s="88">
        <v>8.1665990655596524E-4</v>
      </c>
      <c r="J21" s="88">
        <v>0</v>
      </c>
      <c r="K21" s="88">
        <v>1.9950786419348693E-2</v>
      </c>
      <c r="L21" s="88">
        <v>-2.7210901143606132E-3</v>
      </c>
      <c r="M21" s="88">
        <v>-5.9626726166491948E-3</v>
      </c>
      <c r="N21" s="88">
        <v>1.0542963549059923E-3</v>
      </c>
      <c r="O21" s="88">
        <v>-1.4781968693108945E-3</v>
      </c>
      <c r="P21" s="88">
        <v>-1.486402263214928E-2</v>
      </c>
      <c r="Q21" s="88">
        <v>-6.7705065672106022E-3</v>
      </c>
      <c r="R21" s="88">
        <v>5.0125418235444138E-3</v>
      </c>
      <c r="S21" s="88">
        <v>-2.0146078568504248E-2</v>
      </c>
      <c r="T21" s="88">
        <v>-1.4134510934904693E-2</v>
      </c>
      <c r="U21" s="88">
        <v>-3.9920212695375608E-3</v>
      </c>
      <c r="V21" s="88">
        <v>0</v>
      </c>
      <c r="W21" s="89">
        <v>-4.8287442281866313E-3</v>
      </c>
    </row>
    <row r="22" spans="1:23">
      <c r="G22" s="114">
        <v>43580</v>
      </c>
      <c r="H22" s="88">
        <v>-1.2531329960675333E-3</v>
      </c>
      <c r="I22" s="88">
        <v>4.0733253876358688E-3</v>
      </c>
      <c r="J22" s="88">
        <v>-3.2061585656328498E-3</v>
      </c>
      <c r="K22" s="88">
        <v>3.0816665374081144E-3</v>
      </c>
      <c r="L22" s="88">
        <v>-1.3633267278640533E-3</v>
      </c>
      <c r="M22" s="88">
        <v>5.9626726166492287E-3</v>
      </c>
      <c r="N22" s="88">
        <v>1.1524485851953918E-2</v>
      </c>
      <c r="O22" s="88">
        <v>0</v>
      </c>
      <c r="P22" s="88">
        <v>9.9338565242906747E-3</v>
      </c>
      <c r="Q22" s="88">
        <v>-1.6438726343159835E-2</v>
      </c>
      <c r="R22" s="88">
        <v>0</v>
      </c>
      <c r="S22" s="88">
        <v>0</v>
      </c>
      <c r="T22" s="88">
        <v>3.5524016043677006E-3</v>
      </c>
      <c r="U22" s="88">
        <v>3.9920212695374567E-3</v>
      </c>
      <c r="V22" s="88">
        <v>2.7285146532039142E-3</v>
      </c>
      <c r="W22" s="89">
        <v>1.0353306596537067E-4</v>
      </c>
    </row>
    <row r="23" spans="1:23">
      <c r="G23" s="114">
        <v>43585</v>
      </c>
      <c r="H23" s="88">
        <v>6.2676279080933252E-4</v>
      </c>
      <c r="I23" s="88">
        <v>6.483004878078312E-3</v>
      </c>
      <c r="J23" s="88">
        <v>2.6409055645296838E-2</v>
      </c>
      <c r="K23" s="88">
        <v>-3.0816665374081122E-3</v>
      </c>
      <c r="L23" s="88">
        <v>1.2203541280729063E-2</v>
      </c>
      <c r="M23" s="88">
        <v>2.9680565411466346E-3</v>
      </c>
      <c r="N23" s="88">
        <v>8.2988028146950641E-3</v>
      </c>
      <c r="O23" s="88">
        <v>5.899722127188322E-3</v>
      </c>
      <c r="P23" s="88">
        <v>-1.9967385513868497E-2</v>
      </c>
      <c r="Q23" s="88">
        <v>2.0506528562485277E-2</v>
      </c>
      <c r="R23" s="88">
        <v>3.4401426717332317E-2</v>
      </c>
      <c r="S23" s="88">
        <v>8.8090774017384622E-3</v>
      </c>
      <c r="T23" s="88">
        <v>7.0671672230923528E-3</v>
      </c>
      <c r="U23" s="88">
        <v>-3.9920212695375608E-3</v>
      </c>
      <c r="V23" s="88">
        <v>1.3614705983211706E-3</v>
      </c>
      <c r="W23" s="89">
        <v>6.4683892085712423E-4</v>
      </c>
    </row>
    <row r="24" spans="1:23">
      <c r="G24" s="114">
        <v>43587</v>
      </c>
      <c r="H24" s="88">
        <v>2.1079515791053913E-2</v>
      </c>
      <c r="I24" s="88">
        <v>-1.0556330265714136E-2</v>
      </c>
      <c r="J24" s="88">
        <v>-1.0430792642827065E-3</v>
      </c>
      <c r="K24" s="88">
        <v>-9.3023926623134485E-3</v>
      </c>
      <c r="L24" s="88">
        <v>1.0723963362975642E-2</v>
      </c>
      <c r="M24" s="88">
        <v>2.8037401544295714E-3</v>
      </c>
      <c r="N24" s="88">
        <v>-3.1039859375909962E-3</v>
      </c>
      <c r="O24" s="88">
        <v>-2.3358943498956883E-2</v>
      </c>
      <c r="P24" s="88">
        <v>8.3682496705165792E-3</v>
      </c>
      <c r="Q24" s="88">
        <v>-5.4274217353651281E-3</v>
      </c>
      <c r="R24" s="88">
        <v>3.7919234862293677E-2</v>
      </c>
      <c r="S24" s="88">
        <v>0</v>
      </c>
      <c r="T24" s="88">
        <v>3.1198370855861333E-2</v>
      </c>
      <c r="U24" s="88">
        <v>1.980262729617973E-2</v>
      </c>
      <c r="V24" s="88">
        <v>-1.3614705983210744E-3</v>
      </c>
      <c r="W24" s="89">
        <v>2.479980604557563E-3</v>
      </c>
    </row>
    <row r="25" spans="1:23">
      <c r="G25" s="114">
        <v>43588</v>
      </c>
      <c r="H25" s="88">
        <v>-1.2035325029554544E-2</v>
      </c>
      <c r="I25" s="88">
        <v>-2.0619287202735703E-2</v>
      </c>
      <c r="J25" s="88">
        <v>-1.5248205421734563E-2</v>
      </c>
      <c r="K25" s="88">
        <v>2.4891114282669258E-3</v>
      </c>
      <c r="L25" s="88">
        <v>9.290046907092734E-3</v>
      </c>
      <c r="M25" s="88">
        <v>-1.315190399319878E-2</v>
      </c>
      <c r="N25" s="88">
        <v>-1.0368067284402492E-3</v>
      </c>
      <c r="O25" s="88">
        <v>1.745922137176855E-2</v>
      </c>
      <c r="P25" s="88">
        <v>1.3245226750020723E-2</v>
      </c>
      <c r="Q25" s="88">
        <v>-1.3614705983210744E-3</v>
      </c>
      <c r="R25" s="88">
        <v>3.203935374461666E-2</v>
      </c>
      <c r="S25" s="88">
        <v>0</v>
      </c>
      <c r="T25" s="88">
        <v>-3.418806748785609E-3</v>
      </c>
      <c r="U25" s="88">
        <v>-1.5810606026642204E-2</v>
      </c>
      <c r="V25" s="88">
        <v>-1.3633267278640533E-3</v>
      </c>
      <c r="W25" s="89">
        <v>-1.0196641155032304E-3</v>
      </c>
    </row>
    <row r="26" spans="1:23">
      <c r="G26" s="114">
        <v>43591</v>
      </c>
      <c r="H26" s="88">
        <v>-1.15536023669252E-2</v>
      </c>
      <c r="I26" s="88">
        <v>-2.1053409197832381E-2</v>
      </c>
      <c r="J26" s="88">
        <v>-2.4674068733486987E-2</v>
      </c>
      <c r="K26" s="88">
        <v>-1.1878851778105954E-2</v>
      </c>
      <c r="L26" s="88">
        <v>-3.3582739476137262E-2</v>
      </c>
      <c r="M26" s="88">
        <v>-1.9575702690905621E-2</v>
      </c>
      <c r="N26" s="88">
        <v>-2.0768439448392282E-3</v>
      </c>
      <c r="O26" s="88">
        <v>-8.6169007397540083E-3</v>
      </c>
      <c r="P26" s="88">
        <v>-2.1613476420537188E-2</v>
      </c>
      <c r="Q26" s="88">
        <v>-4.0955688647370822E-3</v>
      </c>
      <c r="R26" s="88">
        <v>-6.9958588606910344E-2</v>
      </c>
      <c r="S26" s="88">
        <v>-2.9188760208614665E-2</v>
      </c>
      <c r="T26" s="88">
        <v>-4.1964199099032082E-2</v>
      </c>
      <c r="U26" s="88">
        <v>-3.9920212695375608E-3</v>
      </c>
      <c r="V26" s="88">
        <v>1.3633267278641253E-3</v>
      </c>
      <c r="W26" s="89">
        <v>-2.6392210718288657E-2</v>
      </c>
    </row>
    <row r="27" spans="1:23">
      <c r="G27" s="114">
        <v>43592</v>
      </c>
      <c r="H27" s="88">
        <v>1.1553602366925209E-2</v>
      </c>
      <c r="I27" s="88">
        <v>-1.4573768445318783E-2</v>
      </c>
      <c r="J27" s="88">
        <v>1.6278694788049227E-3</v>
      </c>
      <c r="K27" s="88">
        <v>1.8692133012152546E-2</v>
      </c>
      <c r="L27" s="88">
        <v>2.0284671171505717E-2</v>
      </c>
      <c r="M27" s="88">
        <v>-3.0583524844648153E-3</v>
      </c>
      <c r="N27" s="88">
        <v>-2.0811662038245117E-3</v>
      </c>
      <c r="O27" s="88">
        <v>5.8022925561830177E-3</v>
      </c>
      <c r="P27" s="88">
        <v>1.1696039763191236E-2</v>
      </c>
      <c r="Q27" s="88">
        <v>1.7627575083313456E-2</v>
      </c>
      <c r="R27" s="88">
        <v>-4.8426244757879032E-3</v>
      </c>
      <c r="S27" s="88">
        <v>-1.1808657520580693E-2</v>
      </c>
      <c r="T27" s="88">
        <v>0</v>
      </c>
      <c r="U27" s="88">
        <v>-4.0080213975388218E-3</v>
      </c>
      <c r="V27" s="88">
        <v>0</v>
      </c>
      <c r="W27" s="89">
        <v>6.3046660985129049E-3</v>
      </c>
    </row>
    <row r="28" spans="1:23">
      <c r="G28" s="114">
        <v>43593</v>
      </c>
      <c r="H28" s="88">
        <v>-5.9162557745387461E-3</v>
      </c>
      <c r="I28" s="88">
        <v>-6.9324367756447907E-3</v>
      </c>
      <c r="J28" s="88">
        <v>-1.4197027794216961E-2</v>
      </c>
      <c r="K28" s="88">
        <v>-4.1593897298837015E-2</v>
      </c>
      <c r="L28" s="88">
        <v>-4.2385018172171766E-2</v>
      </c>
      <c r="M28" s="88">
        <v>-9.0688880661080485E-3</v>
      </c>
      <c r="N28" s="88">
        <v>-1.9990144876502271E-2</v>
      </c>
      <c r="O28" s="88">
        <v>-7.2954987467242337E-3</v>
      </c>
      <c r="P28" s="88">
        <v>-1.0016778243471232E-2</v>
      </c>
      <c r="Q28" s="88">
        <v>-1.3532006218576385E-2</v>
      </c>
      <c r="R28" s="88">
        <v>0</v>
      </c>
      <c r="S28" s="88">
        <v>-6.0489598794257046E-3</v>
      </c>
      <c r="T28" s="88">
        <v>7.1174677688639549E-3</v>
      </c>
      <c r="U28" s="88">
        <v>-1.6194685919980606E-2</v>
      </c>
      <c r="V28" s="88">
        <v>0</v>
      </c>
      <c r="W28" s="89">
        <v>-2.1252747345379495E-2</v>
      </c>
    </row>
    <row r="29" spans="1:23">
      <c r="G29" s="114">
        <v>43594</v>
      </c>
      <c r="H29" s="88">
        <v>-6.2480476884219582E-4</v>
      </c>
      <c r="I29" s="88">
        <v>-1.5775962594167435E-2</v>
      </c>
      <c r="J29" s="88">
        <v>-3.0713229885406833E-2</v>
      </c>
      <c r="K29" s="88">
        <v>-1.4258180627056076E-2</v>
      </c>
      <c r="L29" s="88">
        <v>-4.1345874738296186E-2</v>
      </c>
      <c r="M29" s="88">
        <v>-4.5654734444689603E-3</v>
      </c>
      <c r="N29" s="88">
        <v>-3.3498540074484009E-2</v>
      </c>
      <c r="O29" s="88">
        <v>-1.323725706669595E-2</v>
      </c>
      <c r="P29" s="88">
        <v>-3.4133006369458582E-2</v>
      </c>
      <c r="Q29" s="88">
        <v>-5.4644944720787375E-3</v>
      </c>
      <c r="R29" s="88">
        <v>-3.055930257512797E-2</v>
      </c>
      <c r="S29" s="88">
        <v>-3.3654325833616501E-2</v>
      </c>
      <c r="T29" s="88">
        <v>-2.5135973271542274E-2</v>
      </c>
      <c r="U29" s="88">
        <v>0</v>
      </c>
      <c r="V29" s="88">
        <v>-2.7285146532040625E-3</v>
      </c>
      <c r="W29" s="89">
        <v>-1.9557169475743166E-2</v>
      </c>
    </row>
    <row r="30" spans="1:23">
      <c r="G30" s="114">
        <v>43595</v>
      </c>
      <c r="H30" s="88">
        <v>-1.1313759900273404E-2</v>
      </c>
      <c r="I30" s="88">
        <v>1.7652255245691492E-3</v>
      </c>
      <c r="J30" s="88">
        <v>1.07170070800383E-2</v>
      </c>
      <c r="K30" s="88">
        <v>-1.4464420491566612E-2</v>
      </c>
      <c r="L30" s="88">
        <v>2.5863510589919154E-2</v>
      </c>
      <c r="M30" s="88">
        <v>1.4697479578867161E-3</v>
      </c>
      <c r="N30" s="88">
        <v>-1.5504186535965086E-2</v>
      </c>
      <c r="O30" s="88">
        <v>-3.0330626831129252E-3</v>
      </c>
      <c r="P30" s="88">
        <v>1.7212128881121426E-2</v>
      </c>
      <c r="Q30" s="88">
        <v>-2.7434859457508326E-3</v>
      </c>
      <c r="R30" s="88">
        <v>6.8659148807398193E-2</v>
      </c>
      <c r="S30" s="88">
        <v>2.4604490313698463E-2</v>
      </c>
      <c r="T30" s="88">
        <v>1.8018505502678212E-2</v>
      </c>
      <c r="U30" s="88">
        <v>-1.2320484388040624E-2</v>
      </c>
      <c r="V30" s="88">
        <v>0</v>
      </c>
      <c r="W30" s="89">
        <v>1.009137149144901E-2</v>
      </c>
    </row>
    <row r="31" spans="1:23">
      <c r="G31" s="114">
        <v>43598</v>
      </c>
      <c r="H31" s="88">
        <v>-1.4324612279741264E-2</v>
      </c>
      <c r="I31" s="88">
        <v>0</v>
      </c>
      <c r="J31" s="88">
        <v>-1.3556466083608075E-2</v>
      </c>
      <c r="K31" s="88">
        <v>-2.0067563050809142E-2</v>
      </c>
      <c r="L31" s="88">
        <v>-2.7320175086383239E-2</v>
      </c>
      <c r="M31" s="88">
        <v>-1.5458291701420834E-2</v>
      </c>
      <c r="N31" s="88">
        <v>-1.9155515289753716E-2</v>
      </c>
      <c r="O31" s="88">
        <v>-4.4143461591054731E-3</v>
      </c>
      <c r="P31" s="88">
        <v>-2.0690393257446166E-2</v>
      </c>
      <c r="Q31" s="88">
        <v>-1.6620881236040407E-2</v>
      </c>
      <c r="R31" s="88">
        <v>-9.3897403498390316E-3</v>
      </c>
      <c r="S31" s="88">
        <v>6.1037829380178859E-3</v>
      </c>
      <c r="T31" s="88">
        <v>-3.2670782289548707E-2</v>
      </c>
      <c r="U31" s="88">
        <v>4.1237171838621562E-3</v>
      </c>
      <c r="V31" s="88">
        <v>-1.3670542115330011E-3</v>
      </c>
      <c r="W31" s="89">
        <v>-1.5554925924570773E-2</v>
      </c>
    </row>
    <row r="32" spans="1:23">
      <c r="G32" s="114">
        <v>43599</v>
      </c>
      <c r="H32" s="88">
        <v>1.6219150263523049E-2</v>
      </c>
      <c r="I32" s="88">
        <v>1.0526412986987603E-2</v>
      </c>
      <c r="J32" s="88">
        <v>-1.9409165131132878E-2</v>
      </c>
      <c r="K32" s="88">
        <v>-1.29209550074613E-2</v>
      </c>
      <c r="L32" s="88">
        <v>2.4479264084779628E-2</v>
      </c>
      <c r="M32" s="88">
        <v>1.0878630442396208E-2</v>
      </c>
      <c r="N32" s="88">
        <v>-2.1852508437623493E-2</v>
      </c>
      <c r="O32" s="88">
        <v>0</v>
      </c>
      <c r="P32" s="88">
        <v>3.4782643763247925E-3</v>
      </c>
      <c r="Q32" s="88">
        <v>1.2491487894029053E-2</v>
      </c>
      <c r="R32" s="88">
        <v>1.6374634871790104E-2</v>
      </c>
      <c r="S32" s="88">
        <v>2.946052581900175E-3</v>
      </c>
      <c r="T32" s="88">
        <v>1.1009285508369175E-2</v>
      </c>
      <c r="U32" s="88">
        <v>2.8399474521697957E-2</v>
      </c>
      <c r="V32" s="88">
        <v>0</v>
      </c>
      <c r="W32" s="89">
        <v>1.0173698146772469E-2</v>
      </c>
    </row>
    <row r="33" spans="7:23">
      <c r="G33" s="114">
        <v>43600</v>
      </c>
      <c r="H33" s="88">
        <v>5.9758001387313726E-3</v>
      </c>
      <c r="I33" s="88">
        <v>-9.6449673591819558E-3</v>
      </c>
      <c r="J33" s="88">
        <v>-2.9420808747892629E-2</v>
      </c>
      <c r="K33" s="88">
        <v>-1.3783815751177337E-2</v>
      </c>
      <c r="L33" s="88">
        <v>1.2721019601310861E-2</v>
      </c>
      <c r="M33" s="88">
        <v>-1.5529801618126926E-2</v>
      </c>
      <c r="N33" s="88">
        <v>-1.996543124569793E-2</v>
      </c>
      <c r="O33" s="88">
        <v>-1.0582109330536972E-2</v>
      </c>
      <c r="P33" s="88">
        <v>1.0362787035546658E-2</v>
      </c>
      <c r="Q33" s="88">
        <v>-5.5325175697256666E-3</v>
      </c>
      <c r="R33" s="88">
        <v>-2.5853378826333782E-2</v>
      </c>
      <c r="S33" s="88">
        <v>0</v>
      </c>
      <c r="T33" s="88">
        <v>-3.6563112031104319E-3</v>
      </c>
      <c r="U33" s="88">
        <v>-1.2072581234269249E-2</v>
      </c>
      <c r="V33" s="88">
        <v>-1.3689256073417322E-3</v>
      </c>
      <c r="W33" s="89">
        <v>-1.2619244535659329E-2</v>
      </c>
    </row>
    <row r="34" spans="7:23">
      <c r="G34" s="114">
        <v>43601</v>
      </c>
      <c r="H34" s="88">
        <v>6.2519740997994035E-3</v>
      </c>
      <c r="I34" s="88">
        <v>-1.7636688874967041E-3</v>
      </c>
      <c r="J34" s="88">
        <v>-3.5893793023571946E-3</v>
      </c>
      <c r="K34" s="88">
        <v>6.2262394150978777E-3</v>
      </c>
      <c r="L34" s="88">
        <v>-4.2223848798482498E-3</v>
      </c>
      <c r="M34" s="88">
        <v>9.2808090744727831E-3</v>
      </c>
      <c r="N34" s="88">
        <v>1.4134510934904934E-2</v>
      </c>
      <c r="O34" s="88">
        <v>1.0582109330537008E-2</v>
      </c>
      <c r="P34" s="88">
        <v>-3.4423441909729015E-3</v>
      </c>
      <c r="Q34" s="88">
        <v>-5.5632966853287153E-3</v>
      </c>
      <c r="R34" s="88">
        <v>1.8868484304382736E-2</v>
      </c>
      <c r="S34" s="88">
        <v>2.0743101818646505E-2</v>
      </c>
      <c r="T34" s="88">
        <v>0</v>
      </c>
      <c r="U34" s="88">
        <v>8.0645598367304946E-3</v>
      </c>
      <c r="V34" s="88">
        <v>0</v>
      </c>
      <c r="W34" s="89">
        <v>5.0090142608815603E-3</v>
      </c>
    </row>
    <row r="35" spans="7:23">
      <c r="G35" s="114">
        <v>43602</v>
      </c>
      <c r="H35" s="88">
        <v>1.6687655483463744E-2</v>
      </c>
      <c r="I35" s="88">
        <v>1.7636688874967138E-3</v>
      </c>
      <c r="J35" s="88">
        <v>7.7607696547124707E-3</v>
      </c>
      <c r="K35" s="88">
        <v>1.709443335930004E-2</v>
      </c>
      <c r="L35" s="88">
        <v>9.8246404285181003E-3</v>
      </c>
      <c r="M35" s="88">
        <v>1.648261457717386E-3</v>
      </c>
      <c r="N35" s="88">
        <v>-5.8651194523981339E-3</v>
      </c>
      <c r="O35" s="88">
        <v>1.0320322287179322E-2</v>
      </c>
      <c r="P35" s="88">
        <v>1.722653311446156E-3</v>
      </c>
      <c r="Q35" s="88">
        <v>8.3333815591444607E-3</v>
      </c>
      <c r="R35" s="88">
        <v>6.984894521951189E-3</v>
      </c>
      <c r="S35" s="88">
        <v>5.9251452635148676E-3</v>
      </c>
      <c r="T35" s="88">
        <v>0</v>
      </c>
      <c r="U35" s="88">
        <v>0</v>
      </c>
      <c r="V35" s="88">
        <v>0</v>
      </c>
      <c r="W35" s="89">
        <v>3.8466341340794032E-3</v>
      </c>
    </row>
    <row r="36" spans="7:23">
      <c r="G36" s="114">
        <v>43605</v>
      </c>
      <c r="H36" s="88">
        <v>-5.804214866882032E-2</v>
      </c>
      <c r="I36" s="88">
        <v>1.7605638350329589E-3</v>
      </c>
      <c r="J36" s="88">
        <v>-2.3815205349764271E-3</v>
      </c>
      <c r="K36" s="88">
        <v>-2.7493140580198732E-2</v>
      </c>
      <c r="L36" s="88">
        <v>-7.0077371574046891E-3</v>
      </c>
      <c r="M36" s="88">
        <v>-1.409758815011382E-2</v>
      </c>
      <c r="N36" s="88">
        <v>-8.2693914825067421E-3</v>
      </c>
      <c r="O36" s="88">
        <v>-1.5110308103170899E-3</v>
      </c>
      <c r="P36" s="88">
        <v>3.4364294985813186E-3</v>
      </c>
      <c r="Q36" s="88">
        <v>-4.158010148663677E-3</v>
      </c>
      <c r="R36" s="88">
        <v>-2.8237170181610111E-2</v>
      </c>
      <c r="S36" s="88">
        <v>-2.8684135837923333E-3</v>
      </c>
      <c r="T36" s="88">
        <v>7.2993024816115351E-3</v>
      </c>
      <c r="U36" s="88">
        <v>-5.7867382320548569E-2</v>
      </c>
      <c r="V36" s="88">
        <v>0</v>
      </c>
      <c r="W36" s="89">
        <v>-1.673019692872323E-2</v>
      </c>
    </row>
    <row r="37" spans="7:23">
      <c r="G37" s="114">
        <v>43606</v>
      </c>
      <c r="H37" s="88">
        <v>2.3114993832774246E-2</v>
      </c>
      <c r="I37" s="88">
        <v>7.0114222378040826E-3</v>
      </c>
      <c r="J37" s="88">
        <v>5.9591206101707484E-4</v>
      </c>
      <c r="K37" s="88">
        <v>4.895607043277405E-2</v>
      </c>
      <c r="L37" s="88">
        <v>5.8719938204715195E-2</v>
      </c>
      <c r="M37" s="88">
        <v>4.0106856625232216E-2</v>
      </c>
      <c r="N37" s="88">
        <v>2.3447733081572632E-2</v>
      </c>
      <c r="O37" s="88">
        <v>0</v>
      </c>
      <c r="P37" s="88">
        <v>1.0238997301094286E-2</v>
      </c>
      <c r="Q37" s="88">
        <v>2.061928720273561E-2</v>
      </c>
      <c r="R37" s="88">
        <v>1.4218249002279172E-2</v>
      </c>
      <c r="S37" s="88">
        <v>-3.0567316797225495E-3</v>
      </c>
      <c r="T37" s="88">
        <v>0</v>
      </c>
      <c r="U37" s="88">
        <v>4.2462908814512243E-3</v>
      </c>
      <c r="V37" s="88">
        <v>-1.3708021337787146E-3</v>
      </c>
      <c r="W37" s="89">
        <v>2.2022553160778596E-2</v>
      </c>
    </row>
    <row r="38" spans="7:23">
      <c r="G38" s="114">
        <v>43607</v>
      </c>
      <c r="H38" s="88">
        <v>2.4762274459427462E-2</v>
      </c>
      <c r="I38" s="88">
        <v>-2.4758116919139237E-2</v>
      </c>
      <c r="J38" s="88">
        <v>0</v>
      </c>
      <c r="K38" s="88">
        <v>-1.3360252166340493E-2</v>
      </c>
      <c r="L38" s="88">
        <v>-1.2008149628396607E-2</v>
      </c>
      <c r="M38" s="88">
        <v>-3.0534374868903431E-3</v>
      </c>
      <c r="N38" s="88">
        <v>-2.8203984616221735E-2</v>
      </c>
      <c r="O38" s="88">
        <v>0</v>
      </c>
      <c r="P38" s="88">
        <v>-6.8143364197301654E-3</v>
      </c>
      <c r="Q38" s="88">
        <v>0</v>
      </c>
      <c r="R38" s="88">
        <v>-3.5932009226063329E-2</v>
      </c>
      <c r="S38" s="88">
        <v>0</v>
      </c>
      <c r="T38" s="88">
        <v>-1.4652276786870375E-2</v>
      </c>
      <c r="U38" s="88">
        <v>-2.1414094503816473E-2</v>
      </c>
      <c r="V38" s="88">
        <v>-1.3726838119721356E-3</v>
      </c>
      <c r="W38" s="89">
        <v>-2.3076880799048106E-3</v>
      </c>
    </row>
    <row r="39" spans="7:23">
      <c r="G39" s="114">
        <v>43608</v>
      </c>
      <c r="H39" s="88">
        <v>-1.2461220437811889E-2</v>
      </c>
      <c r="I39" s="88">
        <v>1.0685765080461316E-2</v>
      </c>
      <c r="J39" s="88">
        <v>1.6542974453757221E-2</v>
      </c>
      <c r="K39" s="88">
        <v>-1.1498266687373134E-2</v>
      </c>
      <c r="L39" s="88">
        <v>-6.2303883336154865E-2</v>
      </c>
      <c r="M39" s="88">
        <v>-1.3775438643266602E-2</v>
      </c>
      <c r="N39" s="88">
        <v>3.2828270313335649E-2</v>
      </c>
      <c r="O39" s="88">
        <v>-1.3618826346438176E-3</v>
      </c>
      <c r="P39" s="88">
        <v>1.7079423451563376E-3</v>
      </c>
      <c r="Q39" s="88">
        <v>-2.3400930164612473E-2</v>
      </c>
      <c r="R39" s="88">
        <v>-4.8899852941919038E-3</v>
      </c>
      <c r="S39" s="88">
        <v>-1.1774431835886003E-2</v>
      </c>
      <c r="T39" s="88">
        <v>1.4652276786870415E-2</v>
      </c>
      <c r="U39" s="88">
        <v>1.716780362236528E-2</v>
      </c>
      <c r="V39" s="88">
        <v>-1.3745706631665985E-3</v>
      </c>
      <c r="W39" s="89">
        <v>-8.1397793369814096E-3</v>
      </c>
    </row>
    <row r="40" spans="7:23">
      <c r="G40" s="114">
        <v>43609</v>
      </c>
      <c r="H40" s="88">
        <v>1.5552413007484785E-2</v>
      </c>
      <c r="I40" s="88">
        <v>1.4072351838678037E-2</v>
      </c>
      <c r="J40" s="88">
        <v>7.0069187766383422E-3</v>
      </c>
      <c r="K40" s="88">
        <v>2.0202707317519469E-2</v>
      </c>
      <c r="L40" s="88">
        <v>-7.168489478612516E-3</v>
      </c>
      <c r="M40" s="88">
        <v>9.2585734061609061E-3</v>
      </c>
      <c r="N40" s="88">
        <v>-4.6242856971137917E-3</v>
      </c>
      <c r="O40" s="88">
        <v>4.381664485537385E-3</v>
      </c>
      <c r="P40" s="88">
        <v>5.1063940745740555E-3</v>
      </c>
      <c r="Q40" s="88">
        <v>1.1080445776571959E-2</v>
      </c>
      <c r="R40" s="88">
        <v>-2.4539889615665914E-3</v>
      </c>
      <c r="S40" s="88">
        <v>4.3675063502661426E-2</v>
      </c>
      <c r="T40" s="88">
        <v>-7.299302481611496E-3</v>
      </c>
      <c r="U40" s="88">
        <v>-4.2643987864575397E-3</v>
      </c>
      <c r="V40" s="88">
        <v>2.747254475138702E-3</v>
      </c>
      <c r="W40" s="89">
        <v>8.8640655026645029E-3</v>
      </c>
    </row>
    <row r="41" spans="7:23">
      <c r="G41" s="114">
        <v>43612</v>
      </c>
      <c r="H41" s="88">
        <v>7.3801072976226803E-3</v>
      </c>
      <c r="I41" s="88">
        <v>3.8548670117235243E-2</v>
      </c>
      <c r="J41" s="88">
        <v>5.6446987659210822E-2</v>
      </c>
      <c r="K41" s="88">
        <v>4.8790164169432049E-2</v>
      </c>
      <c r="L41" s="88">
        <v>7.2153339568025193E-2</v>
      </c>
      <c r="M41" s="88">
        <v>0.10808920653061971</v>
      </c>
      <c r="N41" s="88">
        <v>2.8557051908742061E-2</v>
      </c>
      <c r="O41" s="88">
        <v>3.4815752491810112E-2</v>
      </c>
      <c r="P41" s="88">
        <v>4.4820779881933163E-2</v>
      </c>
      <c r="Q41" s="88">
        <v>8.2304991365154435E-3</v>
      </c>
      <c r="R41" s="88">
        <v>0.1114842335083553</v>
      </c>
      <c r="S41" s="88">
        <v>1.1446534968058008E-2</v>
      </c>
      <c r="T41" s="88">
        <v>3.9502442976246173E-2</v>
      </c>
      <c r="U41" s="88">
        <v>-1.7241806434505992E-2</v>
      </c>
      <c r="V41" s="88">
        <v>0</v>
      </c>
      <c r="W41" s="89">
        <v>5.9117581305133927E-2</v>
      </c>
    </row>
    <row r="42" spans="7:23">
      <c r="G42" s="114">
        <v>43613</v>
      </c>
      <c r="H42" s="88">
        <v>-1.668249995993602E-2</v>
      </c>
      <c r="I42" s="88">
        <v>-2.1232220105774167E-2</v>
      </c>
      <c r="J42" s="88">
        <v>8.7604590053613381E-3</v>
      </c>
      <c r="K42" s="88">
        <v>1.7621601349819629E-2</v>
      </c>
      <c r="L42" s="88">
        <v>9.3239155125481379E-2</v>
      </c>
      <c r="M42" s="88">
        <v>1.0824959568738612E-2</v>
      </c>
      <c r="N42" s="88">
        <v>-1.7036187152567852E-2</v>
      </c>
      <c r="O42" s="88">
        <v>-1.4570889945005928E-3</v>
      </c>
      <c r="P42" s="88">
        <v>5.0643732818754936E-2</v>
      </c>
      <c r="Q42" s="88">
        <v>6.7352182029491559E-2</v>
      </c>
      <c r="R42" s="88">
        <v>1.5267472130788599E-2</v>
      </c>
      <c r="S42" s="88">
        <v>1.9467827944389355E-2</v>
      </c>
      <c r="T42" s="88">
        <v>3.5149421074445919E-3</v>
      </c>
      <c r="U42" s="88">
        <v>0</v>
      </c>
      <c r="V42" s="88">
        <v>0</v>
      </c>
      <c r="W42" s="89">
        <v>2.2951180215440434E-2</v>
      </c>
    </row>
    <row r="43" spans="7:23">
      <c r="G43" s="114">
        <v>43614</v>
      </c>
      <c r="H43" s="88">
        <v>1.2453301733962143E-3</v>
      </c>
      <c r="I43" s="88">
        <v>3.789927259098573E-2</v>
      </c>
      <c r="J43" s="88">
        <v>-3.2761850861054852E-3</v>
      </c>
      <c r="K43" s="88">
        <v>-1.4452026588540452E-2</v>
      </c>
      <c r="L43" s="88">
        <v>0</v>
      </c>
      <c r="M43" s="88">
        <v>-1.2928250023051934E-3</v>
      </c>
      <c r="N43" s="88">
        <v>7.9863516326499229E-3</v>
      </c>
      <c r="O43" s="88">
        <v>-2.1667882864626255E-2</v>
      </c>
      <c r="P43" s="88">
        <v>-2.500130220541727E-2</v>
      </c>
      <c r="Q43" s="88">
        <v>-1.9342962843130987E-2</v>
      </c>
      <c r="R43" s="88">
        <v>-5.5631695986148699E-2</v>
      </c>
      <c r="S43" s="88">
        <v>1.0932747023053108E-2</v>
      </c>
      <c r="T43" s="88">
        <v>-1.7699577099400975E-2</v>
      </c>
      <c r="U43" s="88">
        <v>-5.818195538273583E-2</v>
      </c>
      <c r="V43" s="88">
        <v>-5.5020771539834217E-3</v>
      </c>
      <c r="W43" s="89">
        <v>-1.9777166975124072E-3</v>
      </c>
    </row>
    <row r="44" spans="7:23">
      <c r="G44" s="114">
        <v>43615</v>
      </c>
      <c r="H44" s="88">
        <v>6.8217318809244793E-3</v>
      </c>
      <c r="I44" s="88">
        <v>1.3136477905369981E-2</v>
      </c>
      <c r="J44" s="88">
        <v>1.5197860909431522E-2</v>
      </c>
      <c r="K44" s="88">
        <v>1.2578782206859965E-2</v>
      </c>
      <c r="L44" s="88">
        <v>6.0337636594204047E-2</v>
      </c>
      <c r="M44" s="88">
        <v>2.5839807659250678E-3</v>
      </c>
      <c r="N44" s="88">
        <v>2.2701485345390775E-3</v>
      </c>
      <c r="O44" s="88">
        <v>7.2749188787703681E-3</v>
      </c>
      <c r="P44" s="88">
        <v>1.4140062773812693E-2</v>
      </c>
      <c r="Q44" s="88">
        <v>-1.7071983898647503E-2</v>
      </c>
      <c r="R44" s="88">
        <v>2.9314387668775307E-2</v>
      </c>
      <c r="S44" s="88">
        <v>0.11357360106616704</v>
      </c>
      <c r="T44" s="88">
        <v>3.1637084943182445E-2</v>
      </c>
      <c r="U44" s="88">
        <v>3.174869831458027E-2</v>
      </c>
      <c r="V44" s="88">
        <v>2.7548226788446837E-3</v>
      </c>
      <c r="W44" s="89">
        <v>3.1366797416964687E-2</v>
      </c>
    </row>
    <row r="45" spans="7:23">
      <c r="G45" s="114">
        <v>43616</v>
      </c>
      <c r="H45" s="88">
        <v>-1.149973822886436E-2</v>
      </c>
      <c r="I45" s="88">
        <v>-8.1599351732930254E-4</v>
      </c>
      <c r="J45" s="88">
        <v>9.1158334080096333E-3</v>
      </c>
      <c r="K45" s="88">
        <v>-6.2696130135953742E-3</v>
      </c>
      <c r="L45" s="88">
        <v>4.5819095051115441E-3</v>
      </c>
      <c r="M45" s="88">
        <v>1.2112723797721475E-2</v>
      </c>
      <c r="N45" s="88">
        <v>3.1252543504104315E-2</v>
      </c>
      <c r="O45" s="88">
        <v>5.899722127188322E-3</v>
      </c>
      <c r="P45" s="88">
        <v>2.465456156394058E-2</v>
      </c>
      <c r="Q45" s="88">
        <v>-6.6445427186685013E-3</v>
      </c>
      <c r="R45" s="88">
        <v>-2.474816968919414E-2</v>
      </c>
      <c r="S45" s="88">
        <v>-2.4640351749034797E-2</v>
      </c>
      <c r="T45" s="88">
        <v>0</v>
      </c>
      <c r="U45" s="88">
        <v>2.2075951699199826E-2</v>
      </c>
      <c r="V45" s="88">
        <v>6.8540364277922131E-3</v>
      </c>
      <c r="W45" s="89">
        <v>1.4449137386969802E-2</v>
      </c>
    </row>
    <row r="46" spans="7:23">
      <c r="G46" s="114">
        <v>43619</v>
      </c>
      <c r="H46" s="88">
        <v>-1.0685205371241457E-2</v>
      </c>
      <c r="I46" s="88">
        <v>1.6997576368571077E-2</v>
      </c>
      <c r="J46" s="88">
        <v>1.6936998497648716E-2</v>
      </c>
      <c r="K46" s="88">
        <v>3.096222560396689E-2</v>
      </c>
      <c r="L46" s="88">
        <v>-2.4292692569044587E-2</v>
      </c>
      <c r="M46" s="88">
        <v>6.6351623396074593E-3</v>
      </c>
      <c r="N46" s="88">
        <v>-1.1049836186584935E-2</v>
      </c>
      <c r="O46" s="88">
        <v>-1.4716706114562507E-3</v>
      </c>
      <c r="P46" s="88">
        <v>1.5106027431013096E-2</v>
      </c>
      <c r="Q46" s="88">
        <v>3.9920212695374567E-3</v>
      </c>
      <c r="R46" s="88">
        <v>-6.8571697261369125E-3</v>
      </c>
      <c r="S46" s="88">
        <v>-5.063301956546651E-3</v>
      </c>
      <c r="T46" s="88">
        <v>1.3745920904635136E-2</v>
      </c>
      <c r="U46" s="88">
        <v>8.695706967553913E-3</v>
      </c>
      <c r="V46" s="88">
        <v>5.4496047675646848E-3</v>
      </c>
      <c r="W46" s="89">
        <v>7.9180776960179906E-3</v>
      </c>
    </row>
    <row r="47" spans="7:23">
      <c r="G47" s="114">
        <v>43620</v>
      </c>
      <c r="H47" s="88">
        <v>2.032908163842569E-2</v>
      </c>
      <c r="I47" s="88">
        <v>-3.2154368539744657E-3</v>
      </c>
      <c r="J47" s="88">
        <v>-2.4976057816479592E-2</v>
      </c>
      <c r="K47" s="88">
        <v>-1.3505423199807007E-2</v>
      </c>
      <c r="L47" s="88">
        <v>-7.7898248327502653E-2</v>
      </c>
      <c r="M47" s="88">
        <v>-6.6351623396075071E-3</v>
      </c>
      <c r="N47" s="88">
        <v>1.1104942840271153E-3</v>
      </c>
      <c r="O47" s="88">
        <v>-5.7602995108713096E-3</v>
      </c>
      <c r="P47" s="88">
        <v>-4.5078964391899283E-3</v>
      </c>
      <c r="Q47" s="88">
        <v>6.6181578424780738E-3</v>
      </c>
      <c r="R47" s="88">
        <v>0</v>
      </c>
      <c r="S47" s="88">
        <v>-5.4203961720023085E-2</v>
      </c>
      <c r="T47" s="88">
        <v>-3.418806748785609E-3</v>
      </c>
      <c r="U47" s="88">
        <v>-4.3384015985982417E-3</v>
      </c>
      <c r="V47" s="88">
        <v>2.7137058715963258E-3</v>
      </c>
      <c r="W47" s="89">
        <v>-2.8495962065363742E-2</v>
      </c>
    </row>
    <row r="48" spans="7:23">
      <c r="G48" s="114">
        <v>43621</v>
      </c>
      <c r="H48" s="88">
        <v>9.2450581440512089E-3</v>
      </c>
      <c r="I48" s="88">
        <v>-3.2258092488825657E-3</v>
      </c>
      <c r="J48" s="88">
        <v>0</v>
      </c>
      <c r="K48" s="88">
        <v>1.8978224941161873E-2</v>
      </c>
      <c r="L48" s="88">
        <v>1.3828001607292115E-2</v>
      </c>
      <c r="M48" s="88">
        <v>-1.2756007682470716E-3</v>
      </c>
      <c r="N48" s="88">
        <v>-1.1104942840271764E-3</v>
      </c>
      <c r="O48" s="88">
        <v>1.0022191478782336E-2</v>
      </c>
      <c r="P48" s="88">
        <v>-1.5071592905713629E-3</v>
      </c>
      <c r="Q48" s="88">
        <v>-7.947061692531945E-3</v>
      </c>
      <c r="R48" s="88">
        <v>0</v>
      </c>
      <c r="S48" s="88">
        <v>2.3590919914574078E-2</v>
      </c>
      <c r="T48" s="88">
        <v>6.8259650703998906E-3</v>
      </c>
      <c r="U48" s="88">
        <v>0</v>
      </c>
      <c r="V48" s="88">
        <v>-5.4347959859569446E-3</v>
      </c>
      <c r="W48" s="89">
        <v>9.8732702723744094E-3</v>
      </c>
    </row>
    <row r="49" spans="7:23">
      <c r="G49" s="114">
        <v>43622</v>
      </c>
      <c r="H49" s="88">
        <v>-1.2277472383224036E-3</v>
      </c>
      <c r="I49" s="88">
        <v>-2.0400544300491302E-2</v>
      </c>
      <c r="J49" s="88">
        <v>1.7072544416498681E-2</v>
      </c>
      <c r="K49" s="88">
        <v>-2.4286593601266274E-3</v>
      </c>
      <c r="L49" s="88">
        <v>1.3639393093318764E-2</v>
      </c>
      <c r="M49" s="88">
        <v>0</v>
      </c>
      <c r="N49" s="88">
        <v>0</v>
      </c>
      <c r="O49" s="88">
        <v>-1.4675670376862679E-3</v>
      </c>
      <c r="P49" s="88">
        <v>-3.2186686495901333E-2</v>
      </c>
      <c r="Q49" s="88">
        <v>2.6560440581162104E-3</v>
      </c>
      <c r="R49" s="88">
        <v>9.1324835632724723E-3</v>
      </c>
      <c r="S49" s="88">
        <v>-1.0523056288233544E-2</v>
      </c>
      <c r="T49" s="88">
        <v>-3.4071583216141975E-3</v>
      </c>
      <c r="U49" s="88">
        <v>2.1506205220963682E-2</v>
      </c>
      <c r="V49" s="88">
        <v>1.3614705983211706E-3</v>
      </c>
      <c r="W49" s="89">
        <v>-5.4323080456255505E-3</v>
      </c>
    </row>
    <row r="50" spans="7:23">
      <c r="G50" s="114">
        <v>43623</v>
      </c>
      <c r="H50" s="88">
        <v>7.039049722217249E-3</v>
      </c>
      <c r="I50" s="88">
        <v>-8.2474231479049472E-4</v>
      </c>
      <c r="J50" s="88">
        <v>6.3278000638193809E-3</v>
      </c>
      <c r="K50" s="88">
        <v>-1.6549565581035274E-2</v>
      </c>
      <c r="L50" s="88">
        <v>-9.9010709827115698E-3</v>
      </c>
      <c r="M50" s="88">
        <v>-6.6880363132982394E-3</v>
      </c>
      <c r="N50" s="88">
        <v>-1.5677812719229904E-2</v>
      </c>
      <c r="O50" s="88">
        <v>5.8573897149385226E-3</v>
      </c>
      <c r="P50" s="88">
        <v>1.0844413014128876E-2</v>
      </c>
      <c r="Q50" s="88">
        <v>-7.98939003347875E-3</v>
      </c>
      <c r="R50" s="88">
        <v>0</v>
      </c>
      <c r="S50" s="88">
        <v>2.7210901143608075E-3</v>
      </c>
      <c r="T50" s="88">
        <v>6.8027473227523999E-3</v>
      </c>
      <c r="U50" s="88">
        <v>0</v>
      </c>
      <c r="V50" s="88">
        <v>-1.3614705983210744E-3</v>
      </c>
      <c r="W50" s="89">
        <v>-1.2003038944462367E-3</v>
      </c>
    </row>
    <row r="51" spans="7:23">
      <c r="G51" s="114">
        <v>43626</v>
      </c>
      <c r="H51" s="88">
        <v>-2.7485129533490484E-3</v>
      </c>
      <c r="I51" s="88">
        <v>2.6060106669865087E-2</v>
      </c>
      <c r="J51" s="88">
        <v>3.805956182434498E-2</v>
      </c>
      <c r="K51" s="88">
        <v>1.9584469276189394E-2</v>
      </c>
      <c r="L51" s="88">
        <v>4.380262265839284E-2</v>
      </c>
      <c r="M51" s="88">
        <v>2.9126223511017124E-2</v>
      </c>
      <c r="N51" s="88">
        <v>1.3453117697118676E-2</v>
      </c>
      <c r="O51" s="88">
        <v>1.3131978249603929E-3</v>
      </c>
      <c r="P51" s="88">
        <v>4.0760359338873974E-2</v>
      </c>
      <c r="Q51" s="88">
        <v>2.8987536873252187E-2</v>
      </c>
      <c r="R51" s="88">
        <v>1.8018505502678212E-2</v>
      </c>
      <c r="S51" s="88">
        <v>-1.5788953740701304E-2</v>
      </c>
      <c r="T51" s="88">
        <v>0</v>
      </c>
      <c r="U51" s="88">
        <v>1.2685159527315861E-2</v>
      </c>
      <c r="V51" s="88">
        <v>0</v>
      </c>
      <c r="W51" s="89">
        <v>3.2304630376543082E-2</v>
      </c>
    </row>
    <row r="52" spans="7:23">
      <c r="G52" s="114">
        <v>43627</v>
      </c>
      <c r="H52" s="88">
        <v>6.4014850520406688E-3</v>
      </c>
      <c r="I52" s="88">
        <v>3.2102756302481894E-3</v>
      </c>
      <c r="J52" s="88">
        <v>6.0538980171823418E-3</v>
      </c>
      <c r="K52" s="88">
        <v>-9.7442914746781635E-3</v>
      </c>
      <c r="L52" s="88">
        <v>2.3781224049674193E-3</v>
      </c>
      <c r="M52" s="88">
        <v>4.8321193814954574E-2</v>
      </c>
      <c r="N52" s="88">
        <v>-6.7039357221903295E-3</v>
      </c>
      <c r="O52" s="88">
        <v>8.5662955777190304E-3</v>
      </c>
      <c r="P52" s="88">
        <v>0</v>
      </c>
      <c r="Q52" s="88">
        <v>-2.4984863083594853E-2</v>
      </c>
      <c r="R52" s="88">
        <v>0</v>
      </c>
      <c r="S52" s="88">
        <v>5.1830371941960079E-3</v>
      </c>
      <c r="T52" s="88">
        <v>0</v>
      </c>
      <c r="U52" s="88">
        <v>4.1928782600359578E-3</v>
      </c>
      <c r="V52" s="88">
        <v>0</v>
      </c>
      <c r="W52" s="89">
        <v>3.7780362458758963E-3</v>
      </c>
    </row>
    <row r="53" spans="7:23">
      <c r="G53" s="114">
        <v>43628</v>
      </c>
      <c r="H53" s="88">
        <v>5.7567194277686915E-3</v>
      </c>
      <c r="I53" s="88">
        <v>-9.6619109117369716E-3</v>
      </c>
      <c r="J53" s="88">
        <v>-1.5101893460037928E-2</v>
      </c>
      <c r="K53" s="88">
        <v>-1.6661909682435534E-2</v>
      </c>
      <c r="L53" s="88">
        <v>1.9988907741928602E-2</v>
      </c>
      <c r="M53" s="88">
        <v>-7.4270898436153412E-3</v>
      </c>
      <c r="N53" s="88">
        <v>-1.3544225107757149E-2</v>
      </c>
      <c r="O53" s="88">
        <v>-1.4467595116118268E-3</v>
      </c>
      <c r="P53" s="88">
        <v>5.899722127188322E-3</v>
      </c>
      <c r="Q53" s="88">
        <v>-2.6666682469152284E-3</v>
      </c>
      <c r="R53" s="88">
        <v>-8.9686699827603751E-3</v>
      </c>
      <c r="S53" s="88">
        <v>0</v>
      </c>
      <c r="T53" s="88">
        <v>-6.8027473227525231E-3</v>
      </c>
      <c r="U53" s="88">
        <v>4.175371410480592E-3</v>
      </c>
      <c r="V53" s="88">
        <v>0</v>
      </c>
      <c r="W53" s="89">
        <v>-2.6277180027067266E-3</v>
      </c>
    </row>
    <row r="54" spans="7:23">
      <c r="G54" s="114">
        <v>43629</v>
      </c>
      <c r="H54" s="88">
        <v>-6.6687121950380615E-3</v>
      </c>
      <c r="I54" s="88">
        <v>2.0024697947283433E-2</v>
      </c>
      <c r="J54" s="88">
        <v>1.5604734522576588E-2</v>
      </c>
      <c r="K54" s="88">
        <v>-2.2656727481891417E-2</v>
      </c>
      <c r="L54" s="88">
        <v>1.1634672632980494E-3</v>
      </c>
      <c r="M54" s="88">
        <v>9.9345144499760618E-3</v>
      </c>
      <c r="N54" s="88">
        <v>-2.2989518224698833E-2</v>
      </c>
      <c r="O54" s="88">
        <v>-1.1357140127883721E-2</v>
      </c>
      <c r="P54" s="88">
        <v>1.8937201019750782E-2</v>
      </c>
      <c r="Q54" s="88">
        <v>-5.3547651376599156E-3</v>
      </c>
      <c r="R54" s="88">
        <v>2.0067563050809173E-2</v>
      </c>
      <c r="S54" s="88">
        <v>2.7426007350107784E-3</v>
      </c>
      <c r="T54" s="88">
        <v>6.8027473227523999E-3</v>
      </c>
      <c r="U54" s="88">
        <v>-1.2578782206860185E-2</v>
      </c>
      <c r="V54" s="88">
        <v>0</v>
      </c>
      <c r="W54" s="89">
        <v>7.8390106869103623E-3</v>
      </c>
    </row>
    <row r="55" spans="7:23">
      <c r="G55" s="114">
        <v>43630</v>
      </c>
      <c r="H55" s="88">
        <v>-5.4894922847714802E-3</v>
      </c>
      <c r="I55" s="88">
        <v>-4.7694843990351687E-3</v>
      </c>
      <c r="J55" s="88">
        <v>-1.152808802881298E-2</v>
      </c>
      <c r="K55" s="88">
        <v>-1.5394787682555021E-2</v>
      </c>
      <c r="L55" s="88">
        <v>-1.4051753455650302E-2</v>
      </c>
      <c r="M55" s="88">
        <v>4.9960661375374679E-3</v>
      </c>
      <c r="N55" s="88">
        <v>-1.1696039763191187E-2</v>
      </c>
      <c r="O55" s="88">
        <v>2.9244062368161275E-3</v>
      </c>
      <c r="P55" s="88">
        <v>2.8818463748889502E-3</v>
      </c>
      <c r="Q55" s="88">
        <v>-8.0862974313578185E-3</v>
      </c>
      <c r="R55" s="88">
        <v>1.0977058631150994E-2</v>
      </c>
      <c r="S55" s="88">
        <v>0</v>
      </c>
      <c r="T55" s="88">
        <v>0</v>
      </c>
      <c r="U55" s="88">
        <v>8.4034107963793792E-3</v>
      </c>
      <c r="V55" s="88">
        <v>0</v>
      </c>
      <c r="W55" s="89">
        <v>-3.545915020475114E-3</v>
      </c>
    </row>
    <row r="56" spans="7:23">
      <c r="G56" s="114">
        <v>43634</v>
      </c>
      <c r="H56" s="88">
        <v>1.0041161499490497E-2</v>
      </c>
      <c r="I56" s="88">
        <v>1.1093616148503259E-2</v>
      </c>
      <c r="J56" s="88">
        <v>1.3035095899294899E-2</v>
      </c>
      <c r="K56" s="88">
        <v>4.980543953468982E-2</v>
      </c>
      <c r="L56" s="88">
        <v>-7.1006215495763155E-3</v>
      </c>
      <c r="M56" s="88">
        <v>1.4710933784845902E-2</v>
      </c>
      <c r="N56" s="88">
        <v>-2.3557136924590365E-3</v>
      </c>
      <c r="O56" s="88">
        <v>-1.307976616089546E-2</v>
      </c>
      <c r="P56" s="88">
        <v>7.168489478612497E-3</v>
      </c>
      <c r="Q56" s="88">
        <v>1.4775285582154459E-2</v>
      </c>
      <c r="R56" s="88">
        <v>-1.0977058631150907E-2</v>
      </c>
      <c r="S56" s="88">
        <v>-5.3307613515480709E-3</v>
      </c>
      <c r="T56" s="88">
        <v>0</v>
      </c>
      <c r="U56" s="88">
        <v>0</v>
      </c>
      <c r="V56" s="88">
        <v>0</v>
      </c>
      <c r="W56" s="89">
        <v>7.0089898148928539E-3</v>
      </c>
    </row>
    <row r="57" spans="7:23">
      <c r="G57" s="114">
        <v>43635</v>
      </c>
      <c r="H57" s="88">
        <v>-8.2079804178297328E-3</v>
      </c>
      <c r="I57" s="88">
        <v>-7.1174677688639896E-3</v>
      </c>
      <c r="J57" s="88">
        <v>-1.7622493719346159E-2</v>
      </c>
      <c r="K57" s="88">
        <v>-1.8467225931647741E-3</v>
      </c>
      <c r="L57" s="88">
        <v>-1.1947573421118175E-2</v>
      </c>
      <c r="M57" s="88">
        <v>-6.092442203404512E-3</v>
      </c>
      <c r="N57" s="88">
        <v>3.9311420214888142E-2</v>
      </c>
      <c r="O57" s="88">
        <v>-1.160554612030789E-2</v>
      </c>
      <c r="P57" s="88">
        <v>-2.0202707317519355E-2</v>
      </c>
      <c r="Q57" s="88">
        <v>5.3191614776000266E-3</v>
      </c>
      <c r="R57" s="88">
        <v>-2.4582243405335793E-2</v>
      </c>
      <c r="S57" s="88">
        <v>5.3307613515480735E-3</v>
      </c>
      <c r="T57" s="88">
        <v>0</v>
      </c>
      <c r="U57" s="88">
        <v>0</v>
      </c>
      <c r="V57" s="88">
        <v>2.7210901143605863E-3</v>
      </c>
      <c r="W57" s="89">
        <v>-1.0982129087469799E-2</v>
      </c>
    </row>
    <row r="58" spans="7:23">
      <c r="G58" s="114">
        <v>43636</v>
      </c>
      <c r="H58" s="88">
        <v>1.6949558313773424E-2</v>
      </c>
      <c r="I58" s="88">
        <v>-7.9681696491768449E-3</v>
      </c>
      <c r="J58" s="88">
        <v>-2.557676978726746E-3</v>
      </c>
      <c r="K58" s="88">
        <v>1.9524720296572162E-2</v>
      </c>
      <c r="L58" s="88">
        <v>-6.0277457975173128E-3</v>
      </c>
      <c r="M58" s="88">
        <v>2.4673735003214159E-3</v>
      </c>
      <c r="N58" s="88">
        <v>-7.9681696491769576E-3</v>
      </c>
      <c r="O58" s="88">
        <v>5.8196090532640025E-3</v>
      </c>
      <c r="P58" s="88">
        <v>1.4566644964641641E-3</v>
      </c>
      <c r="Q58" s="88">
        <v>3.3901551675681416E-2</v>
      </c>
      <c r="R58" s="88">
        <v>-1.1376686982107934E-2</v>
      </c>
      <c r="S58" s="88">
        <v>-2.7426007350108256E-3</v>
      </c>
      <c r="T58" s="88">
        <v>-1.7094433359300068E-2</v>
      </c>
      <c r="U58" s="88">
        <v>0</v>
      </c>
      <c r="V58" s="88">
        <v>-2.7210901143606132E-3</v>
      </c>
      <c r="W58" s="89">
        <v>-8.5913021445357014E-3</v>
      </c>
    </row>
    <row r="59" spans="7:23">
      <c r="G59" s="114">
        <v>43637</v>
      </c>
      <c r="H59" s="88">
        <v>1.4302985190331043E-2</v>
      </c>
      <c r="I59" s="88">
        <v>-2.6754737308819613E-2</v>
      </c>
      <c r="J59" s="88">
        <v>2.2686814613461885E-2</v>
      </c>
      <c r="K59" s="88">
        <v>1.3801599215988294E-2</v>
      </c>
      <c r="L59" s="88">
        <v>-1.2165600163688476E-2</v>
      </c>
      <c r="M59" s="88">
        <v>6.0774739334963869E-3</v>
      </c>
      <c r="N59" s="88">
        <v>-4.6792161506758939E-2</v>
      </c>
      <c r="O59" s="88">
        <v>2.7298437119007125E-2</v>
      </c>
      <c r="P59" s="88">
        <v>1.8746042821055412E-2</v>
      </c>
      <c r="Q59" s="88">
        <v>4.756841691910968E-2</v>
      </c>
      <c r="R59" s="88">
        <v>-1.1507606851479802E-2</v>
      </c>
      <c r="S59" s="88">
        <v>2.7426007350107784E-3</v>
      </c>
      <c r="T59" s="88">
        <v>1.0291686036547724E-2</v>
      </c>
      <c r="U59" s="88">
        <v>-4.1928782600359274E-3</v>
      </c>
      <c r="V59" s="88">
        <v>2.7210901143605863E-3</v>
      </c>
      <c r="W59" s="89">
        <v>2.3157276836201649E-3</v>
      </c>
    </row>
    <row r="60" spans="7:23">
      <c r="G60" s="114">
        <v>43640</v>
      </c>
      <c r="H60" s="88">
        <v>-1.0409015914735526E-2</v>
      </c>
      <c r="I60" s="88">
        <v>1.8722565611555362E-2</v>
      </c>
      <c r="J60" s="88">
        <v>2.4238214818385256E-2</v>
      </c>
      <c r="K60" s="88">
        <v>-7.7774846126074468E-3</v>
      </c>
      <c r="L60" s="88">
        <v>3.6652453982958738E-3</v>
      </c>
      <c r="M60" s="88">
        <v>6.040761252130409E-3</v>
      </c>
      <c r="N60" s="88">
        <v>2.9500664396697841E-2</v>
      </c>
      <c r="O60" s="88">
        <v>-7.119536066107276E-3</v>
      </c>
      <c r="P60" s="88">
        <v>1.4184634991956381E-2</v>
      </c>
      <c r="Q60" s="88">
        <v>6.0938640743228127E-3</v>
      </c>
      <c r="R60" s="88">
        <v>1.8349138668196398E-2</v>
      </c>
      <c r="S60" s="88">
        <v>-2.7426007350108256E-3</v>
      </c>
      <c r="T60" s="88">
        <v>0</v>
      </c>
      <c r="U60" s="88">
        <v>8.3682496705165792E-3</v>
      </c>
      <c r="V60" s="88">
        <v>-2.7210901143606132E-3</v>
      </c>
      <c r="W60" s="89">
        <v>1.2594430930278476E-2</v>
      </c>
    </row>
    <row r="61" spans="7:23">
      <c r="G61" s="114">
        <v>43641</v>
      </c>
      <c r="H61" s="88">
        <v>1.0113114151960902E-2</v>
      </c>
      <c r="I61" s="88">
        <v>8.0321716972642527E-3</v>
      </c>
      <c r="J61" s="88">
        <v>-1.5762320230795344E-2</v>
      </c>
      <c r="K61" s="88">
        <v>-9.0498355199178145E-3</v>
      </c>
      <c r="L61" s="88">
        <v>-1.59806719883499E-2</v>
      </c>
      <c r="M61" s="88">
        <v>6.0044894552537297E-3</v>
      </c>
      <c r="N61" s="88">
        <v>0</v>
      </c>
      <c r="O61" s="88">
        <v>-2.7743319247694989E-3</v>
      </c>
      <c r="P61" s="88">
        <v>-1.4094435032336043E-3</v>
      </c>
      <c r="Q61" s="88">
        <v>2.5196293918887266E-2</v>
      </c>
      <c r="R61" s="88">
        <v>2.4692612590371633E-2</v>
      </c>
      <c r="S61" s="88">
        <v>-7.9474913492426792E-3</v>
      </c>
      <c r="T61" s="88">
        <v>3.4071583216141346E-3</v>
      </c>
      <c r="U61" s="88">
        <v>3.9220713153281329E-2</v>
      </c>
      <c r="V61" s="88">
        <v>0</v>
      </c>
      <c r="W61" s="89">
        <v>-3.1721537675958498E-3</v>
      </c>
    </row>
    <row r="62" spans="7:23">
      <c r="G62" s="114">
        <v>43642</v>
      </c>
      <c r="H62" s="88">
        <v>2.0504526222551028E-2</v>
      </c>
      <c r="I62" s="88">
        <v>7.9681696491768813E-3</v>
      </c>
      <c r="J62" s="88">
        <v>-5.8157703901277939E-2</v>
      </c>
      <c r="K62" s="88">
        <v>1.2048338516174355E-2</v>
      </c>
      <c r="L62" s="88">
        <v>1.5980671988349869E-2</v>
      </c>
      <c r="M62" s="88">
        <v>3.295005256813717E-2</v>
      </c>
      <c r="N62" s="88">
        <v>-1.1634672632980698E-3</v>
      </c>
      <c r="O62" s="88">
        <v>7.1392450094705925E-3</v>
      </c>
      <c r="P62" s="88">
        <v>2.2316128322547243E-2</v>
      </c>
      <c r="Q62" s="88">
        <v>-3.5608346230089579E-3</v>
      </c>
      <c r="R62" s="88">
        <v>-1.11483874826143E-2</v>
      </c>
      <c r="S62" s="88">
        <v>1.0690092084253556E-2</v>
      </c>
      <c r="T62" s="88">
        <v>0</v>
      </c>
      <c r="U62" s="88">
        <v>6.3897980987709883E-3</v>
      </c>
      <c r="V62" s="88">
        <v>-5.4644944720787375E-3</v>
      </c>
      <c r="W62" s="89">
        <v>6.6041807373967854E-3</v>
      </c>
    </row>
    <row r="63" spans="7:23">
      <c r="G63" s="114">
        <v>43643</v>
      </c>
      <c r="H63" s="88">
        <v>-1.4507473892196212E-3</v>
      </c>
      <c r="I63" s="88">
        <v>2.0424904852040942E-2</v>
      </c>
      <c r="J63" s="88">
        <v>3.0063423005240654E-2</v>
      </c>
      <c r="K63" s="88">
        <v>0</v>
      </c>
      <c r="L63" s="88">
        <v>1.212136053234482E-2</v>
      </c>
      <c r="M63" s="88">
        <v>3.201825774058762E-2</v>
      </c>
      <c r="N63" s="88">
        <v>-1.0532572499893268E-2</v>
      </c>
      <c r="O63" s="88">
        <v>2.7546229814062388E-3</v>
      </c>
      <c r="P63" s="88">
        <v>2.317758831270559E-2</v>
      </c>
      <c r="Q63" s="88">
        <v>6.5578408329251645E-2</v>
      </c>
      <c r="R63" s="88">
        <v>4.4742803949211069E-3</v>
      </c>
      <c r="S63" s="88">
        <v>3.3584654898125371E-2</v>
      </c>
      <c r="T63" s="88">
        <v>3.3955890011383287E-3</v>
      </c>
      <c r="U63" s="88">
        <v>-1.9293202934678896E-2</v>
      </c>
      <c r="V63" s="88">
        <v>4.1011677442146068E-3</v>
      </c>
      <c r="W63" s="89">
        <v>8.0052315148401304E-3</v>
      </c>
    </row>
    <row r="64" spans="7:23">
      <c r="G64" s="114">
        <v>43644</v>
      </c>
      <c r="H64" s="88">
        <v>7.5210073932835061E-3</v>
      </c>
      <c r="I64" s="88">
        <v>1.0827638652063393E-2</v>
      </c>
      <c r="J64" s="88">
        <v>5.0932166738162921E-3</v>
      </c>
      <c r="K64" s="88">
        <v>1.7804624633506686E-2</v>
      </c>
      <c r="L64" s="88">
        <v>4.1303806141235792E-2</v>
      </c>
      <c r="M64" s="88">
        <v>1.2219144854719796E-2</v>
      </c>
      <c r="N64" s="88">
        <v>9.367750003600241E-3</v>
      </c>
      <c r="O64" s="88">
        <v>0</v>
      </c>
      <c r="P64" s="88">
        <v>-1.220354128072889E-2</v>
      </c>
      <c r="Q64" s="88">
        <v>-1.0072832788294957E-2</v>
      </c>
      <c r="R64" s="88">
        <v>-1.801850550267825E-2</v>
      </c>
      <c r="S64" s="88">
        <v>-7.6628727455690252E-3</v>
      </c>
      <c r="T64" s="88">
        <v>1.3468217050866611E-2</v>
      </c>
      <c r="U64" s="88">
        <v>-1.9672765598704893E-2</v>
      </c>
      <c r="V64" s="88">
        <v>2.7247973261852569E-3</v>
      </c>
      <c r="W64" s="89">
        <v>1.0835947656488529E-2</v>
      </c>
    </row>
    <row r="65" spans="7:23">
      <c r="G65" s="114">
        <v>43647</v>
      </c>
      <c r="H65" s="88">
        <v>-1.4514042884254071E-2</v>
      </c>
      <c r="I65" s="88">
        <v>-8.4975405104406633E-3</v>
      </c>
      <c r="J65" s="88">
        <v>-5.0932166738163242E-3</v>
      </c>
      <c r="K65" s="88">
        <v>1.4598799421152631E-2</v>
      </c>
      <c r="L65" s="88">
        <v>3.4622077284707912E-3</v>
      </c>
      <c r="M65" s="88">
        <v>4.4508153018307059E-2</v>
      </c>
      <c r="N65" s="88">
        <v>2.5317807984290001E-2</v>
      </c>
      <c r="O65" s="88">
        <v>0</v>
      </c>
      <c r="P65" s="88">
        <v>5.4421903026850363E-3</v>
      </c>
      <c r="Q65" s="88">
        <v>-9.0396095777250211E-3</v>
      </c>
      <c r="R65" s="88">
        <v>9.0498355199178562E-3</v>
      </c>
      <c r="S65" s="88">
        <v>2.0356541638259701E-2</v>
      </c>
      <c r="T65" s="88">
        <v>6.6666913581892974E-3</v>
      </c>
      <c r="U65" s="88">
        <v>9.8847592325419249E-3</v>
      </c>
      <c r="V65" s="88">
        <v>-3.3198069409595861E-2</v>
      </c>
      <c r="W65" s="89">
        <v>6.7705065672107071E-3</v>
      </c>
    </row>
    <row r="66" spans="7:23">
      <c r="G66" s="114">
        <v>43648</v>
      </c>
      <c r="H66" s="88">
        <v>5.5401803756153509E-3</v>
      </c>
      <c r="I66" s="88">
        <v>5.4158739730326378E-3</v>
      </c>
      <c r="J66" s="88">
        <v>5.0932166738162921E-3</v>
      </c>
      <c r="K66" s="88">
        <v>0</v>
      </c>
      <c r="L66" s="88">
        <v>0</v>
      </c>
      <c r="M66" s="88">
        <v>-3.1627723190590855E-3</v>
      </c>
      <c r="N66" s="88">
        <v>1.1357184639274286E-3</v>
      </c>
      <c r="O66" s="88">
        <v>1.4467595116118576E-3</v>
      </c>
      <c r="P66" s="88">
        <v>-2.7173929765000266E-3</v>
      </c>
      <c r="Q66" s="88">
        <v>-1.9484857132123914E-2</v>
      </c>
      <c r="R66" s="88">
        <v>1.3423020332140771E-2</v>
      </c>
      <c r="S66" s="88">
        <v>-2.6184073489020319E-3</v>
      </c>
      <c r="T66" s="88">
        <v>2.9462032730316067E-2</v>
      </c>
      <c r="U66" s="88">
        <v>-6.578971098042511E-3</v>
      </c>
      <c r="V66" s="88">
        <v>2.8089906110549518E-3</v>
      </c>
      <c r="W66" s="89">
        <v>1.0292477923153343E-4</v>
      </c>
    </row>
    <row r="67" spans="7:23">
      <c r="G67" s="114">
        <v>43649</v>
      </c>
      <c r="H67" s="88">
        <v>2.0150365150949052E-2</v>
      </c>
      <c r="I67" s="88">
        <v>7.7130740422382677E-4</v>
      </c>
      <c r="J67" s="88">
        <v>1.5025745307095039E-2</v>
      </c>
      <c r="K67" s="88">
        <v>2.0086758566737511E-2</v>
      </c>
      <c r="L67" s="88">
        <v>6.8886609951853157E-3</v>
      </c>
      <c r="M67" s="88">
        <v>-1.0187334629423242E-3</v>
      </c>
      <c r="N67" s="88">
        <v>2.7981680106799849E-2</v>
      </c>
      <c r="O67" s="88">
        <v>8.4935369882308039E-3</v>
      </c>
      <c r="P67" s="88">
        <v>3.3447934067540125E-2</v>
      </c>
      <c r="Q67" s="88">
        <v>2.061928720273561E-2</v>
      </c>
      <c r="R67" s="88">
        <v>2.1978906718775167E-2</v>
      </c>
      <c r="S67" s="88">
        <v>0</v>
      </c>
      <c r="T67" s="88">
        <v>-6.4725145056174788E-3</v>
      </c>
      <c r="U67" s="88">
        <v>0</v>
      </c>
      <c r="V67" s="88">
        <v>1.3927801744468804E-2</v>
      </c>
      <c r="W67" s="89">
        <v>1.9074302087765661E-2</v>
      </c>
    </row>
    <row r="68" spans="7:23">
      <c r="G68" s="114">
        <v>43650</v>
      </c>
      <c r="H68" s="88">
        <v>-5.4764085409975106E-2</v>
      </c>
      <c r="I68" s="88">
        <v>-1.0073700066537508E-2</v>
      </c>
      <c r="J68" s="88">
        <v>-1.0059434993177827E-2</v>
      </c>
      <c r="K68" s="88">
        <v>2.3583350136085597E-2</v>
      </c>
      <c r="L68" s="88">
        <v>2.0385756924473961E-2</v>
      </c>
      <c r="M68" s="88">
        <v>2.8359609627443307E-2</v>
      </c>
      <c r="N68" s="88">
        <v>6.6006840313518724E-3</v>
      </c>
      <c r="O68" s="88">
        <v>1.1119145207181796E-2</v>
      </c>
      <c r="P68" s="88">
        <v>0</v>
      </c>
      <c r="Q68" s="88">
        <v>1.9090978464829027E-2</v>
      </c>
      <c r="R68" s="88">
        <v>0</v>
      </c>
      <c r="S68" s="88">
        <v>2.6184073489019669E-3</v>
      </c>
      <c r="T68" s="88">
        <v>-2.6317308317373417E-2</v>
      </c>
      <c r="U68" s="88">
        <v>-9.9503308531679793E-3</v>
      </c>
      <c r="V68" s="88">
        <v>2.7624326959100796E-3</v>
      </c>
      <c r="W68" s="89">
        <v>1.8270987288228038E-3</v>
      </c>
    </row>
    <row r="69" spans="7:23">
      <c r="G69" s="114">
        <v>43651</v>
      </c>
      <c r="H69" s="88">
        <v>-2.3143542098703573E-2</v>
      </c>
      <c r="I69" s="88">
        <v>-1.4117881545784932E-2</v>
      </c>
      <c r="J69" s="88">
        <v>1.5051458139595646E-2</v>
      </c>
      <c r="K69" s="88">
        <v>4.2374617655711717E-2</v>
      </c>
      <c r="L69" s="88">
        <v>-2.2446698538238618E-3</v>
      </c>
      <c r="M69" s="88">
        <v>2.3499775915898382E-2</v>
      </c>
      <c r="N69" s="88">
        <v>5.4674821821336156E-3</v>
      </c>
      <c r="O69" s="88">
        <v>1.9374465355458802E-2</v>
      </c>
      <c r="P69" s="88">
        <v>-1.0582109330536972E-2</v>
      </c>
      <c r="Q69" s="88">
        <v>-1.909097846482891E-2</v>
      </c>
      <c r="R69" s="88">
        <v>0</v>
      </c>
      <c r="S69" s="88">
        <v>-1.0048782092194938E-2</v>
      </c>
      <c r="T69" s="88">
        <v>-1.6807118316381289E-2</v>
      </c>
      <c r="U69" s="88">
        <v>9.950330853168092E-3</v>
      </c>
      <c r="V69" s="88">
        <v>-2.0906684819313712E-2</v>
      </c>
      <c r="W69" s="89">
        <v>1.9243684613906901E-3</v>
      </c>
    </row>
    <row r="70" spans="7:23">
      <c r="G70" s="114">
        <v>43654</v>
      </c>
      <c r="H70" s="88">
        <v>-1.1152531950475003E-2</v>
      </c>
      <c r="I70" s="88">
        <v>7.8957761701758207E-4</v>
      </c>
      <c r="J70" s="88">
        <v>0</v>
      </c>
      <c r="K70" s="88">
        <v>-2.969178980740304E-2</v>
      </c>
      <c r="L70" s="88">
        <v>-5.1884835369011686E-2</v>
      </c>
      <c r="M70" s="88">
        <v>-1.320508418656844E-2</v>
      </c>
      <c r="N70" s="88">
        <v>-1.9824437784844544E-2</v>
      </c>
      <c r="O70" s="88">
        <v>5.4080420234956794E-3</v>
      </c>
      <c r="P70" s="88">
        <v>-1.3306721857050613E-3</v>
      </c>
      <c r="Q70" s="88">
        <v>1.4631662268064049E-2</v>
      </c>
      <c r="R70" s="88">
        <v>-2.1762794225955173E-3</v>
      </c>
      <c r="S70" s="88">
        <v>-1.0307759546064761E-2</v>
      </c>
      <c r="T70" s="88">
        <v>0</v>
      </c>
      <c r="U70" s="88">
        <v>-3.3057881344994329E-3</v>
      </c>
      <c r="V70" s="88">
        <v>-7.067167223092443E-3</v>
      </c>
      <c r="W70" s="89">
        <v>-1.860356107016746E-2</v>
      </c>
    </row>
    <row r="71" spans="7:23">
      <c r="G71" s="114">
        <v>43655</v>
      </c>
      <c r="H71" s="88">
        <v>-2.2048137221762614E-2</v>
      </c>
      <c r="I71" s="88">
        <v>-2.6390975855805909E-2</v>
      </c>
      <c r="J71" s="88">
        <v>-4.1066854028148858E-2</v>
      </c>
      <c r="K71" s="88">
        <v>-5.8093581028915854E-2</v>
      </c>
      <c r="L71" s="88">
        <v>-5.222801949065925E-2</v>
      </c>
      <c r="M71" s="88">
        <v>-7.2282527636871485E-2</v>
      </c>
      <c r="N71" s="88">
        <v>-3.0493610562640629E-2</v>
      </c>
      <c r="O71" s="88">
        <v>-4.4395189574367194E-2</v>
      </c>
      <c r="P71" s="88">
        <v>-3.6614259378418314E-2</v>
      </c>
      <c r="Q71" s="88">
        <v>-5.1587368790493117E-2</v>
      </c>
      <c r="R71" s="88">
        <v>-3.0975927894304905E-2</v>
      </c>
      <c r="S71" s="88">
        <v>-2.8664382887567206E-2</v>
      </c>
      <c r="T71" s="88">
        <v>-3.3955890011382718E-3</v>
      </c>
      <c r="U71" s="88">
        <v>-1.6694878572169992E-2</v>
      </c>
      <c r="V71" s="88">
        <v>-1.2848142477849024E-2</v>
      </c>
      <c r="W71" s="89">
        <v>-4.374806700187972E-2</v>
      </c>
    </row>
    <row r="72" spans="7:23">
      <c r="G72" s="114">
        <v>43656</v>
      </c>
      <c r="H72" s="88">
        <v>-1.2820688429061434E-2</v>
      </c>
      <c r="I72" s="88">
        <v>9.6774948820654381E-3</v>
      </c>
      <c r="J72" s="88">
        <v>8.7815017541132689E-3</v>
      </c>
      <c r="K72" s="88">
        <v>1.2694919481248944E-2</v>
      </c>
      <c r="L72" s="88">
        <v>3.431709292412894E-2</v>
      </c>
      <c r="M72" s="88">
        <v>3.0452180053129167E-2</v>
      </c>
      <c r="N72" s="88">
        <v>2.4916351264534418E-2</v>
      </c>
      <c r="O72" s="88">
        <v>4.3011297850596979E-2</v>
      </c>
      <c r="P72" s="88">
        <v>2.1858793812499017E-2</v>
      </c>
      <c r="Q72" s="88">
        <v>2.3501773449534514E-3</v>
      </c>
      <c r="R72" s="88">
        <v>8.9486055760140144E-3</v>
      </c>
      <c r="S72" s="88">
        <v>3.3831543840160253E-2</v>
      </c>
      <c r="T72" s="88">
        <v>0</v>
      </c>
      <c r="U72" s="88">
        <v>1.0050335853501286E-2</v>
      </c>
      <c r="V72" s="88">
        <v>-4.3196611445163961E-3</v>
      </c>
      <c r="W72" s="89">
        <v>2.4664176535657452E-2</v>
      </c>
    </row>
    <row r="73" spans="7:23">
      <c r="G73" s="114">
        <v>43657</v>
      </c>
      <c r="H73" s="88">
        <v>-6.453694964236418E-4</v>
      </c>
      <c r="I73" s="88">
        <v>4.0048111195124915E-3</v>
      </c>
      <c r="J73" s="88">
        <v>-1.7640801973017428E-2</v>
      </c>
      <c r="K73" s="88">
        <v>2.9380644393219961E-2</v>
      </c>
      <c r="L73" s="88">
        <v>-8.469500113573834E-3</v>
      </c>
      <c r="M73" s="88">
        <v>3.176046226968929E-3</v>
      </c>
      <c r="N73" s="88">
        <v>7.7994824348238895E-3</v>
      </c>
      <c r="O73" s="88">
        <v>0</v>
      </c>
      <c r="P73" s="88">
        <v>1.6086137751624225E-2</v>
      </c>
      <c r="Q73" s="88">
        <v>-7.0671672230923311E-3</v>
      </c>
      <c r="R73" s="88">
        <v>2.2027322318290909E-2</v>
      </c>
      <c r="S73" s="88">
        <v>-2.6585362440748215E-3</v>
      </c>
      <c r="T73" s="88">
        <v>-3.4071583216141975E-3</v>
      </c>
      <c r="U73" s="88">
        <v>-6.688988150796652E-3</v>
      </c>
      <c r="V73" s="88">
        <v>2.8818463748889502E-3</v>
      </c>
      <c r="W73" s="89">
        <v>2.0406987196778365E-3</v>
      </c>
    </row>
    <row r="74" spans="7:23">
      <c r="G74" s="114">
        <v>43658</v>
      </c>
      <c r="H74" s="88">
        <v>-9.4049663570776893E-3</v>
      </c>
      <c r="I74" s="88">
        <v>-7.9968017056429011E-4</v>
      </c>
      <c r="J74" s="88">
        <v>1.4034223794001554E-2</v>
      </c>
      <c r="K74" s="88">
        <v>-1.4017611079311347E-2</v>
      </c>
      <c r="L74" s="88">
        <v>-1.4688146561656788E-2</v>
      </c>
      <c r="M74" s="88">
        <v>0</v>
      </c>
      <c r="N74" s="88">
        <v>8.839836569141021E-3</v>
      </c>
      <c r="O74" s="88">
        <v>-5.4155516651534534E-3</v>
      </c>
      <c r="P74" s="88">
        <v>1.0582109330537008E-2</v>
      </c>
      <c r="Q74" s="88">
        <v>4.9577875907681319E-2</v>
      </c>
      <c r="R74" s="88">
        <v>0</v>
      </c>
      <c r="S74" s="88">
        <v>1.0282065970372234E-2</v>
      </c>
      <c r="T74" s="88">
        <v>2.0270964373618985E-2</v>
      </c>
      <c r="U74" s="88">
        <v>-1.0118130165584554E-2</v>
      </c>
      <c r="V74" s="88">
        <v>-7.2202479734870201E-3</v>
      </c>
      <c r="W74" s="89">
        <v>-5.7850632972207819E-3</v>
      </c>
    </row>
    <row r="75" spans="7:23">
      <c r="G75" s="114">
        <v>43661</v>
      </c>
      <c r="H75" s="88">
        <v>-1.5432911787051317E-2</v>
      </c>
      <c r="I75" s="88">
        <v>0</v>
      </c>
      <c r="J75" s="88">
        <v>2.5774538728946632E-3</v>
      </c>
      <c r="K75" s="88">
        <v>1.1787955752042393E-2</v>
      </c>
      <c r="L75" s="88">
        <v>-3.7059955943175358E-3</v>
      </c>
      <c r="M75" s="88">
        <v>1.2716088748175411E-2</v>
      </c>
      <c r="N75" s="88">
        <v>-4.5001968912086847E-2</v>
      </c>
      <c r="O75" s="88">
        <v>-6.8459925079901139E-3</v>
      </c>
      <c r="P75" s="88">
        <v>-2.6350476380050023E-3</v>
      </c>
      <c r="Q75" s="88">
        <v>1.3408022094433156E-2</v>
      </c>
      <c r="R75" s="88">
        <v>-4.2275483148238306E-2</v>
      </c>
      <c r="S75" s="88">
        <v>1.0023987087280948E-2</v>
      </c>
      <c r="T75" s="88">
        <v>-6.7114345879868038E-3</v>
      </c>
      <c r="U75" s="88">
        <v>-3.3955890011382718E-3</v>
      </c>
      <c r="V75" s="88">
        <v>-2.1978906718775115E-2</v>
      </c>
      <c r="W75" s="89">
        <v>-8.2708425834621836E-3</v>
      </c>
    </row>
    <row r="76" spans="7:23">
      <c r="G76" s="114">
        <v>43662</v>
      </c>
      <c r="H76" s="88">
        <v>-7.3065751824381393E-3</v>
      </c>
      <c r="I76" s="88">
        <v>0</v>
      </c>
      <c r="J76" s="88">
        <v>-3.0937427996398075E-3</v>
      </c>
      <c r="K76" s="88">
        <v>1.6727073875033088E-3</v>
      </c>
      <c r="L76" s="88">
        <v>4.9382816405825767E-3</v>
      </c>
      <c r="M76" s="88">
        <v>-5.2693658558174402E-3</v>
      </c>
      <c r="N76" s="88">
        <v>5.2673239408738332E-2</v>
      </c>
      <c r="O76" s="88">
        <v>-2.8078075445228568E-3</v>
      </c>
      <c r="P76" s="88">
        <v>6.5746456420853853E-3</v>
      </c>
      <c r="Q76" s="88">
        <v>-1.678830700325705E-2</v>
      </c>
      <c r="R76" s="88">
        <v>1.8018505502678212E-2</v>
      </c>
      <c r="S76" s="88">
        <v>2.724551757766978E-2</v>
      </c>
      <c r="T76" s="88">
        <v>3.3613477027049274E-3</v>
      </c>
      <c r="U76" s="88">
        <v>1.3513719166722855E-2</v>
      </c>
      <c r="V76" s="88">
        <v>2.7759269634274567E-2</v>
      </c>
      <c r="W76" s="89">
        <v>5.4241312937332422E-3</v>
      </c>
    </row>
    <row r="77" spans="7:23">
      <c r="G77" s="114">
        <v>43663</v>
      </c>
      <c r="H77" s="88">
        <v>2.3716526617316065E-2</v>
      </c>
      <c r="I77" s="88">
        <v>-3.2051309489483358E-3</v>
      </c>
      <c r="J77" s="88">
        <v>2.3376759907068806E-2</v>
      </c>
      <c r="K77" s="88">
        <v>2.7816429618767705E-3</v>
      </c>
      <c r="L77" s="88">
        <v>1.5883046173002933E-2</v>
      </c>
      <c r="M77" s="88">
        <v>1.9921642642687778E-2</v>
      </c>
      <c r="N77" s="88">
        <v>-2.1857932199802082E-3</v>
      </c>
      <c r="O77" s="88">
        <v>1.4048892448386403E-3</v>
      </c>
      <c r="P77" s="88">
        <v>-3.9395980040803141E-3</v>
      </c>
      <c r="Q77" s="88">
        <v>1.1223462369849576E-2</v>
      </c>
      <c r="R77" s="88">
        <v>1.5504186535965254E-2</v>
      </c>
      <c r="S77" s="88">
        <v>1.4527382675193769E-2</v>
      </c>
      <c r="T77" s="88">
        <v>0</v>
      </c>
      <c r="U77" s="88">
        <v>6.6889881507967101E-3</v>
      </c>
      <c r="V77" s="88">
        <v>-5.7803629154994252E-3</v>
      </c>
      <c r="W77" s="89">
        <v>1.4038004904104853E-2</v>
      </c>
    </row>
    <row r="78" spans="7:23">
      <c r="G78" s="114">
        <v>43664</v>
      </c>
      <c r="H78" s="88">
        <v>-2.6075634070808302E-3</v>
      </c>
      <c r="I78" s="88">
        <v>2.4048107781791494E-3</v>
      </c>
      <c r="J78" s="88">
        <v>-7.4944648939505405E-3</v>
      </c>
      <c r="K78" s="88">
        <v>-2.7816429618768026E-3</v>
      </c>
      <c r="L78" s="88">
        <v>2.0396627907645654E-2</v>
      </c>
      <c r="M78" s="88">
        <v>-9.4105316673855095E-3</v>
      </c>
      <c r="N78" s="88">
        <v>5.8434040436616201E-2</v>
      </c>
      <c r="O78" s="88">
        <v>1.4029182996841668E-3</v>
      </c>
      <c r="P78" s="88">
        <v>-1.3166558847467851E-3</v>
      </c>
      <c r="Q78" s="88">
        <v>-3.6367644170874833E-2</v>
      </c>
      <c r="R78" s="88">
        <v>1.092907053219023E-2</v>
      </c>
      <c r="S78" s="88">
        <v>0</v>
      </c>
      <c r="T78" s="88">
        <v>-3.3613477027048832E-3</v>
      </c>
      <c r="U78" s="88">
        <v>0</v>
      </c>
      <c r="V78" s="88">
        <v>0</v>
      </c>
      <c r="W78" s="89">
        <v>2.956420860475754E-3</v>
      </c>
    </row>
    <row r="79" spans="7:23">
      <c r="G79" s="114">
        <v>43665</v>
      </c>
      <c r="H79" s="88">
        <v>-6.5488118789054396E-3</v>
      </c>
      <c r="I79" s="88">
        <v>-7.2318515264950889E-3</v>
      </c>
      <c r="J79" s="88">
        <v>8.5029361371444061E-3</v>
      </c>
      <c r="K79" s="88">
        <v>-8.3916576362482887E-3</v>
      </c>
      <c r="L79" s="88">
        <v>9.4563352420354435E-3</v>
      </c>
      <c r="M79" s="88">
        <v>-1.264918639734651E-2</v>
      </c>
      <c r="N79" s="88">
        <v>1.3326696463699736E-2</v>
      </c>
      <c r="O79" s="88">
        <v>-8.3058125126122314E-3</v>
      </c>
      <c r="P79" s="88">
        <v>1.3166558847469028E-3</v>
      </c>
      <c r="Q79" s="88">
        <v>-2.8170876966696335E-2</v>
      </c>
      <c r="R79" s="88">
        <v>2.9980832211935857E-2</v>
      </c>
      <c r="S79" s="88">
        <v>0</v>
      </c>
      <c r="T79" s="88">
        <v>6.7114345879867778E-3</v>
      </c>
      <c r="U79" s="88">
        <v>-6.688988150796652E-3</v>
      </c>
      <c r="V79" s="88">
        <v>1.448226176364748E-3</v>
      </c>
      <c r="W79" s="89">
        <v>-3.1868595014466826E-3</v>
      </c>
    </row>
    <row r="80" spans="7:23">
      <c r="G80" s="114">
        <v>43668</v>
      </c>
      <c r="H80" s="88">
        <v>1.969150619880896E-3</v>
      </c>
      <c r="I80" s="88">
        <v>-1.6142053545411135E-3</v>
      </c>
      <c r="J80" s="88">
        <v>2.013896562242894E-3</v>
      </c>
      <c r="K80" s="88">
        <v>-3.9403372119229405E-3</v>
      </c>
      <c r="L80" s="88">
        <v>-1.1834457647002796E-2</v>
      </c>
      <c r="M80" s="88">
        <v>-3.1592038009691827E-3</v>
      </c>
      <c r="N80" s="88">
        <v>0</v>
      </c>
      <c r="O80" s="88">
        <v>-2.8312589694285384E-3</v>
      </c>
      <c r="P80" s="88">
        <v>1.6960615307045197E-2</v>
      </c>
      <c r="Q80" s="88">
        <v>0</v>
      </c>
      <c r="R80" s="88">
        <v>4.210532536343679E-3</v>
      </c>
      <c r="S80" s="88">
        <v>1.4319356300407819E-2</v>
      </c>
      <c r="T80" s="88">
        <v>-3.350086885281863E-3</v>
      </c>
      <c r="U80" s="88">
        <v>-1.351371916672282E-2</v>
      </c>
      <c r="V80" s="88">
        <v>1.2940511275734732E-2</v>
      </c>
      <c r="W80" s="89">
        <v>-3.2548505189308888E-3</v>
      </c>
    </row>
    <row r="81" spans="7:23">
      <c r="G81" s="114">
        <v>43669</v>
      </c>
      <c r="H81" s="88">
        <v>1.9159540457296443E-2</v>
      </c>
      <c r="I81" s="88">
        <v>-6.483004878078266E-3</v>
      </c>
      <c r="J81" s="88">
        <v>4.5164928484094351E-3</v>
      </c>
      <c r="K81" s="88">
        <v>-3.9559249103025664E-3</v>
      </c>
      <c r="L81" s="88">
        <v>-1.1976191046715649E-2</v>
      </c>
      <c r="M81" s="88">
        <v>-2.3786141425950889E-2</v>
      </c>
      <c r="N81" s="88">
        <v>-1.5910009706080471E-2</v>
      </c>
      <c r="O81" s="88">
        <v>-1.2766864632167202E-3</v>
      </c>
      <c r="P81" s="88">
        <v>0</v>
      </c>
      <c r="Q81" s="88">
        <v>3.0483016725075751E-2</v>
      </c>
      <c r="R81" s="88">
        <v>-2.1030501967787877E-3</v>
      </c>
      <c r="S81" s="88">
        <v>-4.7989621657208688E-3</v>
      </c>
      <c r="T81" s="88">
        <v>-1.6920877488337177E-2</v>
      </c>
      <c r="U81" s="88">
        <v>3.3955890011383287E-3</v>
      </c>
      <c r="V81" s="88">
        <v>1.4184634991956381E-2</v>
      </c>
      <c r="W81" s="89">
        <v>5.3613867377778996E-3</v>
      </c>
    </row>
    <row r="82" spans="7:23">
      <c r="G82" s="114">
        <v>43670</v>
      </c>
      <c r="H82" s="88">
        <v>-7.7494737192655896E-3</v>
      </c>
      <c r="I82" s="88">
        <v>1.1317824932661437E-2</v>
      </c>
      <c r="J82" s="88">
        <v>-4.5164928484095089E-3</v>
      </c>
      <c r="K82" s="88">
        <v>-1.6557614922800293E-2</v>
      </c>
      <c r="L82" s="88">
        <v>1.7910926566530243E-2</v>
      </c>
      <c r="M82" s="88">
        <v>9.7887578421556737E-3</v>
      </c>
      <c r="N82" s="88">
        <v>-1.5531973093995486E-3</v>
      </c>
      <c r="O82" s="88">
        <v>8.1990846650292926E-3</v>
      </c>
      <c r="P82" s="88">
        <v>3.8734715957966189E-3</v>
      </c>
      <c r="Q82" s="88">
        <v>-1.2783439625674926E-2</v>
      </c>
      <c r="R82" s="88">
        <v>-2.5587749948407169E-2</v>
      </c>
      <c r="S82" s="88">
        <v>0</v>
      </c>
      <c r="T82" s="88">
        <v>1.3559529785632294E-2</v>
      </c>
      <c r="U82" s="88">
        <v>1.3468217050866611E-2</v>
      </c>
      <c r="V82" s="88">
        <v>-2.8208763416413406E-3</v>
      </c>
      <c r="W82" s="89">
        <v>5.389983117538617E-3</v>
      </c>
    </row>
    <row r="83" spans="7:23">
      <c r="G83" s="114">
        <v>43671</v>
      </c>
      <c r="H83" s="88">
        <v>1.7033996953489554E-2</v>
      </c>
      <c r="I83" s="88">
        <v>-2.414488094517464E-3</v>
      </c>
      <c r="J83" s="88">
        <v>1.2992387435999333E-2</v>
      </c>
      <c r="K83" s="88">
        <v>3.5071467709428053E-2</v>
      </c>
      <c r="L83" s="88">
        <v>2.5702349423368048E-2</v>
      </c>
      <c r="M83" s="88">
        <v>3.6015596354233452E-2</v>
      </c>
      <c r="N83" s="88">
        <v>3.0614635819606734E-2</v>
      </c>
      <c r="O83" s="88">
        <v>5.6156261571626174E-3</v>
      </c>
      <c r="P83" s="88">
        <v>1.6613800662655432E-2</v>
      </c>
      <c r="Q83" s="88">
        <v>-7.0422826254129232E-3</v>
      </c>
      <c r="R83" s="88">
        <v>1.5005640617870176E-2</v>
      </c>
      <c r="S83" s="88">
        <v>-4.8221033016506779E-3</v>
      </c>
      <c r="T83" s="88">
        <v>6.7114345879867778E-3</v>
      </c>
      <c r="U83" s="88">
        <v>-3.3500868852820854E-3</v>
      </c>
      <c r="V83" s="88">
        <v>9.8384490002879407E-3</v>
      </c>
      <c r="W83" s="89">
        <v>1.3236347832941427E-2</v>
      </c>
    </row>
    <row r="84" spans="7:23">
      <c r="G84" s="114">
        <v>43672</v>
      </c>
      <c r="H84" s="88">
        <v>5.0858342300057462E-3</v>
      </c>
      <c r="I84" s="88">
        <v>2.4144880945175533E-3</v>
      </c>
      <c r="J84" s="88">
        <v>2.2580971235548801E-2</v>
      </c>
      <c r="K84" s="88">
        <v>-1.1123471669740592E-3</v>
      </c>
      <c r="L84" s="88">
        <v>-2.3094698486625289E-3</v>
      </c>
      <c r="M84" s="88">
        <v>1.0337714410407347E-2</v>
      </c>
      <c r="N84" s="88">
        <v>-2.0120731134201197E-3</v>
      </c>
      <c r="O84" s="88">
        <v>-2.8038711766186193E-3</v>
      </c>
      <c r="P84" s="88">
        <v>1.2594624920400458E-2</v>
      </c>
      <c r="Q84" s="88">
        <v>1.1771631730148311E-3</v>
      </c>
      <c r="R84" s="88">
        <v>2.521141934649607E-2</v>
      </c>
      <c r="S84" s="88">
        <v>2.8305138740740202E-2</v>
      </c>
      <c r="T84" s="88">
        <v>0</v>
      </c>
      <c r="U84" s="88">
        <v>-3.3613477027047717E-3</v>
      </c>
      <c r="V84" s="88">
        <v>-7.0175726586465346E-3</v>
      </c>
      <c r="W84" s="89">
        <v>5.3020065781536506E-3</v>
      </c>
    </row>
    <row r="85" spans="7:23">
      <c r="G85" s="114">
        <v>43675</v>
      </c>
      <c r="H85" s="88">
        <v>2.5332502464336074E-3</v>
      </c>
      <c r="I85" s="88">
        <v>0</v>
      </c>
      <c r="J85" s="88">
        <v>-1.3684115397812006E-2</v>
      </c>
      <c r="K85" s="88">
        <v>-2.2284131784261162E-3</v>
      </c>
      <c r="L85" s="88">
        <v>1.6055390753297778E-2</v>
      </c>
      <c r="M85" s="88">
        <v>-2.2908100746356738E-2</v>
      </c>
      <c r="N85" s="88">
        <v>0</v>
      </c>
      <c r="O85" s="88">
        <v>-2.8117549805438988E-3</v>
      </c>
      <c r="P85" s="88">
        <v>9.962722503674068E-3</v>
      </c>
      <c r="Q85" s="88">
        <v>0</v>
      </c>
      <c r="R85" s="88">
        <v>-6.2435166396851592E-3</v>
      </c>
      <c r="S85" s="88">
        <v>0</v>
      </c>
      <c r="T85" s="88">
        <v>-3.350086885281863E-3</v>
      </c>
      <c r="U85" s="88">
        <v>-3.3726844786393416E-3</v>
      </c>
      <c r="V85" s="88">
        <v>0</v>
      </c>
      <c r="W85" s="89">
        <v>4.8607395757710708E-3</v>
      </c>
    </row>
    <row r="86" spans="7:23">
      <c r="G86" s="114">
        <v>43676</v>
      </c>
      <c r="H86" s="88">
        <v>3.1620553623144804E-4</v>
      </c>
      <c r="I86" s="88">
        <v>-1.1317824932661461E-2</v>
      </c>
      <c r="J86" s="88">
        <v>-4.9329223944822699E-3</v>
      </c>
      <c r="K86" s="88">
        <v>-2.792517871673522E-3</v>
      </c>
      <c r="L86" s="88">
        <v>-4.5610113275625624E-3</v>
      </c>
      <c r="M86" s="88">
        <v>-1.2730414701002012E-2</v>
      </c>
      <c r="N86" s="88">
        <v>-7.0743094425371536E-3</v>
      </c>
      <c r="O86" s="88">
        <v>2.8117549805439018E-3</v>
      </c>
      <c r="P86" s="88">
        <v>-2.4813908513853979E-3</v>
      </c>
      <c r="Q86" s="88">
        <v>1.1696039763191236E-2</v>
      </c>
      <c r="R86" s="88">
        <v>-1.4721611825359738E-2</v>
      </c>
      <c r="S86" s="88">
        <v>1.6662345390089584E-2</v>
      </c>
      <c r="T86" s="88">
        <v>6.6889881507964889E-3</v>
      </c>
      <c r="U86" s="88">
        <v>-3.3840979842404569E-3</v>
      </c>
      <c r="V86" s="88">
        <v>4.2164503789348254E-3</v>
      </c>
      <c r="W86" s="89">
        <v>-5.8604532242473636E-3</v>
      </c>
    </row>
    <row r="87" spans="7:23">
      <c r="G87" s="114">
        <v>43677</v>
      </c>
      <c r="H87" s="88">
        <v>-1.0487939771449867E-2</v>
      </c>
      <c r="I87" s="88">
        <v>1.1317824932661437E-2</v>
      </c>
      <c r="J87" s="88">
        <v>5.9165935341970385E-3</v>
      </c>
      <c r="K87" s="88">
        <v>-1.2946986366062282E-2</v>
      </c>
      <c r="L87" s="88">
        <v>6.833739578565117E-3</v>
      </c>
      <c r="M87" s="88">
        <v>3.2825882665132476E-3</v>
      </c>
      <c r="N87" s="88">
        <v>-5.0838950372721729E-3</v>
      </c>
      <c r="O87" s="88">
        <v>-2.8117549805438988E-3</v>
      </c>
      <c r="P87" s="88">
        <v>2.6962417605127822E-2</v>
      </c>
      <c r="Q87" s="88">
        <v>8.1065875329884938E-3</v>
      </c>
      <c r="R87" s="88">
        <v>4.9596941139371978E-2</v>
      </c>
      <c r="S87" s="88">
        <v>0</v>
      </c>
      <c r="T87" s="88">
        <v>0</v>
      </c>
      <c r="U87" s="88">
        <v>0</v>
      </c>
      <c r="V87" s="88">
        <v>2.8011222797117733E-3</v>
      </c>
      <c r="W87" s="89">
        <v>1.1309025732337281E-2</v>
      </c>
    </row>
    <row r="88" spans="7:23">
      <c r="G88" s="114">
        <v>43678</v>
      </c>
      <c r="H88" s="88">
        <v>9.5390230467589099E-3</v>
      </c>
      <c r="I88" s="88">
        <v>-1.0505147114671194E-2</v>
      </c>
      <c r="J88" s="88">
        <v>-1.2863822746159839E-2</v>
      </c>
      <c r="K88" s="88">
        <v>-5.1121951723351964E-3</v>
      </c>
      <c r="L88" s="88">
        <v>-3.2298078444500389E-2</v>
      </c>
      <c r="M88" s="88">
        <v>1.0566645078830822E-2</v>
      </c>
      <c r="N88" s="88">
        <v>-8.188377379358033E-3</v>
      </c>
      <c r="O88" s="88">
        <v>0</v>
      </c>
      <c r="P88" s="88">
        <v>6.0277457975174663E-3</v>
      </c>
      <c r="Q88" s="88">
        <v>3.4542348680873824E-3</v>
      </c>
      <c r="R88" s="88">
        <v>0</v>
      </c>
      <c r="S88" s="88">
        <v>-2.2231004029671913E-2</v>
      </c>
      <c r="T88" s="88">
        <v>-1.0050335853501451E-2</v>
      </c>
      <c r="U88" s="88">
        <v>-6.8027473227525231E-3</v>
      </c>
      <c r="V88" s="88">
        <v>0</v>
      </c>
      <c r="W88" s="89">
        <v>-5.4485725080898745E-3</v>
      </c>
    </row>
    <row r="89" spans="7:23">
      <c r="G89" s="114">
        <v>43679</v>
      </c>
      <c r="H89" s="88">
        <v>-1.4663954187014237E-2</v>
      </c>
      <c r="I89" s="88">
        <v>-4.8860032056262086E-3</v>
      </c>
      <c r="J89" s="88">
        <v>-4.9920231464177798E-3</v>
      </c>
      <c r="K89" s="88">
        <v>-1.4917086703237267E-2</v>
      </c>
      <c r="L89" s="88">
        <v>-3.2164773970701055E-2</v>
      </c>
      <c r="M89" s="88">
        <v>-1.2716088748175368E-2</v>
      </c>
      <c r="N89" s="88">
        <v>-2.057613894680154E-3</v>
      </c>
      <c r="O89" s="88">
        <v>-6.9223982018125846E-3</v>
      </c>
      <c r="P89" s="88">
        <v>1.2012013456341492E-3</v>
      </c>
      <c r="Q89" s="88">
        <v>-1.1560822401075971E-2</v>
      </c>
      <c r="R89" s="88">
        <v>-2.0181641562372361E-3</v>
      </c>
      <c r="S89" s="88">
        <v>-1.6894488898761797E-2</v>
      </c>
      <c r="T89" s="88">
        <v>0</v>
      </c>
      <c r="U89" s="88">
        <v>-3.418806748785609E-3</v>
      </c>
      <c r="V89" s="88">
        <v>0</v>
      </c>
      <c r="W89" s="89">
        <v>-1.1156478944187094E-2</v>
      </c>
    </row>
    <row r="90" spans="7:23">
      <c r="G90" s="114">
        <v>43682</v>
      </c>
      <c r="H90" s="88">
        <v>-3.3635823912209817E-2</v>
      </c>
      <c r="I90" s="88">
        <v>2.4459857282604423E-3</v>
      </c>
      <c r="J90" s="88">
        <v>-9.0489256105038985E-3</v>
      </c>
      <c r="K90" s="88">
        <v>-4.0099712076431107E-2</v>
      </c>
      <c r="L90" s="88">
        <v>-7.6718939694442101E-2</v>
      </c>
      <c r="M90" s="88">
        <v>-4.3633606669078166E-2</v>
      </c>
      <c r="N90" s="88">
        <v>-2.2917669681397058E-2</v>
      </c>
      <c r="O90" s="88">
        <v>-1.5284920103116415E-2</v>
      </c>
      <c r="P90" s="88">
        <v>-5.3000696705775473E-2</v>
      </c>
      <c r="Q90" s="88">
        <v>-5.129329438755046E-2</v>
      </c>
      <c r="R90" s="88">
        <v>-4.3350440873613859E-2</v>
      </c>
      <c r="S90" s="88">
        <v>-2.6113455498402206E-2</v>
      </c>
      <c r="T90" s="88">
        <v>-3.3726844786391187E-3</v>
      </c>
      <c r="U90" s="88">
        <v>-6.8728792877620643E-3</v>
      </c>
      <c r="V90" s="88">
        <v>-8.4270161618801159E-3</v>
      </c>
      <c r="W90" s="89">
        <v>-3.9064812482027721E-2</v>
      </c>
    </row>
    <row r="91" spans="7:23">
      <c r="G91" s="114">
        <v>43683</v>
      </c>
      <c r="H91" s="88">
        <v>5.9602825455033672E-3</v>
      </c>
      <c r="I91" s="88">
        <v>1.6273396593754076E-3</v>
      </c>
      <c r="J91" s="88">
        <v>-1.516336996140707E-2</v>
      </c>
      <c r="K91" s="88">
        <v>-6.0186580209867343E-4</v>
      </c>
      <c r="L91" s="88">
        <v>-2.515023362277501E-2</v>
      </c>
      <c r="M91" s="88">
        <v>-2.5885207987678849E-2</v>
      </c>
      <c r="N91" s="88">
        <v>-4.2238711161851714E-3</v>
      </c>
      <c r="O91" s="88">
        <v>1.294684781292773E-3</v>
      </c>
      <c r="P91" s="88">
        <v>6.3091691932647556E-3</v>
      </c>
      <c r="Q91" s="88">
        <v>-4.6345175176365487E-2</v>
      </c>
      <c r="R91" s="88">
        <v>-4.2283361095210642E-3</v>
      </c>
      <c r="S91" s="88">
        <v>8.7804716211323328E-3</v>
      </c>
      <c r="T91" s="88">
        <v>0</v>
      </c>
      <c r="U91" s="88">
        <v>-3.4542348680874461E-3</v>
      </c>
      <c r="V91" s="88">
        <v>-2.8248606355547388E-3</v>
      </c>
      <c r="W91" s="89">
        <v>-7.9379069492023363E-3</v>
      </c>
    </row>
    <row r="92" spans="7:23">
      <c r="G92" s="114">
        <v>43684</v>
      </c>
      <c r="H92" s="88">
        <v>6.6006603056574433E-4</v>
      </c>
      <c r="I92" s="88">
        <v>-5.7073126792908666E-3</v>
      </c>
      <c r="J92" s="88">
        <v>-5.6558328565613509E-3</v>
      </c>
      <c r="K92" s="88">
        <v>5.4037957975058056E-3</v>
      </c>
      <c r="L92" s="88">
        <v>-1.3413818242013361E-3</v>
      </c>
      <c r="M92" s="88">
        <v>-1.7266087414001954E-2</v>
      </c>
      <c r="N92" s="88">
        <v>-1.0638398205055754E-2</v>
      </c>
      <c r="O92" s="88">
        <v>-1.4188742451308104E-2</v>
      </c>
      <c r="P92" s="88">
        <v>-1.011386623692867E-2</v>
      </c>
      <c r="Q92" s="88">
        <v>-1.0309369658861213E-2</v>
      </c>
      <c r="R92" s="88">
        <v>-1.7094433359300183E-2</v>
      </c>
      <c r="S92" s="88">
        <v>-8.7804716211322669E-3</v>
      </c>
      <c r="T92" s="88">
        <v>0</v>
      </c>
      <c r="U92" s="88">
        <v>-6.9444723528110461E-3</v>
      </c>
      <c r="V92" s="88">
        <v>-1.415428403330728E-3</v>
      </c>
      <c r="W92" s="89">
        <v>-8.2163087140620372E-3</v>
      </c>
    </row>
    <row r="93" spans="7:23">
      <c r="G93" s="114">
        <v>43685</v>
      </c>
      <c r="H93" s="88">
        <v>-3.6357666888878577E-3</v>
      </c>
      <c r="I93" s="88">
        <v>9.7641133749051413E-3</v>
      </c>
      <c r="J93" s="88">
        <v>-5.1575636812981767E-4</v>
      </c>
      <c r="K93" s="88">
        <v>0</v>
      </c>
      <c r="L93" s="88">
        <v>1.8617559016070515E-2</v>
      </c>
      <c r="M93" s="88">
        <v>2.1747955494109933E-2</v>
      </c>
      <c r="N93" s="88">
        <v>3.7779939002637972E-2</v>
      </c>
      <c r="O93" s="88">
        <v>7.1195360661072543E-3</v>
      </c>
      <c r="P93" s="88">
        <v>1.6383479250524125E-2</v>
      </c>
      <c r="Q93" s="88">
        <v>4.0614719154190126E-2</v>
      </c>
      <c r="R93" s="88">
        <v>1.4973541790162583E-2</v>
      </c>
      <c r="S93" s="88">
        <v>-1.4757081532966633E-2</v>
      </c>
      <c r="T93" s="88">
        <v>0</v>
      </c>
      <c r="U93" s="88">
        <v>1.0398707220898517E-2</v>
      </c>
      <c r="V93" s="88">
        <v>-1.4174346809733935E-3</v>
      </c>
      <c r="W93" s="89">
        <v>1.0971636336594469E-2</v>
      </c>
    </row>
    <row r="94" spans="7:23">
      <c r="G94" s="114">
        <v>43686</v>
      </c>
      <c r="H94" s="88">
        <v>-9.9834439841832625E-3</v>
      </c>
      <c r="I94" s="88">
        <v>-1.3040119580806035E-2</v>
      </c>
      <c r="J94" s="88">
        <v>1.2305323441963426E-2</v>
      </c>
      <c r="K94" s="88">
        <v>-8.4185704655957896E-3</v>
      </c>
      <c r="L94" s="88">
        <v>-1.8617559016070453E-2</v>
      </c>
      <c r="M94" s="88">
        <v>1.2491154485623542E-2</v>
      </c>
      <c r="N94" s="88">
        <v>6.1601837514576414E-3</v>
      </c>
      <c r="O94" s="88">
        <v>-8.4327338910676654E-3</v>
      </c>
      <c r="P94" s="88">
        <v>-1.6383479250524056E-2</v>
      </c>
      <c r="Q94" s="88">
        <v>-1.1257154524634334E-2</v>
      </c>
      <c r="R94" s="88">
        <v>-1.9293202934678896E-2</v>
      </c>
      <c r="S94" s="88">
        <v>-5.9338325498107638E-3</v>
      </c>
      <c r="T94" s="88">
        <v>1.0084119066626008E-2</v>
      </c>
      <c r="U94" s="88">
        <v>0</v>
      </c>
      <c r="V94" s="88">
        <v>0</v>
      </c>
      <c r="W94" s="89">
        <v>-7.7412704990185485E-3</v>
      </c>
    </row>
    <row r="95" spans="7:23">
      <c r="G95" s="114">
        <v>43689</v>
      </c>
      <c r="H95" s="88">
        <v>9.6522633221068389E-3</v>
      </c>
      <c r="I95" s="88">
        <v>8.2000824603074601E-4</v>
      </c>
      <c r="J95" s="88">
        <v>-5.6211502704298479E-3</v>
      </c>
      <c r="K95" s="88">
        <v>-7.2727593290795849E-3</v>
      </c>
      <c r="L95" s="88">
        <v>-3.4133006369458582E-2</v>
      </c>
      <c r="M95" s="88">
        <v>1.0094498163125649E-2</v>
      </c>
      <c r="N95" s="88">
        <v>1.0183387390698871E-2</v>
      </c>
      <c r="O95" s="88">
        <v>-1.160156929158462E-2</v>
      </c>
      <c r="P95" s="88">
        <v>1.6383479250524125E-2</v>
      </c>
      <c r="Q95" s="88">
        <v>2.9741969198737516E-2</v>
      </c>
      <c r="R95" s="88">
        <v>-4.3384015985982417E-3</v>
      </c>
      <c r="S95" s="88">
        <v>-1.817111900926989E-2</v>
      </c>
      <c r="T95" s="88">
        <v>-1.0084119066625935E-2</v>
      </c>
      <c r="U95" s="88">
        <v>-1.0398707220898511E-2</v>
      </c>
      <c r="V95" s="88">
        <v>-7.1174677688639896E-3</v>
      </c>
      <c r="W95" s="89">
        <v>-1.0900953330012206E-2</v>
      </c>
    </row>
    <row r="96" spans="7:23">
      <c r="G96" s="114">
        <v>43690</v>
      </c>
      <c r="H96" s="88">
        <v>-1.6575505203980791E-3</v>
      </c>
      <c r="I96" s="88">
        <v>-1.486402263214928E-2</v>
      </c>
      <c r="J96" s="88">
        <v>-6.6841731715336613E-3</v>
      </c>
      <c r="K96" s="88">
        <v>-2.7128667388252699E-2</v>
      </c>
      <c r="L96" s="88">
        <v>-2.8170876966696335E-2</v>
      </c>
      <c r="M96" s="88">
        <v>-2.7067520728857122E-2</v>
      </c>
      <c r="N96" s="88">
        <v>-1.7373967936053069E-2</v>
      </c>
      <c r="O96" s="88">
        <v>-1.4581421867738026E-2</v>
      </c>
      <c r="P96" s="88">
        <v>-1.765493523872071E-2</v>
      </c>
      <c r="Q96" s="88">
        <v>-2.5975486403260563E-2</v>
      </c>
      <c r="R96" s="88">
        <v>-8.7336799687545534E-3</v>
      </c>
      <c r="S96" s="88">
        <v>-9.2108995601759662E-3</v>
      </c>
      <c r="T96" s="88">
        <v>0</v>
      </c>
      <c r="U96" s="88">
        <v>-1.0507977598415206E-2</v>
      </c>
      <c r="V96" s="88">
        <v>-7.168489478612516E-3</v>
      </c>
      <c r="W96" s="89">
        <v>-1.5336701224138886E-2</v>
      </c>
    </row>
    <row r="97" spans="7:23">
      <c r="G97" s="114">
        <v>43691</v>
      </c>
      <c r="H97" s="88">
        <v>-2.0785193466077639E-2</v>
      </c>
      <c r="I97" s="88">
        <v>-1.0033528989577697E-2</v>
      </c>
      <c r="J97" s="88">
        <v>-1.5597695860364016E-2</v>
      </c>
      <c r="K97" s="88">
        <v>-2.4036577828241382E-2</v>
      </c>
      <c r="L97" s="88">
        <v>-7.1035773116751647E-2</v>
      </c>
      <c r="M97" s="88">
        <v>-3.3704813757161819E-2</v>
      </c>
      <c r="N97" s="88">
        <v>-1.7681167843226445E-2</v>
      </c>
      <c r="O97" s="88">
        <v>-1.0244138998563994E-2</v>
      </c>
      <c r="P97" s="88">
        <v>-2.0566277581477083E-2</v>
      </c>
      <c r="Q97" s="88">
        <v>-4.2232763623272898E-2</v>
      </c>
      <c r="R97" s="88">
        <v>-1.5469921772131891E-2</v>
      </c>
      <c r="S97" s="88">
        <v>1.2314082810691929E-2</v>
      </c>
      <c r="T97" s="88">
        <v>-2.3932766211628362E-2</v>
      </c>
      <c r="U97" s="88">
        <v>-2.1353124470568946E-2</v>
      </c>
      <c r="V97" s="88">
        <v>0</v>
      </c>
      <c r="W97" s="89">
        <v>-2.426235000905045E-2</v>
      </c>
    </row>
    <row r="98" spans="7:23">
      <c r="G98" s="114">
        <v>43693</v>
      </c>
      <c r="H98" s="88">
        <v>1.6923341321140423E-3</v>
      </c>
      <c r="I98" s="88">
        <v>0</v>
      </c>
      <c r="J98" s="88">
        <v>-2.547367629201007E-2</v>
      </c>
      <c r="K98" s="88">
        <v>-4.1836166322466402E-2</v>
      </c>
      <c r="L98" s="88">
        <v>-2.0140107549118144E-2</v>
      </c>
      <c r="M98" s="88">
        <v>-7.1829431131599508E-3</v>
      </c>
      <c r="N98" s="88">
        <v>-2.1008411088117279E-3</v>
      </c>
      <c r="O98" s="88">
        <v>-2.8724807289503353E-2</v>
      </c>
      <c r="P98" s="88">
        <v>1.0336009330662073E-2</v>
      </c>
      <c r="Q98" s="88">
        <v>-1.9802627296179754E-2</v>
      </c>
      <c r="R98" s="88">
        <v>-1.571300566455611E-2</v>
      </c>
      <c r="S98" s="88">
        <v>-3.1031832505158956E-3</v>
      </c>
      <c r="T98" s="88">
        <v>-3.4662079764861725E-3</v>
      </c>
      <c r="U98" s="88">
        <v>7.168489478612497E-3</v>
      </c>
      <c r="V98" s="88">
        <v>7.168489478612497E-3</v>
      </c>
      <c r="W98" s="89">
        <v>-8.5861176777667445E-3</v>
      </c>
    </row>
    <row r="99" spans="7:23">
      <c r="G99" s="114">
        <v>43696</v>
      </c>
      <c r="H99" s="88">
        <v>1.2100988000221715E-2</v>
      </c>
      <c r="I99" s="88">
        <v>1.0033528989577784E-2</v>
      </c>
      <c r="J99" s="88">
        <v>3.2262568625696077E-2</v>
      </c>
      <c r="K99" s="88">
        <v>6.4621962249055101E-2</v>
      </c>
      <c r="L99" s="88">
        <v>8.4007391187257266E-2</v>
      </c>
      <c r="M99" s="88">
        <v>4.886845219110357E-2</v>
      </c>
      <c r="N99" s="88">
        <v>2.4923408452456934E-2</v>
      </c>
      <c r="O99" s="88">
        <v>6.6465135272350359E-2</v>
      </c>
      <c r="P99" s="88">
        <v>3.2872745000574549E-2</v>
      </c>
      <c r="Q99" s="88">
        <v>6.703540133615829E-2</v>
      </c>
      <c r="R99" s="88">
        <v>2.6787315963649763E-2</v>
      </c>
      <c r="S99" s="88">
        <v>2.1066359126931746E-2</v>
      </c>
      <c r="T99" s="88">
        <v>6.920442844573757E-3</v>
      </c>
      <c r="U99" s="88">
        <v>1.4184634991956381E-2</v>
      </c>
      <c r="V99" s="88">
        <v>-1.4295928095944335E-3</v>
      </c>
      <c r="W99" s="89">
        <v>4.4738261083495254E-2</v>
      </c>
    </row>
    <row r="100" spans="7:23">
      <c r="G100" s="114">
        <v>43697</v>
      </c>
      <c r="H100" s="88">
        <v>-5.3601468369225318E-3</v>
      </c>
      <c r="I100" s="88">
        <v>5.8067355196397795E-3</v>
      </c>
      <c r="J100" s="88">
        <v>-5.2181291435587571E-3</v>
      </c>
      <c r="K100" s="88">
        <v>2.4112451044914857E-2</v>
      </c>
      <c r="L100" s="88">
        <v>-2.0349539415279616E-2</v>
      </c>
      <c r="M100" s="88">
        <v>-2.2909517465558244E-3</v>
      </c>
      <c r="N100" s="88">
        <v>-2.5975486403260677E-2</v>
      </c>
      <c r="O100" s="88">
        <v>4.1976183830484438E-2</v>
      </c>
      <c r="P100" s="88">
        <v>2.4844733276621869E-3</v>
      </c>
      <c r="Q100" s="88">
        <v>3.7336695520490304E-3</v>
      </c>
      <c r="R100" s="88">
        <v>1.9629856044886131E-2</v>
      </c>
      <c r="S100" s="88">
        <v>0</v>
      </c>
      <c r="T100" s="88">
        <v>1.709443335930004E-2</v>
      </c>
      <c r="U100" s="88">
        <v>-1.0619568827460261E-2</v>
      </c>
      <c r="V100" s="88">
        <v>7.1276139242321401E-3</v>
      </c>
      <c r="W100" s="89">
        <v>1.7369911004036379E-3</v>
      </c>
    </row>
    <row r="101" spans="7:23">
      <c r="G101" s="114">
        <v>43698</v>
      </c>
      <c r="H101" s="88">
        <v>2.3486003078750138E-3</v>
      </c>
      <c r="I101" s="88">
        <v>-7.4720148387009541E-3</v>
      </c>
      <c r="J101" s="88">
        <v>-5.771567519312959E-3</v>
      </c>
      <c r="K101" s="88">
        <v>-2.2861669143262351E-2</v>
      </c>
      <c r="L101" s="88">
        <v>3.0371097876298554E-2</v>
      </c>
      <c r="M101" s="88">
        <v>4.3348977664899438E-2</v>
      </c>
      <c r="N101" s="88">
        <v>-5.2770571008438931E-3</v>
      </c>
      <c r="O101" s="88">
        <v>-8.1426815197829412E-3</v>
      </c>
      <c r="P101" s="88">
        <v>-2.8951046515825297E-2</v>
      </c>
      <c r="Q101" s="88">
        <v>-6.2305497506361975E-3</v>
      </c>
      <c r="R101" s="88">
        <v>1.7131039930183774E-2</v>
      </c>
      <c r="S101" s="88">
        <v>1.7795673965115427E-2</v>
      </c>
      <c r="T101" s="88">
        <v>0</v>
      </c>
      <c r="U101" s="88">
        <v>1.0619568827460131E-2</v>
      </c>
      <c r="V101" s="88">
        <v>0</v>
      </c>
      <c r="W101" s="89">
        <v>3.5850525025908977E-3</v>
      </c>
    </row>
    <row r="102" spans="7:23">
      <c r="G102" s="114">
        <v>43699</v>
      </c>
      <c r="H102" s="88">
        <v>1.3395849290563455E-3</v>
      </c>
      <c r="I102" s="88">
        <v>0</v>
      </c>
      <c r="J102" s="88">
        <v>-6.3344806406346252E-3</v>
      </c>
      <c r="K102" s="88">
        <v>1.3039613507803549E-2</v>
      </c>
      <c r="L102" s="88">
        <v>2.3927953695235558E-2</v>
      </c>
      <c r="M102" s="88">
        <v>9.7774978043121321E-3</v>
      </c>
      <c r="N102" s="88">
        <v>1.9906367116802937E-2</v>
      </c>
      <c r="O102" s="88">
        <v>1.4970548915299581E-2</v>
      </c>
      <c r="P102" s="88">
        <v>5.0955524266000952E-3</v>
      </c>
      <c r="Q102" s="88">
        <v>-5.0125418235442863E-3</v>
      </c>
      <c r="R102" s="88">
        <v>1.4752638475038224E-2</v>
      </c>
      <c r="S102" s="88">
        <v>1.1591748163784931E-2</v>
      </c>
      <c r="T102" s="88">
        <v>-3.3955890011382718E-3</v>
      </c>
      <c r="U102" s="88">
        <v>7.0175726586465398E-3</v>
      </c>
      <c r="V102" s="88">
        <v>1.4194466542262925E-3</v>
      </c>
      <c r="W102" s="89">
        <v>1.4899497293057545E-2</v>
      </c>
    </row>
    <row r="103" spans="7:23">
      <c r="G103" s="114">
        <v>43700</v>
      </c>
      <c r="H103" s="88">
        <v>-8.0645598367304078E-3</v>
      </c>
      <c r="I103" s="88">
        <v>0</v>
      </c>
      <c r="J103" s="88">
        <v>-8.5088792462161261E-3</v>
      </c>
      <c r="K103" s="88">
        <v>-3.8357421492093424E-2</v>
      </c>
      <c r="L103" s="88">
        <v>-2.9642254958674251E-2</v>
      </c>
      <c r="M103" s="88">
        <v>-1.7435924653110311E-2</v>
      </c>
      <c r="N103" s="88">
        <v>-1.4629310015959155E-2</v>
      </c>
      <c r="O103" s="88">
        <v>1.625380135236041E-2</v>
      </c>
      <c r="P103" s="88">
        <v>-2.5445306349948728E-3</v>
      </c>
      <c r="Q103" s="88">
        <v>-3.3208670996653457E-2</v>
      </c>
      <c r="R103" s="88">
        <v>-1.2631746905900462E-2</v>
      </c>
      <c r="S103" s="88">
        <v>0</v>
      </c>
      <c r="T103" s="88">
        <v>-1.7153079226249469E-2</v>
      </c>
      <c r="U103" s="88">
        <v>0</v>
      </c>
      <c r="V103" s="88">
        <v>-1.4285957247476541E-2</v>
      </c>
      <c r="W103" s="89">
        <v>-1.6125149625628579E-2</v>
      </c>
    </row>
    <row r="104" spans="7:23">
      <c r="G104" s="114">
        <v>43703</v>
      </c>
      <c r="H104" s="88">
        <v>-3.3795233246524839E-3</v>
      </c>
      <c r="I104" s="88">
        <v>-5.8504136781755891E-3</v>
      </c>
      <c r="J104" s="88">
        <v>-1.2900630429804161E-2</v>
      </c>
      <c r="K104" s="88">
        <v>-1.160554612030789E-2</v>
      </c>
      <c r="L104" s="88">
        <v>1.2811563134200368E-2</v>
      </c>
      <c r="M104" s="88">
        <v>-2.2156151562596135E-3</v>
      </c>
      <c r="N104" s="88">
        <v>-1.6985546365743884E-2</v>
      </c>
      <c r="O104" s="88">
        <v>-2.3081668747877072E-2</v>
      </c>
      <c r="P104" s="88">
        <v>-1.6699167757632256E-2</v>
      </c>
      <c r="Q104" s="88">
        <v>5.1813587419975845E-3</v>
      </c>
      <c r="R104" s="88">
        <v>-1.925193149932148E-2</v>
      </c>
      <c r="S104" s="88">
        <v>-1.7438403001638025E-2</v>
      </c>
      <c r="T104" s="88">
        <v>1.0327114155849524E-2</v>
      </c>
      <c r="U104" s="88">
        <v>1.3889112160667093E-2</v>
      </c>
      <c r="V104" s="88">
        <v>2.1353124470569061E-2</v>
      </c>
      <c r="W104" s="89">
        <v>-3.3119591891676552E-3</v>
      </c>
    </row>
    <row r="105" spans="7:23">
      <c r="G105" s="114">
        <v>43704</v>
      </c>
      <c r="H105" s="88">
        <v>1.4451604225338146E-2</v>
      </c>
      <c r="I105" s="88">
        <v>1.6750422676948956E-3</v>
      </c>
      <c r="J105" s="88">
        <v>-5.4247719016202013E-3</v>
      </c>
      <c r="K105" s="88">
        <v>2.2444032839763504E-2</v>
      </c>
      <c r="L105" s="88">
        <v>7.0472455154029223E-3</v>
      </c>
      <c r="M105" s="88">
        <v>2.1709859575524321E-2</v>
      </c>
      <c r="N105" s="88">
        <v>-2.6031838717946867E-2</v>
      </c>
      <c r="O105" s="88">
        <v>1.4987790965491708E-2</v>
      </c>
      <c r="P105" s="88">
        <v>-7.8023802841847871E-3</v>
      </c>
      <c r="Q105" s="88">
        <v>3.9270403828836252E-2</v>
      </c>
      <c r="R105" s="88">
        <v>-4.3290110895854699E-3</v>
      </c>
      <c r="S105" s="88">
        <v>0</v>
      </c>
      <c r="T105" s="88">
        <v>-3.4305350967891368E-3</v>
      </c>
      <c r="U105" s="88">
        <v>0</v>
      </c>
      <c r="V105" s="88">
        <v>-1.133156600954997E-2</v>
      </c>
      <c r="W105" s="89">
        <v>3.2398151897134698E-3</v>
      </c>
    </row>
    <row r="106" spans="7:23">
      <c r="G106" s="114">
        <v>43705</v>
      </c>
      <c r="H106" s="88">
        <v>-1.0015023370894102E-3</v>
      </c>
      <c r="I106" s="88">
        <v>4.175371410480592E-3</v>
      </c>
      <c r="J106" s="88">
        <v>1.0820274361708076E-2</v>
      </c>
      <c r="K106" s="88">
        <v>4.0390703049335314E-2</v>
      </c>
      <c r="L106" s="88">
        <v>4.664768879178504E-2</v>
      </c>
      <c r="M106" s="88">
        <v>-1.0796016194359786E-2</v>
      </c>
      <c r="N106" s="88">
        <v>-6.6152391187193167E-3</v>
      </c>
      <c r="O106" s="88">
        <v>3.7046280433144577E-2</v>
      </c>
      <c r="P106" s="88">
        <v>-2.6143805740708207E-3</v>
      </c>
      <c r="Q106" s="88">
        <v>2.0898117637616519E-2</v>
      </c>
      <c r="R106" s="88">
        <v>-1.9715863164417317E-2</v>
      </c>
      <c r="S106" s="88">
        <v>1.1659324903896972E-2</v>
      </c>
      <c r="T106" s="88">
        <v>-6.8965790590604405E-3</v>
      </c>
      <c r="U106" s="88">
        <v>3.4423441909729197E-3</v>
      </c>
      <c r="V106" s="88">
        <v>4.264398786457518E-3</v>
      </c>
      <c r="W106" s="89">
        <v>1.4065399696541886E-2</v>
      </c>
    </row>
    <row r="107" spans="7:23">
      <c r="G107" s="114">
        <v>43706</v>
      </c>
      <c r="H107" s="88">
        <v>3.6672819897342729E-3</v>
      </c>
      <c r="I107" s="88">
        <v>9.950330853168092E-3</v>
      </c>
      <c r="J107" s="88">
        <v>2.7596741742083569E-2</v>
      </c>
      <c r="K107" s="88">
        <v>3.7063417376887342E-2</v>
      </c>
      <c r="L107" s="88">
        <v>4.2000923974630781E-2</v>
      </c>
      <c r="M107" s="88">
        <v>5.4125772721348182E-3</v>
      </c>
      <c r="N107" s="88">
        <v>1.31870042819539E-2</v>
      </c>
      <c r="O107" s="88">
        <v>-7.7282196765328945E-3</v>
      </c>
      <c r="P107" s="88">
        <v>9.1205843968090762E-3</v>
      </c>
      <c r="Q107" s="88">
        <v>3.6429912785010087E-3</v>
      </c>
      <c r="R107" s="88">
        <v>1.9715863164417199E-2</v>
      </c>
      <c r="S107" s="88">
        <v>-8.8066842786486133E-3</v>
      </c>
      <c r="T107" s="88">
        <v>1.0327114155849524E-2</v>
      </c>
      <c r="U107" s="88">
        <v>-3.4423441909729015E-3</v>
      </c>
      <c r="V107" s="88">
        <v>1.2685159527315642E-2</v>
      </c>
      <c r="W107" s="89">
        <v>1.7675031785734523E-2</v>
      </c>
    </row>
    <row r="108" spans="7:23">
      <c r="G108" s="114">
        <v>43707</v>
      </c>
      <c r="H108" s="88">
        <v>1.2894872012268578E-2</v>
      </c>
      <c r="I108" s="88">
        <v>1.6488049901838859E-3</v>
      </c>
      <c r="J108" s="88">
        <v>3.135781810684276E-3</v>
      </c>
      <c r="K108" s="88">
        <v>2.5493848826219766E-2</v>
      </c>
      <c r="L108" s="88">
        <v>3.4115753240171721E-2</v>
      </c>
      <c r="M108" s="88">
        <v>1.1478421829604205E-3</v>
      </c>
      <c r="N108" s="88">
        <v>1.5168221473171444E-2</v>
      </c>
      <c r="O108" s="88">
        <v>2.0652044552668957E-2</v>
      </c>
      <c r="P108" s="88">
        <v>1.160554612030789E-2</v>
      </c>
      <c r="Q108" s="88">
        <v>7.2464085207672533E-3</v>
      </c>
      <c r="R108" s="88">
        <v>2.1460051019769288E-2</v>
      </c>
      <c r="S108" s="88">
        <v>-8.8849315760913157E-3</v>
      </c>
      <c r="T108" s="88">
        <v>-6.8728792877620643E-3</v>
      </c>
      <c r="U108" s="88">
        <v>0</v>
      </c>
      <c r="V108" s="88">
        <v>0</v>
      </c>
      <c r="W108" s="89">
        <v>1.1166829040298204E-2</v>
      </c>
    </row>
    <row r="109" spans="7:23">
      <c r="G109" s="114">
        <v>43710</v>
      </c>
      <c r="H109" s="88">
        <v>-7.9156086126611989E-3</v>
      </c>
      <c r="I109" s="88">
        <v>-8.2713457506773062E-3</v>
      </c>
      <c r="J109" s="88">
        <v>1.0430792642827941E-3</v>
      </c>
      <c r="K109" s="88">
        <v>-1.4405319687551129E-2</v>
      </c>
      <c r="L109" s="88">
        <v>-1.8809331957496227E-2</v>
      </c>
      <c r="M109" s="88">
        <v>-9.7989140736055944E-3</v>
      </c>
      <c r="N109" s="88">
        <v>-1.081091610421573E-2</v>
      </c>
      <c r="O109" s="88">
        <v>5.22740343515173E-3</v>
      </c>
      <c r="P109" s="88">
        <v>-1.9418085857101513E-2</v>
      </c>
      <c r="Q109" s="88">
        <v>5.9988182292532227E-3</v>
      </c>
      <c r="R109" s="88">
        <v>4.2372944755152174E-3</v>
      </c>
      <c r="S109" s="88">
        <v>-2.0940772847388444E-2</v>
      </c>
      <c r="T109" s="88">
        <v>3.4423441909729197E-3</v>
      </c>
      <c r="U109" s="88">
        <v>0</v>
      </c>
      <c r="V109" s="88">
        <v>1.5288692515090336E-2</v>
      </c>
      <c r="W109" s="89">
        <v>-8.7816786631993438E-3</v>
      </c>
    </row>
    <row r="110" spans="7:23">
      <c r="G110" s="114">
        <v>43711</v>
      </c>
      <c r="H110" s="88">
        <v>2.0646317517235065E-2</v>
      </c>
      <c r="I110" s="88">
        <v>-1.0856056513466118E-2</v>
      </c>
      <c r="J110" s="88">
        <v>-2.2136457818946954E-2</v>
      </c>
      <c r="K110" s="88">
        <v>-3.4883756304540086E-3</v>
      </c>
      <c r="L110" s="88">
        <v>-3.6086389774420982E-2</v>
      </c>
      <c r="M110" s="88">
        <v>-3.2490165503499427E-3</v>
      </c>
      <c r="N110" s="88">
        <v>5.4200674693393345E-3</v>
      </c>
      <c r="O110" s="88">
        <v>0</v>
      </c>
      <c r="P110" s="88">
        <v>-1.5810606026642315E-2</v>
      </c>
      <c r="Q110" s="88">
        <v>-7.2029122940578854E-3</v>
      </c>
      <c r="R110" s="88">
        <v>-1.9210836265677697E-2</v>
      </c>
      <c r="S110" s="88">
        <v>-2.939131205446754E-3</v>
      </c>
      <c r="T110" s="88">
        <v>0</v>
      </c>
      <c r="U110" s="88">
        <v>0</v>
      </c>
      <c r="V110" s="88">
        <v>0</v>
      </c>
      <c r="W110" s="89">
        <v>-7.7228568627583519E-3</v>
      </c>
    </row>
    <row r="111" spans="7:23">
      <c r="G111" s="114">
        <v>43712</v>
      </c>
      <c r="H111" s="88">
        <v>6.1439158503337954E-3</v>
      </c>
      <c r="I111" s="88">
        <v>7.5282664207915878E-3</v>
      </c>
      <c r="J111" s="88">
        <v>7.4333994183950628E-3</v>
      </c>
      <c r="K111" s="88">
        <v>-3.9803294002849349E-2</v>
      </c>
      <c r="L111" s="88">
        <v>2.9737162095762177E-2</v>
      </c>
      <c r="M111" s="88">
        <v>-1.2161047909212803E-2</v>
      </c>
      <c r="N111" s="88">
        <v>-6.5076151567381888E-3</v>
      </c>
      <c r="O111" s="88">
        <v>-2.2007872495711834E-2</v>
      </c>
      <c r="P111" s="88">
        <v>1.4502561366626901E-2</v>
      </c>
      <c r="Q111" s="88">
        <v>-1.2055456553487812E-3</v>
      </c>
      <c r="R111" s="88">
        <v>-6.4865092296066615E-3</v>
      </c>
      <c r="S111" s="88">
        <v>2.9391312054467367E-3</v>
      </c>
      <c r="T111" s="88">
        <v>6.8493418455747683E-3</v>
      </c>
      <c r="U111" s="88">
        <v>-3.4542348680874461E-3</v>
      </c>
      <c r="V111" s="88">
        <v>0</v>
      </c>
      <c r="W111" s="89">
        <v>6.9071690963537957E-4</v>
      </c>
    </row>
    <row r="112" spans="7:23">
      <c r="G112" s="114">
        <v>43713</v>
      </c>
      <c r="H112" s="88">
        <v>1.5355388083194737E-2</v>
      </c>
      <c r="I112" s="88">
        <v>3.6010437523033033E-2</v>
      </c>
      <c r="J112" s="88">
        <v>3.5339366445308863E-2</v>
      </c>
      <c r="K112" s="88">
        <v>1.9208273638267191E-2</v>
      </c>
      <c r="L112" s="88">
        <v>3.1350529884076009E-2</v>
      </c>
      <c r="M112" s="88">
        <v>1.0998121856532617E-2</v>
      </c>
      <c r="N112" s="88">
        <v>2.173913899619967E-3</v>
      </c>
      <c r="O112" s="88">
        <v>1.1657305145671384E-2</v>
      </c>
      <c r="P112" s="88">
        <v>2.0726130517116952E-2</v>
      </c>
      <c r="Q112" s="88">
        <v>1.7932339460662101E-2</v>
      </c>
      <c r="R112" s="88">
        <v>2.1460051019769288E-2</v>
      </c>
      <c r="S112" s="88">
        <v>0</v>
      </c>
      <c r="T112" s="88">
        <v>3.4071583216141346E-3</v>
      </c>
      <c r="U112" s="88">
        <v>0</v>
      </c>
      <c r="V112" s="88">
        <v>0</v>
      </c>
      <c r="W112" s="89">
        <v>2.3330709554834642E-2</v>
      </c>
    </row>
    <row r="113" spans="7:23">
      <c r="G113" s="114">
        <v>43714</v>
      </c>
      <c r="H113" s="88">
        <v>-5.0923089037126579E-3</v>
      </c>
      <c r="I113" s="88">
        <v>-8.8817701347804218E-3</v>
      </c>
      <c r="J113" s="88">
        <v>6.1087544883211909E-3</v>
      </c>
      <c r="K113" s="88">
        <v>-8.9579577820992212E-3</v>
      </c>
      <c r="L113" s="88">
        <v>1.1049836186584935E-2</v>
      </c>
      <c r="M113" s="88">
        <v>-4.3146239168855294E-3</v>
      </c>
      <c r="N113" s="88">
        <v>3.2520353863773159E-3</v>
      </c>
      <c r="O113" s="88">
        <v>2.6305420929789787E-3</v>
      </c>
      <c r="P113" s="88">
        <v>2.5608208616736505E-3</v>
      </c>
      <c r="Q113" s="88">
        <v>0</v>
      </c>
      <c r="R113" s="88">
        <v>2.1208915691376296E-3</v>
      </c>
      <c r="S113" s="88">
        <v>-1.5253214016138616E-2</v>
      </c>
      <c r="T113" s="88">
        <v>0</v>
      </c>
      <c r="U113" s="88">
        <v>3.4542348680873824E-3</v>
      </c>
      <c r="V113" s="88">
        <v>0</v>
      </c>
      <c r="W113" s="89">
        <v>-6.0434924170180556E-3</v>
      </c>
    </row>
    <row r="114" spans="7:23">
      <c r="G114" s="114">
        <v>43717</v>
      </c>
      <c r="H114" s="88">
        <v>-2.5530551310270416E-2</v>
      </c>
      <c r="I114" s="88">
        <v>-4.8780584534328549E-3</v>
      </c>
      <c r="J114" s="88">
        <v>1.4200225532549149E-3</v>
      </c>
      <c r="K114" s="88">
        <v>1.1333255811006537E-2</v>
      </c>
      <c r="L114" s="88">
        <v>-1.6000341346440964E-2</v>
      </c>
      <c r="M114" s="88">
        <v>-3.0132766156024126E-2</v>
      </c>
      <c r="N114" s="88">
        <v>-2.166848085090314E-3</v>
      </c>
      <c r="O114" s="88">
        <v>-1.9497931831683503E-2</v>
      </c>
      <c r="P114" s="88">
        <v>-3.843694674562827E-3</v>
      </c>
      <c r="Q114" s="88">
        <v>-3.6192128593416681E-2</v>
      </c>
      <c r="R114" s="88">
        <v>-1.0649727916658039E-2</v>
      </c>
      <c r="S114" s="88">
        <v>1.2314082810691929E-2</v>
      </c>
      <c r="T114" s="88">
        <v>-1.0256500167188997E-2</v>
      </c>
      <c r="U114" s="88">
        <v>0</v>
      </c>
      <c r="V114" s="88">
        <v>2.7548226788446837E-3</v>
      </c>
      <c r="W114" s="89">
        <v>-1.2244247914630751E-2</v>
      </c>
    </row>
    <row r="115" spans="7:23">
      <c r="G115" s="114">
        <v>43718</v>
      </c>
      <c r="H115" s="88">
        <v>-2.3850087090947301E-2</v>
      </c>
      <c r="I115" s="88">
        <v>-1.6313217320840852E-3</v>
      </c>
      <c r="J115" s="88">
        <v>-7.5287770415761865E-3</v>
      </c>
      <c r="K115" s="88">
        <v>-1.253373614725658E-2</v>
      </c>
      <c r="L115" s="88">
        <v>-7.4720148387009541E-3</v>
      </c>
      <c r="M115" s="88">
        <v>-9.2688063530316542E-2</v>
      </c>
      <c r="N115" s="88">
        <v>-1.3100624045698206E-2</v>
      </c>
      <c r="O115" s="88">
        <v>-5.1110024140962024E-2</v>
      </c>
      <c r="P115" s="88">
        <v>-1.8135212044212395E-2</v>
      </c>
      <c r="Q115" s="88">
        <v>1.2210163906931337E-2</v>
      </c>
      <c r="R115" s="88">
        <v>-4.2918520815410323E-3</v>
      </c>
      <c r="S115" s="88">
        <v>2.9391312054467367E-3</v>
      </c>
      <c r="T115" s="88">
        <v>0</v>
      </c>
      <c r="U115" s="88">
        <v>8.902085089676097E-2</v>
      </c>
      <c r="V115" s="88">
        <v>-2.7548226788446199E-3</v>
      </c>
      <c r="W115" s="89">
        <v>-1.0523270918451072E-2</v>
      </c>
    </row>
    <row r="116" spans="7:23">
      <c r="G116" s="114">
        <v>43719</v>
      </c>
      <c r="H116" s="88">
        <v>1.0006754615552657E-2</v>
      </c>
      <c r="I116" s="88">
        <v>8.1301260832500888E-3</v>
      </c>
      <c r="J116" s="88">
        <v>-6.1463008486941778E-3</v>
      </c>
      <c r="K116" s="88">
        <v>3.7139546949456786E-2</v>
      </c>
      <c r="L116" s="88">
        <v>2.4692612590371414E-2</v>
      </c>
      <c r="M116" s="88">
        <v>3.8246007715074465E-3</v>
      </c>
      <c r="N116" s="88">
        <v>0</v>
      </c>
      <c r="O116" s="88">
        <v>1.2678736642427444E-3</v>
      </c>
      <c r="P116" s="88">
        <v>-6.5574005461591636E-3</v>
      </c>
      <c r="Q116" s="88">
        <v>-1.214329232401831E-3</v>
      </c>
      <c r="R116" s="88">
        <v>2.148228538289605E-3</v>
      </c>
      <c r="S116" s="88">
        <v>2.3961466882677956E-2</v>
      </c>
      <c r="T116" s="88">
        <v>3.4305350967892222E-3</v>
      </c>
      <c r="U116" s="88">
        <v>1.5649771667127815E-2</v>
      </c>
      <c r="V116" s="88">
        <v>0</v>
      </c>
      <c r="W116" s="89">
        <v>8.7751205985352621E-3</v>
      </c>
    </row>
    <row r="117" spans="7:23">
      <c r="G117" s="114">
        <v>43720</v>
      </c>
      <c r="H117" s="88">
        <v>-2.9915262462758964E-3</v>
      </c>
      <c r="I117" s="88">
        <v>-4.056800695614318E-3</v>
      </c>
      <c r="J117" s="88">
        <v>-5.6674890224706533E-3</v>
      </c>
      <c r="K117" s="88">
        <v>-9.3023926623135612E-3</v>
      </c>
      <c r="L117" s="88">
        <v>-6.1162270174360944E-3</v>
      </c>
      <c r="M117" s="88">
        <v>-3.8246007715075437E-3</v>
      </c>
      <c r="N117" s="88">
        <v>-1.0995053334168876E-3</v>
      </c>
      <c r="O117" s="88">
        <v>-1.2466516461248694E-2</v>
      </c>
      <c r="P117" s="88">
        <v>0</v>
      </c>
      <c r="Q117" s="88">
        <v>8.4695001135737837E-3</v>
      </c>
      <c r="R117" s="88">
        <v>-4.3010818993906973E-3</v>
      </c>
      <c r="S117" s="88">
        <v>5.8642375408018369E-3</v>
      </c>
      <c r="T117" s="88">
        <v>-6.8728792877620643E-3</v>
      </c>
      <c r="U117" s="88">
        <v>-4.4451762570833921E-2</v>
      </c>
      <c r="V117" s="88">
        <v>0</v>
      </c>
      <c r="W117" s="89">
        <v>-7.9047166291183902E-3</v>
      </c>
    </row>
    <row r="118" spans="7:23">
      <c r="G118" s="114">
        <v>43721</v>
      </c>
      <c r="H118" s="88">
        <v>-2.1875346465107953E-2</v>
      </c>
      <c r="I118" s="88">
        <v>4.8661896511729063E-3</v>
      </c>
      <c r="J118" s="88">
        <v>9.769217496688647E-3</v>
      </c>
      <c r="K118" s="88">
        <v>1.6797383066501477E-2</v>
      </c>
      <c r="L118" s="88">
        <v>1.2195273093818206E-2</v>
      </c>
      <c r="M118" s="88">
        <v>-1.1899254395374727E-3</v>
      </c>
      <c r="N118" s="88">
        <v>1.0941028178208202E-2</v>
      </c>
      <c r="O118" s="88">
        <v>3.5705577991003823E-2</v>
      </c>
      <c r="P118" s="88">
        <v>2.5975486403260736E-2</v>
      </c>
      <c r="Q118" s="88">
        <v>-1.8237587549780901E-2</v>
      </c>
      <c r="R118" s="88">
        <v>-2.1574981400212367E-3</v>
      </c>
      <c r="S118" s="88">
        <v>2.9107469711006955E-2</v>
      </c>
      <c r="T118" s="88">
        <v>0</v>
      </c>
      <c r="U118" s="88">
        <v>0.11054187439982383</v>
      </c>
      <c r="V118" s="88">
        <v>0</v>
      </c>
      <c r="W118" s="89">
        <v>7.5430508626740658E-3</v>
      </c>
    </row>
    <row r="119" spans="7:23">
      <c r="G119" s="114">
        <v>43724</v>
      </c>
      <c r="H119" s="88">
        <v>7.7953284088266963E-3</v>
      </c>
      <c r="I119" s="88">
        <v>1.7642799242749817E-2</v>
      </c>
      <c r="J119" s="88">
        <v>1.7146465834514173E-2</v>
      </c>
      <c r="K119" s="88">
        <v>1.085414826400855E-2</v>
      </c>
      <c r="L119" s="88">
        <v>1.2048338516174574E-2</v>
      </c>
      <c r="M119" s="88">
        <v>8.6934161834355452E-3</v>
      </c>
      <c r="N119" s="88">
        <v>3.3175862238899574E-2</v>
      </c>
      <c r="O119" s="88">
        <v>-2.7548226788445085E-3</v>
      </c>
      <c r="P119" s="88">
        <v>6.3897980987709883E-3</v>
      </c>
      <c r="Q119" s="88">
        <v>-1.3588844061896485E-2</v>
      </c>
      <c r="R119" s="88">
        <v>4.3103515011222631E-3</v>
      </c>
      <c r="S119" s="88">
        <v>1.6894488898761831E-2</v>
      </c>
      <c r="T119" s="88">
        <v>6.8728792877620504E-3</v>
      </c>
      <c r="U119" s="88">
        <v>1.1560822401076006E-2</v>
      </c>
      <c r="V119" s="88">
        <v>1.3783599701213596E-3</v>
      </c>
      <c r="W119" s="89">
        <v>1.269633792891813E-2</v>
      </c>
    </row>
    <row r="120" spans="7:23">
      <c r="G120" s="114">
        <v>43725</v>
      </c>
      <c r="H120" s="88">
        <v>-3.7206198848046376E-3</v>
      </c>
      <c r="I120" s="88">
        <v>7.917697736785306E-3</v>
      </c>
      <c r="J120" s="88">
        <v>-5.0423664723044277E-3</v>
      </c>
      <c r="K120" s="88">
        <v>-3.645182279797135E-2</v>
      </c>
      <c r="L120" s="88">
        <v>-6.0060240602119218E-3</v>
      </c>
      <c r="M120" s="88">
        <v>-3.0087466550061438E-2</v>
      </c>
      <c r="N120" s="88">
        <v>1.0520779508038345E-3</v>
      </c>
      <c r="O120" s="88">
        <v>-5.3938309319608753E-3</v>
      </c>
      <c r="P120" s="88">
        <v>1.2730746467981126E-3</v>
      </c>
      <c r="Q120" s="88">
        <v>-6.2383234126915906E-3</v>
      </c>
      <c r="R120" s="88">
        <v>4.2918520815410843E-3</v>
      </c>
      <c r="S120" s="88">
        <v>-5.5998423309939734E-3</v>
      </c>
      <c r="T120" s="88">
        <v>-6.8728792877620643E-3</v>
      </c>
      <c r="U120" s="88">
        <v>-3.5091319811270172E-2</v>
      </c>
      <c r="V120" s="88">
        <v>-1.3783599701212709E-3</v>
      </c>
      <c r="W120" s="89">
        <v>-6.9717309870905774E-3</v>
      </c>
    </row>
    <row r="121" spans="7:23">
      <c r="G121" s="114">
        <v>43726</v>
      </c>
      <c r="H121" s="88">
        <v>2.1455734218346387E-2</v>
      </c>
      <c r="I121" s="88">
        <v>7.0727210353680146E-3</v>
      </c>
      <c r="J121" s="88">
        <v>0</v>
      </c>
      <c r="K121" s="88">
        <v>1.46244197534497E-2</v>
      </c>
      <c r="L121" s="88">
        <v>-7.2551708811719098E-3</v>
      </c>
      <c r="M121" s="88">
        <v>1.8877326076450814E-2</v>
      </c>
      <c r="N121" s="88">
        <v>6.2893289075639184E-3</v>
      </c>
      <c r="O121" s="88">
        <v>1.7458687998467816E-2</v>
      </c>
      <c r="P121" s="88">
        <v>2.7605266091888698E-2</v>
      </c>
      <c r="Q121" s="88">
        <v>1.7370163781535924E-2</v>
      </c>
      <c r="R121" s="88">
        <v>2.1187233219443845E-2</v>
      </c>
      <c r="S121" s="88">
        <v>1.4012239556966143E-2</v>
      </c>
      <c r="T121" s="88">
        <v>3.4423441909729197E-3</v>
      </c>
      <c r="U121" s="88">
        <v>8.8889474172459942E-3</v>
      </c>
      <c r="V121" s="88">
        <v>0</v>
      </c>
      <c r="W121" s="89">
        <v>1.2303483557580531E-2</v>
      </c>
    </row>
    <row r="122" spans="7:23">
      <c r="G122" s="114">
        <v>43727</v>
      </c>
      <c r="H122" s="88">
        <v>5.292767896517267E-3</v>
      </c>
      <c r="I122" s="88">
        <v>-1.5673984400127689E-3</v>
      </c>
      <c r="J122" s="88">
        <v>-9.549036395198416E-3</v>
      </c>
      <c r="K122" s="88">
        <v>1.0973254780512953E-2</v>
      </c>
      <c r="L122" s="88">
        <v>3.1065819574890532E-2</v>
      </c>
      <c r="M122" s="88">
        <v>-3.30330000451158E-2</v>
      </c>
      <c r="N122" s="88">
        <v>-2.0920509722239518E-3</v>
      </c>
      <c r="O122" s="88">
        <v>0</v>
      </c>
      <c r="P122" s="88">
        <v>-6.2073445743338236E-3</v>
      </c>
      <c r="Q122" s="88">
        <v>-2.4630554323978593E-3</v>
      </c>
      <c r="R122" s="88">
        <v>-6.309169193264832E-3</v>
      </c>
      <c r="S122" s="88">
        <v>0</v>
      </c>
      <c r="T122" s="88">
        <v>1.0256500167189061E-2</v>
      </c>
      <c r="U122" s="88">
        <v>-2.9542118974315201E-3</v>
      </c>
      <c r="V122" s="88">
        <v>0</v>
      </c>
      <c r="W122" s="89">
        <v>1.5459404971826011E-3</v>
      </c>
    </row>
    <row r="123" spans="7:23">
      <c r="G123" s="114">
        <v>43728</v>
      </c>
      <c r="H123" s="88">
        <v>-1.2282312078229407E-2</v>
      </c>
      <c r="I123" s="88">
        <v>7.8125397367936247E-3</v>
      </c>
      <c r="J123" s="88">
        <v>-5.6297809781542339E-3</v>
      </c>
      <c r="K123" s="88">
        <v>-3.4522473872293986E-3</v>
      </c>
      <c r="L123" s="88">
        <v>2.5553074424617486E-2</v>
      </c>
      <c r="M123" s="88">
        <v>-2.7376127750444255E-2</v>
      </c>
      <c r="N123" s="88">
        <v>3.1364374901303115E-3</v>
      </c>
      <c r="O123" s="88">
        <v>1.3618414197888731E-3</v>
      </c>
      <c r="P123" s="88">
        <v>1.8507622655985455E-2</v>
      </c>
      <c r="Q123" s="88">
        <v>-2.4691370569211537E-3</v>
      </c>
      <c r="R123" s="88">
        <v>2.1074823395647994E-3</v>
      </c>
      <c r="S123" s="88">
        <v>-2.8437385863899793E-3</v>
      </c>
      <c r="T123" s="88">
        <v>-6.8259650703998706E-3</v>
      </c>
      <c r="U123" s="88">
        <v>-5.9347355198145777E-3</v>
      </c>
      <c r="V123" s="88">
        <v>0</v>
      </c>
      <c r="W123" s="89">
        <v>2.5598551205075855E-3</v>
      </c>
    </row>
    <row r="124" spans="7:23">
      <c r="G124" s="114">
        <v>43731</v>
      </c>
      <c r="H124" s="88">
        <v>-1.1421017661467584E-2</v>
      </c>
      <c r="I124" s="88">
        <v>-9.38239877191362E-3</v>
      </c>
      <c r="J124" s="88">
        <v>-1.5517017659137867E-2</v>
      </c>
      <c r="K124" s="88">
        <v>-3.6388991394135671E-2</v>
      </c>
      <c r="L124" s="88">
        <v>-2.5553074424617506E-2</v>
      </c>
      <c r="M124" s="88">
        <v>-6.6436034874011963E-3</v>
      </c>
      <c r="N124" s="88">
        <v>-2.1097828964635815E-2</v>
      </c>
      <c r="O124" s="88">
        <v>-8.0618049528033454E-3</v>
      </c>
      <c r="P124" s="88">
        <v>-1.1063419544255333E-2</v>
      </c>
      <c r="Q124" s="88">
        <v>9.8401778015111355E-3</v>
      </c>
      <c r="R124" s="88">
        <v>0</v>
      </c>
      <c r="S124" s="88">
        <v>-2.2463147538343987E-2</v>
      </c>
      <c r="T124" s="88">
        <v>-6.8728792877620643E-3</v>
      </c>
      <c r="U124" s="88">
        <v>-8.9686699827603751E-3</v>
      </c>
      <c r="V124" s="88">
        <v>0</v>
      </c>
      <c r="W124" s="89">
        <v>-1.5620644747617934E-2</v>
      </c>
    </row>
    <row r="125" spans="7:23">
      <c r="G125" s="114">
        <v>43732</v>
      </c>
      <c r="H125" s="88">
        <v>3.372684478639156E-3</v>
      </c>
      <c r="I125" s="88">
        <v>6.2647033393277091E-3</v>
      </c>
      <c r="J125" s="88">
        <v>-2.08724767908639E-3</v>
      </c>
      <c r="K125" s="88">
        <v>0</v>
      </c>
      <c r="L125" s="88">
        <v>2.8987536873252406E-2</v>
      </c>
      <c r="M125" s="88">
        <v>7.9107631078545945E-3</v>
      </c>
      <c r="N125" s="88">
        <v>2.129926257824849E-3</v>
      </c>
      <c r="O125" s="88">
        <v>-1.2355001914811723E-3</v>
      </c>
      <c r="P125" s="88">
        <v>9.8401778015111355E-3</v>
      </c>
      <c r="Q125" s="88">
        <v>-8.6048471935184136E-3</v>
      </c>
      <c r="R125" s="88">
        <v>0</v>
      </c>
      <c r="S125" s="88">
        <v>1.4170277593229627E-2</v>
      </c>
      <c r="T125" s="88">
        <v>0</v>
      </c>
      <c r="U125" s="88">
        <v>2.9985029962566329E-3</v>
      </c>
      <c r="V125" s="88">
        <v>0</v>
      </c>
      <c r="W125" s="89">
        <v>6.2637440435679634E-3</v>
      </c>
    </row>
    <row r="126" spans="7:23">
      <c r="G126" s="114">
        <v>43733</v>
      </c>
      <c r="H126" s="88">
        <v>-1.0152371464018073E-2</v>
      </c>
      <c r="I126" s="88">
        <v>-8.6241224440974096E-3</v>
      </c>
      <c r="J126" s="88">
        <v>2.6083795893638785E-3</v>
      </c>
      <c r="K126" s="88">
        <v>-2.9931180681319522E-3</v>
      </c>
      <c r="L126" s="88">
        <v>-8.0321716972642666E-3</v>
      </c>
      <c r="M126" s="88">
        <v>-1.2032136098517551E-2</v>
      </c>
      <c r="N126" s="88">
        <v>1.0582109330537008E-2</v>
      </c>
      <c r="O126" s="88">
        <v>-3.0119398906935716E-2</v>
      </c>
      <c r="P126" s="88">
        <v>-9.8401778015112344E-3</v>
      </c>
      <c r="Q126" s="88">
        <v>-7.4349784875180902E-3</v>
      </c>
      <c r="R126" s="88">
        <v>8.3857933762739641E-3</v>
      </c>
      <c r="S126" s="88">
        <v>0</v>
      </c>
      <c r="T126" s="88">
        <v>-6.9204428445737952E-3</v>
      </c>
      <c r="U126" s="88">
        <v>-1.204833851617448E-2</v>
      </c>
      <c r="V126" s="88">
        <v>0</v>
      </c>
      <c r="W126" s="89">
        <v>-6.843561765125533E-3</v>
      </c>
    </row>
    <row r="127" spans="7:23">
      <c r="G127" s="114">
        <v>43734</v>
      </c>
      <c r="H127" s="88">
        <v>9.4787439545437387E-3</v>
      </c>
      <c r="I127" s="88">
        <v>7.843177461026099E-3</v>
      </c>
      <c r="J127" s="88">
        <v>3.6403389309746727E-3</v>
      </c>
      <c r="K127" s="88">
        <v>1.2511333889108148E-2</v>
      </c>
      <c r="L127" s="88">
        <v>1.3730192811902037E-2</v>
      </c>
      <c r="M127" s="88">
        <v>1.203213609851757E-2</v>
      </c>
      <c r="N127" s="88">
        <v>4.2016868536999766E-3</v>
      </c>
      <c r="O127" s="88">
        <v>2.3365875891155928E-2</v>
      </c>
      <c r="P127" s="88">
        <v>-3.6504997374854214E-2</v>
      </c>
      <c r="Q127" s="88">
        <v>0</v>
      </c>
      <c r="R127" s="88">
        <v>8.3160562416573856E-3</v>
      </c>
      <c r="S127" s="88">
        <v>-8.5070082639684633E-3</v>
      </c>
      <c r="T127" s="88">
        <v>0</v>
      </c>
      <c r="U127" s="88">
        <v>6.0423144559626617E-3</v>
      </c>
      <c r="V127" s="88">
        <v>0</v>
      </c>
      <c r="W127" s="89">
        <v>4.7330655919673621E-3</v>
      </c>
    </row>
    <row r="128" spans="7:23">
      <c r="G128" s="114">
        <v>43735</v>
      </c>
      <c r="H128" s="88">
        <v>1.4051753455650507E-2</v>
      </c>
      <c r="I128" s="88">
        <v>7.8094498307135099E-4</v>
      </c>
      <c r="J128" s="88">
        <v>-1.4641549992948005E-2</v>
      </c>
      <c r="K128" s="88">
        <v>2.0510534415838291E-2</v>
      </c>
      <c r="L128" s="88">
        <v>1.0175328041652446E-2</v>
      </c>
      <c r="M128" s="88">
        <v>1.7020500173402023E-2</v>
      </c>
      <c r="N128" s="88">
        <v>-1.4783796184236867E-2</v>
      </c>
      <c r="O128" s="88">
        <v>1.2096367426275243E-2</v>
      </c>
      <c r="P128" s="88">
        <v>0</v>
      </c>
      <c r="Q128" s="88">
        <v>7.4349784875182116E-3</v>
      </c>
      <c r="R128" s="88">
        <v>-8.3160562416573925E-3</v>
      </c>
      <c r="S128" s="88">
        <v>1.123121956950048E-2</v>
      </c>
      <c r="T128" s="88">
        <v>-6.9686693160933158E-3</v>
      </c>
      <c r="U128" s="88">
        <v>3.0075210639553224E-3</v>
      </c>
      <c r="V128" s="88">
        <v>0</v>
      </c>
      <c r="W128" s="89">
        <v>4.8026904405623532E-3</v>
      </c>
    </row>
    <row r="129" spans="7:23">
      <c r="G129" s="114">
        <v>43738</v>
      </c>
      <c r="H129" s="88">
        <v>-7.6705395268116313E-3</v>
      </c>
      <c r="I129" s="88">
        <v>-1.3359727189931529E-2</v>
      </c>
      <c r="J129" s="88">
        <v>-6.8714261595039438E-3</v>
      </c>
      <c r="K129" s="88">
        <v>9.8124885445506245E-3</v>
      </c>
      <c r="L129" s="88">
        <v>-1.1254925217344803E-3</v>
      </c>
      <c r="M129" s="88">
        <v>1.5510571056482311E-2</v>
      </c>
      <c r="N129" s="88">
        <v>1.5831465216680662E-2</v>
      </c>
      <c r="O129" s="88">
        <v>-6.7174150736620964E-3</v>
      </c>
      <c r="P129" s="88">
        <v>2.2814677766171482E-2</v>
      </c>
      <c r="Q129" s="88">
        <v>0</v>
      </c>
      <c r="R129" s="88">
        <v>-1.6842503394497464E-2</v>
      </c>
      <c r="S129" s="88">
        <v>5.5686586395823044E-3</v>
      </c>
      <c r="T129" s="88">
        <v>0</v>
      </c>
      <c r="U129" s="88">
        <v>2.3739987303073085E-2</v>
      </c>
      <c r="V129" s="88">
        <v>0</v>
      </c>
      <c r="W129" s="89">
        <v>-2.2199609984335255E-3</v>
      </c>
    </row>
    <row r="130" spans="7:23">
      <c r="G130" s="114">
        <v>43739</v>
      </c>
      <c r="H130" s="88">
        <v>-5.3709427535021271E-3</v>
      </c>
      <c r="I130" s="88">
        <v>8.6648828857237258E-3</v>
      </c>
      <c r="J130" s="88">
        <v>-1.6039693742878863E-2</v>
      </c>
      <c r="K130" s="88">
        <v>-3.3881745577383111E-2</v>
      </c>
      <c r="L130" s="88">
        <v>-9.0498355199179273E-3</v>
      </c>
      <c r="M130" s="88">
        <v>-2.4546582623782495E-3</v>
      </c>
      <c r="N130" s="88">
        <v>-1.9028058242308261E-2</v>
      </c>
      <c r="O130" s="88">
        <v>-1.2178395741536745E-2</v>
      </c>
      <c r="P130" s="88">
        <v>-1.8975901459005691E-2</v>
      </c>
      <c r="Q130" s="88">
        <v>-1.3673301900209709E-2</v>
      </c>
      <c r="R130" s="88">
        <v>1.0559760215002253E-2</v>
      </c>
      <c r="S130" s="88">
        <v>3.0292598134121041E-2</v>
      </c>
      <c r="T130" s="88">
        <v>-2.8370697129215576E-2</v>
      </c>
      <c r="U130" s="88">
        <v>1.4556297774207454E-2</v>
      </c>
      <c r="V130" s="88">
        <v>2.7548226788446837E-3</v>
      </c>
      <c r="W130" s="89">
        <v>-8.0004126323003945E-3</v>
      </c>
    </row>
    <row r="131" spans="7:23">
      <c r="G131" s="114">
        <v>43740</v>
      </c>
      <c r="H131" s="88">
        <v>-1.8685782334058848E-2</v>
      </c>
      <c r="I131" s="88">
        <v>0</v>
      </c>
      <c r="J131" s="88">
        <v>-3.779906223059664E-3</v>
      </c>
      <c r="K131" s="88">
        <v>-6.0624621816434736E-2</v>
      </c>
      <c r="L131" s="88">
        <v>-3.9402547866028932E-2</v>
      </c>
      <c r="M131" s="88">
        <v>-3.4023972020212054E-2</v>
      </c>
      <c r="N131" s="88">
        <v>-9.6515494522215854E-3</v>
      </c>
      <c r="O131" s="88">
        <v>-1.3739175883304046E-2</v>
      </c>
      <c r="P131" s="88">
        <v>-8.9801758075843518E-3</v>
      </c>
      <c r="Q131" s="88">
        <v>1.2507819016526766E-3</v>
      </c>
      <c r="R131" s="88">
        <v>-3.8548670117235138E-2</v>
      </c>
      <c r="S131" s="88">
        <v>-8.1836922508715399E-3</v>
      </c>
      <c r="T131" s="88">
        <v>-3.2909734088797979E-2</v>
      </c>
      <c r="U131" s="88">
        <v>-8.7083278917843079E-3</v>
      </c>
      <c r="V131" s="88">
        <v>-2.3661507498158242E-2</v>
      </c>
      <c r="W131" s="89">
        <v>-3.0584865318592766E-2</v>
      </c>
    </row>
    <row r="132" spans="7:23">
      <c r="G132" s="114">
        <v>43741</v>
      </c>
      <c r="H132" s="88">
        <v>-1.3812374287611359E-2</v>
      </c>
      <c r="I132" s="88">
        <v>-3.9292781398896611E-3</v>
      </c>
      <c r="J132" s="88">
        <v>-5.4247719016202013E-3</v>
      </c>
      <c r="K132" s="88">
        <v>-1.6550345943677613E-2</v>
      </c>
      <c r="L132" s="88">
        <v>-1.90936588155797E-2</v>
      </c>
      <c r="M132" s="88">
        <v>-1.208001615086806E-2</v>
      </c>
      <c r="N132" s="88">
        <v>-1.520116133205044E-2</v>
      </c>
      <c r="O132" s="88">
        <v>-3.2422865879858473E-2</v>
      </c>
      <c r="P132" s="88">
        <v>-1.2970350442627404E-2</v>
      </c>
      <c r="Q132" s="88">
        <v>-1.765493523872071E-2</v>
      </c>
      <c r="R132" s="88">
        <v>-1.7621601349819445E-2</v>
      </c>
      <c r="S132" s="88">
        <v>-1.9265167296859408E-2</v>
      </c>
      <c r="T132" s="88">
        <v>-1.4981553615616833E-2</v>
      </c>
      <c r="U132" s="88">
        <v>-2.0619287202735818E-2</v>
      </c>
      <c r="V132" s="88">
        <v>5.6179923042232738E-3</v>
      </c>
      <c r="W132" s="89">
        <v>-1.5377032870589519E-2</v>
      </c>
    </row>
    <row r="133" spans="7:23">
      <c r="G133" s="114">
        <v>43742</v>
      </c>
      <c r="H133" s="88">
        <v>1.2783038118497158E-2</v>
      </c>
      <c r="I133" s="88">
        <v>3.929278139889557E-3</v>
      </c>
      <c r="J133" s="88">
        <v>5.9656340490468742E-3</v>
      </c>
      <c r="K133" s="88">
        <v>-6.4205459669522662E-4</v>
      </c>
      <c r="L133" s="88">
        <v>-2.4125464053838782E-3</v>
      </c>
      <c r="M133" s="88">
        <v>1.3350574661595808E-2</v>
      </c>
      <c r="N133" s="88">
        <v>-1.1001211061973682E-2</v>
      </c>
      <c r="O133" s="88">
        <v>1.2894057670015337E-2</v>
      </c>
      <c r="P133" s="88">
        <v>-1.97765179764566E-2</v>
      </c>
      <c r="Q133" s="88">
        <v>-3.8240964384035057E-3</v>
      </c>
      <c r="R133" s="88">
        <v>-2.2246950221111624E-3</v>
      </c>
      <c r="S133" s="88">
        <v>0</v>
      </c>
      <c r="T133" s="88">
        <v>-2.677024106460478E-2</v>
      </c>
      <c r="U133" s="88">
        <v>2.0619287202735825E-2</v>
      </c>
      <c r="V133" s="88">
        <v>0</v>
      </c>
      <c r="W133" s="89">
        <v>1.8092519612726763E-3</v>
      </c>
    </row>
    <row r="134" spans="7:23">
      <c r="G134" s="114">
        <v>43745</v>
      </c>
      <c r="H134" s="88">
        <v>-8.9655772964994454E-3</v>
      </c>
      <c r="I134" s="88">
        <v>0</v>
      </c>
      <c r="J134" s="88">
        <v>2.7203128169228038E-2</v>
      </c>
      <c r="K134" s="88">
        <v>1.9714469973082734E-2</v>
      </c>
      <c r="L134" s="88">
        <v>6.0204877815830246E-3</v>
      </c>
      <c r="M134" s="88">
        <v>-3.9581617976292231E-3</v>
      </c>
      <c r="N134" s="88">
        <v>-3.3241027838385598E-3</v>
      </c>
      <c r="O134" s="88">
        <v>-1.4405073075795299E-3</v>
      </c>
      <c r="P134" s="88">
        <v>-1.3324452337786009E-3</v>
      </c>
      <c r="Q134" s="88">
        <v>2.5510217916052047E-3</v>
      </c>
      <c r="R134" s="88">
        <v>2.2246950221111086E-3</v>
      </c>
      <c r="S134" s="88">
        <v>0</v>
      </c>
      <c r="T134" s="88">
        <v>2.2989518224698562E-2</v>
      </c>
      <c r="U134" s="88">
        <v>3.4387342309475731E-2</v>
      </c>
      <c r="V134" s="88">
        <v>-1.4015419252884445E-3</v>
      </c>
      <c r="W134" s="89">
        <v>6.3248105099481195E-3</v>
      </c>
    </row>
    <row r="135" spans="7:23">
      <c r="G135" s="114">
        <v>43746</v>
      </c>
      <c r="H135" s="88">
        <v>-3.1222922156219465E-3</v>
      </c>
      <c r="I135" s="88">
        <v>1.3245226750020723E-2</v>
      </c>
      <c r="J135" s="88">
        <v>-1.0579870162790952E-2</v>
      </c>
      <c r="K135" s="88">
        <v>2.1184592868277095E-2</v>
      </c>
      <c r="L135" s="88">
        <v>-3.607941376199054E-3</v>
      </c>
      <c r="M135" s="88">
        <v>-1.0680058796225507E-2</v>
      </c>
      <c r="N135" s="88">
        <v>0</v>
      </c>
      <c r="O135" s="88">
        <v>-1.1453550362435685E-2</v>
      </c>
      <c r="P135" s="88">
        <v>7.9681696491768813E-3</v>
      </c>
      <c r="Q135" s="88">
        <v>-1.6699167757632256E-2</v>
      </c>
      <c r="R135" s="88">
        <v>-8.9286307443013184E-3</v>
      </c>
      <c r="S135" s="88">
        <v>-2.8437385863899793E-3</v>
      </c>
      <c r="T135" s="88">
        <v>1.5037877364540502E-2</v>
      </c>
      <c r="U135" s="88">
        <v>-2.8208763416412296E-3</v>
      </c>
      <c r="V135" s="88">
        <v>-2.98954647966264E-2</v>
      </c>
      <c r="W135" s="89">
        <v>-6.6038774574927496E-3</v>
      </c>
    </row>
    <row r="136" spans="7:23">
      <c r="G136" s="114">
        <v>43747</v>
      </c>
      <c r="H136" s="88">
        <v>-2.4352073262491349E-3</v>
      </c>
      <c r="I136" s="88">
        <v>6.1728591070810161E-3</v>
      </c>
      <c r="J136" s="88">
        <v>-6.4020705220224116E-3</v>
      </c>
      <c r="K136" s="88">
        <v>2.4963244517569476E-2</v>
      </c>
      <c r="L136" s="88">
        <v>1.197619104671562E-2</v>
      </c>
      <c r="M136" s="88">
        <v>-5.4550809981813442E-3</v>
      </c>
      <c r="N136" s="88">
        <v>-1.1104942840271764E-3</v>
      </c>
      <c r="O136" s="88">
        <v>2.2634859513695635E-2</v>
      </c>
      <c r="P136" s="88">
        <v>1.1834457647003017E-2</v>
      </c>
      <c r="Q136" s="88">
        <v>1.2870190520534956E-2</v>
      </c>
      <c r="R136" s="88">
        <v>3.9565600206191098E-2</v>
      </c>
      <c r="S136" s="88">
        <v>-5.5686586395823313E-3</v>
      </c>
      <c r="T136" s="88">
        <v>1.4815085785140682E-2</v>
      </c>
      <c r="U136" s="88">
        <v>2.8208763416412634E-3</v>
      </c>
      <c r="V136" s="88">
        <v>4.7964059207126632E-2</v>
      </c>
      <c r="W136" s="89">
        <v>9.2525029253636704E-3</v>
      </c>
    </row>
    <row r="137" spans="7:23">
      <c r="G137" s="114">
        <v>43748</v>
      </c>
      <c r="H137" s="88">
        <v>-6.6398985868774954E-3</v>
      </c>
      <c r="I137" s="88">
        <v>0</v>
      </c>
      <c r="J137" s="88">
        <v>1.6043642138595985E-3</v>
      </c>
      <c r="K137" s="88">
        <v>2.0238786041298737E-2</v>
      </c>
      <c r="L137" s="88">
        <v>2.3530497410194036E-2</v>
      </c>
      <c r="M137" s="88">
        <v>8.1715027128614042E-3</v>
      </c>
      <c r="N137" s="88">
        <v>1.1049836186584935E-2</v>
      </c>
      <c r="O137" s="88">
        <v>5.5441182594360263E-3</v>
      </c>
      <c r="P137" s="88">
        <v>-1.3080446600154524E-3</v>
      </c>
      <c r="Q137" s="88">
        <v>-1.546422569758159E-2</v>
      </c>
      <c r="R137" s="88">
        <v>1.2848142477849059E-2</v>
      </c>
      <c r="S137" s="88">
        <v>1.1248071889484089E-2</v>
      </c>
      <c r="T137" s="88">
        <v>0</v>
      </c>
      <c r="U137" s="88">
        <v>0</v>
      </c>
      <c r="V137" s="88">
        <v>-1.2474174225175688E-2</v>
      </c>
      <c r="W137" s="89">
        <v>8.9770433013739662E-3</v>
      </c>
    </row>
    <row r="138" spans="7:23">
      <c r="G138" s="114">
        <v>43749</v>
      </c>
      <c r="H138" s="88">
        <v>1.254371847853032E-2</v>
      </c>
      <c r="I138" s="88">
        <v>0</v>
      </c>
      <c r="J138" s="88">
        <v>1.9578380800139451E-2</v>
      </c>
      <c r="K138" s="88">
        <v>2.4448249120056914E-2</v>
      </c>
      <c r="L138" s="88">
        <v>2.9784561357527495E-2</v>
      </c>
      <c r="M138" s="88">
        <v>-4.1490867161760965E-3</v>
      </c>
      <c r="N138" s="88">
        <v>-1.0995053334168876E-3</v>
      </c>
      <c r="O138" s="88">
        <v>1.2538024358975174E-2</v>
      </c>
      <c r="P138" s="88">
        <v>1.1711259420901633E-2</v>
      </c>
      <c r="Q138" s="88">
        <v>1.2903404835907782E-2</v>
      </c>
      <c r="R138" s="88">
        <v>2.1253993123135366E-3</v>
      </c>
      <c r="S138" s="88">
        <v>8.3186944288008713E-3</v>
      </c>
      <c r="T138" s="88">
        <v>0</v>
      </c>
      <c r="U138" s="88">
        <v>-2.8573372444055885E-2</v>
      </c>
      <c r="V138" s="88">
        <v>-9.810870564259222E-3</v>
      </c>
      <c r="W138" s="89">
        <v>1.9739074201519914E-2</v>
      </c>
    </row>
    <row r="139" spans="7:23">
      <c r="G139" s="114">
        <v>43752</v>
      </c>
      <c r="H139" s="88">
        <v>5.1804640119131329E-3</v>
      </c>
      <c r="I139" s="88">
        <v>3.0721990369700588E-3</v>
      </c>
      <c r="J139" s="88">
        <v>-5.2537685203980136E-3</v>
      </c>
      <c r="K139" s="88">
        <v>-1.6816864857577447E-2</v>
      </c>
      <c r="L139" s="88">
        <v>-5.6593246689014666E-3</v>
      </c>
      <c r="M139" s="88">
        <v>-1.4877143025475045E-2</v>
      </c>
      <c r="N139" s="88">
        <v>6.5789710980425605E-3</v>
      </c>
      <c r="O139" s="88">
        <v>-2.8038711766186193E-3</v>
      </c>
      <c r="P139" s="88">
        <v>9.0148710962153593E-3</v>
      </c>
      <c r="Q139" s="88">
        <v>-5.1413995004186523E-3</v>
      </c>
      <c r="R139" s="88">
        <v>-2.7988909902232899E-2</v>
      </c>
      <c r="S139" s="88">
        <v>-1.3998107678702642E-2</v>
      </c>
      <c r="T139" s="88">
        <v>-1.1090686694158284E-2</v>
      </c>
      <c r="U139" s="88">
        <v>3.1386313820670662E-2</v>
      </c>
      <c r="V139" s="88">
        <v>1.2596387685685566E-2</v>
      </c>
      <c r="W139" s="89">
        <v>-7.0100009375396953E-5</v>
      </c>
    </row>
    <row r="140" spans="7:23">
      <c r="G140" s="114">
        <v>43753</v>
      </c>
      <c r="H140" s="88">
        <v>-8.9966004730820167E-3</v>
      </c>
      <c r="I140" s="88">
        <v>1.8237587549781012E-2</v>
      </c>
      <c r="J140" s="88">
        <v>4.2052206629784273E-3</v>
      </c>
      <c r="K140" s="88">
        <v>1.4514042884254012E-2</v>
      </c>
      <c r="L140" s="88">
        <v>3.3994367014640097E-3</v>
      </c>
      <c r="M140" s="88">
        <v>1.3088055383886452E-3</v>
      </c>
      <c r="N140" s="88">
        <v>-1.6529301951210582E-2</v>
      </c>
      <c r="O140" s="88">
        <v>-2.8117549805438988E-3</v>
      </c>
      <c r="P140" s="88">
        <v>-2.5673955052458097E-3</v>
      </c>
      <c r="Q140" s="88">
        <v>2.0408871631207033E-2</v>
      </c>
      <c r="R140" s="88">
        <v>-1.9846296371930656E-2</v>
      </c>
      <c r="S140" s="88">
        <v>5.6794132499018348E-3</v>
      </c>
      <c r="T140" s="88">
        <v>3.7105793965357746E-3</v>
      </c>
      <c r="U140" s="88">
        <v>5.6022555486697516E-3</v>
      </c>
      <c r="V140" s="88">
        <v>-1.2596387685685615E-2</v>
      </c>
      <c r="W140" s="89">
        <v>2.6486990777617129E-3</v>
      </c>
    </row>
    <row r="141" spans="7:23">
      <c r="G141" s="114">
        <v>43754</v>
      </c>
      <c r="H141" s="88">
        <v>-5.2274034351516875E-3</v>
      </c>
      <c r="I141" s="88">
        <v>1.0486987495248071E-2</v>
      </c>
      <c r="J141" s="88">
        <v>2.0250964650807696E-2</v>
      </c>
      <c r="K141" s="88">
        <v>7.4648638345211123E-3</v>
      </c>
      <c r="L141" s="88">
        <v>-1.366763872866387E-2</v>
      </c>
      <c r="M141" s="88">
        <v>-1.308805538388607E-3</v>
      </c>
      <c r="N141" s="88">
        <v>1.3245226750020505E-2</v>
      </c>
      <c r="O141" s="88">
        <v>6.8748078555401406E-3</v>
      </c>
      <c r="P141" s="88">
        <v>-7.7419741536155088E-3</v>
      </c>
      <c r="Q141" s="88">
        <v>-1.2706651269114688E-2</v>
      </c>
      <c r="R141" s="88">
        <v>6.659292089976997E-3</v>
      </c>
      <c r="S141" s="88">
        <v>1.0982932140187682E-2</v>
      </c>
      <c r="T141" s="88">
        <v>-1.1173300598125302E-2</v>
      </c>
      <c r="U141" s="88">
        <v>-2.7972046210612538E-3</v>
      </c>
      <c r="V141" s="88">
        <v>0</v>
      </c>
      <c r="W141" s="89">
        <v>2.4467967474825356E-4</v>
      </c>
    </row>
    <row r="142" spans="7:23">
      <c r="G142" s="114">
        <v>43755</v>
      </c>
      <c r="H142" s="88">
        <v>-1.7269151626539466E-2</v>
      </c>
      <c r="I142" s="88">
        <v>5.9435539008481373E-3</v>
      </c>
      <c r="J142" s="88">
        <v>1.6719728870400352E-2</v>
      </c>
      <c r="K142" s="88">
        <v>-1.1507606851479802E-2</v>
      </c>
      <c r="L142" s="88">
        <v>-2.296212260350268E-3</v>
      </c>
      <c r="M142" s="88">
        <v>-1.9395259757738533E-2</v>
      </c>
      <c r="N142" s="88">
        <v>-1.3245226750020567E-2</v>
      </c>
      <c r="O142" s="88">
        <v>1.4987790965491708E-2</v>
      </c>
      <c r="P142" s="88">
        <v>1.2944985626457955E-3</v>
      </c>
      <c r="Q142" s="88">
        <v>-1.0282866955583919E-2</v>
      </c>
      <c r="R142" s="88">
        <v>6.6152391187191831E-3</v>
      </c>
      <c r="S142" s="88">
        <v>-2.4955215335203926E-2</v>
      </c>
      <c r="T142" s="88">
        <v>0</v>
      </c>
      <c r="U142" s="88">
        <v>-1.1267724846342269E-2</v>
      </c>
      <c r="V142" s="88">
        <v>5.6179923042232738E-3</v>
      </c>
      <c r="W142" s="89">
        <v>1.1061368429268229E-3</v>
      </c>
    </row>
    <row r="143" spans="7:23">
      <c r="G143" s="114">
        <v>43756</v>
      </c>
      <c r="H143" s="88">
        <v>8.8480492301310117E-3</v>
      </c>
      <c r="I143" s="88">
        <v>2.21975673831281E-3</v>
      </c>
      <c r="J143" s="88">
        <v>-2.0240873219527773E-3</v>
      </c>
      <c r="K143" s="88">
        <v>1.1507606851479725E-2</v>
      </c>
      <c r="L143" s="88">
        <v>1.142869582362285E-2</v>
      </c>
      <c r="M143" s="88">
        <v>4.1456973797063448E-3</v>
      </c>
      <c r="N143" s="88">
        <v>1.3245226750020505E-2</v>
      </c>
      <c r="O143" s="88">
        <v>-1.3783599701212709E-3</v>
      </c>
      <c r="P143" s="88">
        <v>1.5404669194986455E-2</v>
      </c>
      <c r="Q143" s="88">
        <v>0</v>
      </c>
      <c r="R143" s="88">
        <v>-2.2002209096024235E-3</v>
      </c>
      <c r="S143" s="88">
        <v>2.7242113055320348E-3</v>
      </c>
      <c r="T143" s="88">
        <v>1.1173300598125255E-2</v>
      </c>
      <c r="U143" s="88">
        <v>2.8288562004778446E-3</v>
      </c>
      <c r="V143" s="88">
        <v>-1.26851595273158E-2</v>
      </c>
      <c r="W143" s="89">
        <v>3.7865194205031847E-3</v>
      </c>
    </row>
    <row r="144" spans="7:23">
      <c r="G144" s="114">
        <v>43759</v>
      </c>
      <c r="H144" s="88">
        <v>-6.3626937878286573E-3</v>
      </c>
      <c r="I144" s="88">
        <v>8.8300794482722156E-3</v>
      </c>
      <c r="J144" s="88">
        <v>2.0240873219526958E-3</v>
      </c>
      <c r="K144" s="88">
        <v>-3.4383988030325975E-3</v>
      </c>
      <c r="L144" s="88">
        <v>1.6901810802603254E-2</v>
      </c>
      <c r="M144" s="88">
        <v>0</v>
      </c>
      <c r="N144" s="88">
        <v>1.5234244571847987E-2</v>
      </c>
      <c r="O144" s="88">
        <v>-8.0321716972642666E-3</v>
      </c>
      <c r="P144" s="88">
        <v>-1.9293202934678781E-2</v>
      </c>
      <c r="Q144" s="88">
        <v>1.2911557636198078E-3</v>
      </c>
      <c r="R144" s="88">
        <v>1.0953012019197145E-2</v>
      </c>
      <c r="S144" s="88">
        <v>8.412397225972184E-3</v>
      </c>
      <c r="T144" s="88">
        <v>0</v>
      </c>
      <c r="U144" s="88">
        <v>-8.5106896679087302E-3</v>
      </c>
      <c r="V144" s="88">
        <v>2.7973852042406162E-2</v>
      </c>
      <c r="W144" s="89">
        <v>5.2956059329634392E-3</v>
      </c>
    </row>
    <row r="145" spans="7:23">
      <c r="G145" s="114">
        <v>43760</v>
      </c>
      <c r="H145" s="88">
        <v>1.023117056574901E-2</v>
      </c>
      <c r="I145" s="88">
        <v>-1.1049836186585046E-2</v>
      </c>
      <c r="J145" s="88">
        <v>-1.6205827836427558E-2</v>
      </c>
      <c r="K145" s="88">
        <v>-1.1487652038735931E-3</v>
      </c>
      <c r="L145" s="88">
        <v>-2.2371373983563216E-3</v>
      </c>
      <c r="M145" s="88">
        <v>-5.4819012753460593E-3</v>
      </c>
      <c r="N145" s="88">
        <v>4.3103515011222631E-3</v>
      </c>
      <c r="O145" s="88">
        <v>2.6383407653032859E-3</v>
      </c>
      <c r="P145" s="88">
        <v>3.5718082602079246E-2</v>
      </c>
      <c r="Q145" s="88">
        <v>6.4308903302903314E-3</v>
      </c>
      <c r="R145" s="88">
        <v>-2.1810259463602259E-3</v>
      </c>
      <c r="S145" s="88">
        <v>-5.5528013396680129E-3</v>
      </c>
      <c r="T145" s="88">
        <v>-3.710579396535713E-3</v>
      </c>
      <c r="U145" s="88">
        <v>5.6818334674308638E-3</v>
      </c>
      <c r="V145" s="88">
        <v>-1.388911216066715E-2</v>
      </c>
      <c r="W145" s="89">
        <v>7.2846254137960455E-3</v>
      </c>
    </row>
    <row r="146" spans="7:23">
      <c r="G146" s="114">
        <v>43761</v>
      </c>
      <c r="H146" s="88">
        <v>-1.9851768552731471E-2</v>
      </c>
      <c r="I146" s="88">
        <v>6.6445427186685108E-3</v>
      </c>
      <c r="J146" s="88">
        <v>-8.7724387328595461E-3</v>
      </c>
      <c r="K146" s="88">
        <v>0</v>
      </c>
      <c r="L146" s="88">
        <v>-5.6148378843290025E-3</v>
      </c>
      <c r="M146" s="88">
        <v>0</v>
      </c>
      <c r="N146" s="88">
        <v>1.069528911674795E-2</v>
      </c>
      <c r="O146" s="88">
        <v>-4.0297421307313704E-3</v>
      </c>
      <c r="P146" s="88">
        <v>0</v>
      </c>
      <c r="Q146" s="88">
        <v>2.5608208616736505E-3</v>
      </c>
      <c r="R146" s="88">
        <v>4.3573053689558473E-3</v>
      </c>
      <c r="S146" s="88">
        <v>2.7090627532780054E-3</v>
      </c>
      <c r="T146" s="88">
        <v>3.7105793965357746E-3</v>
      </c>
      <c r="U146" s="88">
        <v>-2.8368813351996149E-3</v>
      </c>
      <c r="V146" s="88">
        <v>1.3889112160667093E-2</v>
      </c>
      <c r="W146" s="89">
        <v>-4.2367302237400695E-4</v>
      </c>
    </row>
    <row r="147" spans="7:23">
      <c r="G147" s="114">
        <v>43762</v>
      </c>
      <c r="H147" s="88">
        <v>4.6436947172293526E-3</v>
      </c>
      <c r="I147" s="88">
        <v>0</v>
      </c>
      <c r="J147" s="88">
        <v>1.0825405990553963E-2</v>
      </c>
      <c r="K147" s="88">
        <v>5.7306747089850745E-3</v>
      </c>
      <c r="L147" s="88">
        <v>-2.2547923870890937E-3</v>
      </c>
      <c r="M147" s="88">
        <v>4.1512290896411255E-3</v>
      </c>
      <c r="N147" s="88">
        <v>0</v>
      </c>
      <c r="O147" s="88">
        <v>1.3914013654279971E-3</v>
      </c>
      <c r="P147" s="88">
        <v>-6.2853758149608646E-3</v>
      </c>
      <c r="Q147" s="88">
        <v>2.2756987122616278E-2</v>
      </c>
      <c r="R147" s="88">
        <v>-1.0929070532190317E-2</v>
      </c>
      <c r="S147" s="88">
        <v>-1.116850097057622E-2</v>
      </c>
      <c r="T147" s="88">
        <v>0</v>
      </c>
      <c r="U147" s="88">
        <v>-2.008675856673723E-2</v>
      </c>
      <c r="V147" s="88">
        <v>2.317758831270559E-2</v>
      </c>
      <c r="W147" s="89">
        <v>9.7303554677721641E-4</v>
      </c>
    </row>
    <row r="148" spans="7:23">
      <c r="G148" s="114">
        <v>43763</v>
      </c>
      <c r="H148" s="88">
        <v>-1.363494392484604E-2</v>
      </c>
      <c r="I148" s="88">
        <v>-8.1271226788913725E-3</v>
      </c>
      <c r="J148" s="88">
        <v>-1.0259567946194082E-3</v>
      </c>
      <c r="K148" s="88">
        <v>-2.8612322810322348E-3</v>
      </c>
      <c r="L148" s="88">
        <v>-1.129305597151414E-3</v>
      </c>
      <c r="M148" s="88">
        <v>2.8071230666424666E-3</v>
      </c>
      <c r="N148" s="88">
        <v>-1.0695289116747919E-2</v>
      </c>
      <c r="O148" s="88">
        <v>4.0241502997253268E-3</v>
      </c>
      <c r="P148" s="88">
        <v>3.7759642095351359E-3</v>
      </c>
      <c r="Q148" s="88">
        <v>-3.7570488777122881E-3</v>
      </c>
      <c r="R148" s="88">
        <v>1.092907053219023E-2</v>
      </c>
      <c r="S148" s="88">
        <v>0</v>
      </c>
      <c r="T148" s="88">
        <v>1.1049836186584935E-2</v>
      </c>
      <c r="U148" s="88">
        <v>5.7803629154995493E-3</v>
      </c>
      <c r="V148" s="88">
        <v>-2.3177588312705683E-2</v>
      </c>
      <c r="W148" s="89">
        <v>-1.9240906593416404E-3</v>
      </c>
    </row>
    <row r="149" spans="7:23">
      <c r="G149" s="114">
        <v>43767</v>
      </c>
      <c r="H149" s="88">
        <v>-2.1176402863813538E-2</v>
      </c>
      <c r="I149" s="88">
        <v>8.8626872578453243E-3</v>
      </c>
      <c r="J149" s="88">
        <v>0</v>
      </c>
      <c r="K149" s="88">
        <v>2.8612322810321949E-3</v>
      </c>
      <c r="L149" s="88">
        <v>2.2347298691996618E-2</v>
      </c>
      <c r="M149" s="88">
        <v>-9.7851040199545304E-3</v>
      </c>
      <c r="N149" s="88">
        <v>9.6308930609613659E-3</v>
      </c>
      <c r="O149" s="88">
        <v>-6.8088917261582378E-3</v>
      </c>
      <c r="P149" s="88">
        <v>-1.5190165493975233E-2</v>
      </c>
      <c r="Q149" s="88">
        <v>-1.8999938244903942E-2</v>
      </c>
      <c r="R149" s="88">
        <v>-2.1762794225955173E-3</v>
      </c>
      <c r="S149" s="88">
        <v>-1.1294646567767819E-2</v>
      </c>
      <c r="T149" s="88">
        <v>-1.1049836186585046E-2</v>
      </c>
      <c r="U149" s="88">
        <v>-8.6831225734608809E-3</v>
      </c>
      <c r="V149" s="88">
        <v>0</v>
      </c>
      <c r="W149" s="89">
        <v>1.2602396122877732E-3</v>
      </c>
    </row>
    <row r="150" spans="7:23">
      <c r="G150" s="114">
        <v>43768</v>
      </c>
      <c r="H150" s="88">
        <v>9.9137951669324691E-3</v>
      </c>
      <c r="I150" s="88">
        <v>0</v>
      </c>
      <c r="J150" s="88">
        <v>5.1192903856192625E-3</v>
      </c>
      <c r="K150" s="88">
        <v>0</v>
      </c>
      <c r="L150" s="88">
        <v>-6.6519092283058535E-3</v>
      </c>
      <c r="M150" s="88">
        <v>5.4973765963644526E-3</v>
      </c>
      <c r="N150" s="88">
        <v>3.1897953681000808E-3</v>
      </c>
      <c r="O150" s="88">
        <v>-9.6673257272134761E-3</v>
      </c>
      <c r="P150" s="88">
        <v>1.6445658439807196E-2</v>
      </c>
      <c r="Q150" s="88">
        <v>-2.5608208616737039E-3</v>
      </c>
      <c r="R150" s="88">
        <v>2.17627942259567E-3</v>
      </c>
      <c r="S150" s="88">
        <v>5.6632693292612123E-3</v>
      </c>
      <c r="T150" s="88">
        <v>0</v>
      </c>
      <c r="U150" s="88">
        <v>2.9027596579614102E-3</v>
      </c>
      <c r="V150" s="88">
        <v>0</v>
      </c>
      <c r="W150" s="89">
        <v>2.6641831975554521E-3</v>
      </c>
    </row>
    <row r="151" spans="7:23">
      <c r="G151" s="114">
        <v>43769</v>
      </c>
      <c r="H151" s="88">
        <v>1.1623814130282847E-2</v>
      </c>
      <c r="I151" s="88">
        <v>0</v>
      </c>
      <c r="J151" s="88">
        <v>-5.11929038561922E-3</v>
      </c>
      <c r="K151" s="88">
        <v>0</v>
      </c>
      <c r="L151" s="88">
        <v>9.9613441296731251E-3</v>
      </c>
      <c r="M151" s="88">
        <v>-4.1573927734405861E-3</v>
      </c>
      <c r="N151" s="88">
        <v>8.4567100182234584E-3</v>
      </c>
      <c r="O151" s="88">
        <v>9.6673257272136218E-3</v>
      </c>
      <c r="P151" s="88">
        <v>-2.512564135883048E-3</v>
      </c>
      <c r="Q151" s="88">
        <v>1.5267472130788381E-2</v>
      </c>
      <c r="R151" s="88">
        <v>0</v>
      </c>
      <c r="S151" s="88">
        <v>0</v>
      </c>
      <c r="T151" s="88">
        <v>-7.4349784875180902E-3</v>
      </c>
      <c r="U151" s="88">
        <v>2.8943580263643353E-3</v>
      </c>
      <c r="V151" s="88">
        <v>-6.9204428445737952E-3</v>
      </c>
      <c r="W151" s="89">
        <v>7.7802815260765634E-3</v>
      </c>
    </row>
    <row r="152" spans="7:23">
      <c r="G152" s="114">
        <v>43770</v>
      </c>
      <c r="H152" s="88">
        <v>-8.3409368430455069E-3</v>
      </c>
      <c r="I152" s="88">
        <v>-1.4716706114562507E-3</v>
      </c>
      <c r="J152" s="88">
        <v>1.8207287283414288E-2</v>
      </c>
      <c r="K152" s="88">
        <v>0</v>
      </c>
      <c r="L152" s="88">
        <v>4.3956114730381293E-3</v>
      </c>
      <c r="M152" s="88">
        <v>0</v>
      </c>
      <c r="N152" s="88">
        <v>-1.0582109330536859E-2</v>
      </c>
      <c r="O152" s="88">
        <v>-1.3952841666454786E-3</v>
      </c>
      <c r="P152" s="88">
        <v>-7.5757938084577677E-3</v>
      </c>
      <c r="Q152" s="88">
        <v>-1.3986241974739952E-2</v>
      </c>
      <c r="R152" s="88">
        <v>-4.3573053689558126E-3</v>
      </c>
      <c r="S152" s="88">
        <v>0</v>
      </c>
      <c r="T152" s="88">
        <v>1.4815085785140682E-2</v>
      </c>
      <c r="U152" s="88">
        <v>2.886004889135073E-3</v>
      </c>
      <c r="V152" s="88">
        <v>1.3793322132335769E-2</v>
      </c>
      <c r="W152" s="89">
        <v>-2.5071910486212092E-3</v>
      </c>
    </row>
    <row r="153" spans="7:23">
      <c r="G153" s="114">
        <v>43773</v>
      </c>
      <c r="H153" s="88">
        <v>-5.8436981489109197E-3</v>
      </c>
      <c r="I153" s="88">
        <v>8.797710703529131E-3</v>
      </c>
      <c r="J153" s="88">
        <v>-3.3724304942552151E-2</v>
      </c>
      <c r="K153" s="88">
        <v>1.6997576368571077E-2</v>
      </c>
      <c r="L153" s="88">
        <v>-1.324522675002068E-2</v>
      </c>
      <c r="M153" s="88">
        <v>9.772064733792522E-3</v>
      </c>
      <c r="N153" s="88">
        <v>-1.0643960557867014E-3</v>
      </c>
      <c r="O153" s="88">
        <v>0</v>
      </c>
      <c r="P153" s="88">
        <v>0</v>
      </c>
      <c r="Q153" s="88">
        <v>2.0279528950529088E-2</v>
      </c>
      <c r="R153" s="88">
        <v>-2.1857932199800967E-3</v>
      </c>
      <c r="S153" s="88">
        <v>5.6313772385066015E-3</v>
      </c>
      <c r="T153" s="88">
        <v>-3.6832454162962934E-3</v>
      </c>
      <c r="U153" s="88">
        <v>0</v>
      </c>
      <c r="V153" s="88">
        <v>1.3605652055778678E-2</v>
      </c>
      <c r="W153" s="89">
        <v>-1.2616433723794628E-3</v>
      </c>
    </row>
    <row r="154" spans="7:23">
      <c r="G154" s="114">
        <v>43774</v>
      </c>
      <c r="H154" s="88">
        <v>3.6563112031104792E-3</v>
      </c>
      <c r="I154" s="88">
        <v>-4.3891804187630957E-3</v>
      </c>
      <c r="J154" s="88">
        <v>-5.2263106312979207E-3</v>
      </c>
      <c r="K154" s="88">
        <v>1.1173300598125255E-2</v>
      </c>
      <c r="L154" s="88">
        <v>-8.9286307443014312E-3</v>
      </c>
      <c r="M154" s="88">
        <v>-1.3269445367617273E-3</v>
      </c>
      <c r="N154" s="88">
        <v>-2.5891413932741591E-2</v>
      </c>
      <c r="O154" s="88">
        <v>0</v>
      </c>
      <c r="P154" s="88">
        <v>-1.6613800662655446E-2</v>
      </c>
      <c r="Q154" s="88">
        <v>5.0062682781442224E-3</v>
      </c>
      <c r="R154" s="88">
        <v>6.5430985889358868E-3</v>
      </c>
      <c r="S154" s="88">
        <v>-2.8839241329049821E-3</v>
      </c>
      <c r="T154" s="88">
        <v>-1.1131840368844294E-2</v>
      </c>
      <c r="U154" s="88">
        <v>-1.744230266334237E-2</v>
      </c>
      <c r="V154" s="88">
        <v>0</v>
      </c>
      <c r="W154" s="89">
        <v>-6.7443297084083349E-3</v>
      </c>
    </row>
    <row r="155" spans="7:23">
      <c r="G155" s="114">
        <v>43775</v>
      </c>
      <c r="H155" s="88">
        <v>0</v>
      </c>
      <c r="I155" s="88">
        <v>-6.6201050896061283E-3</v>
      </c>
      <c r="J155" s="88">
        <v>0</v>
      </c>
      <c r="K155" s="88">
        <v>-2.133713738813121E-2</v>
      </c>
      <c r="L155" s="88">
        <v>-5.2946772973786138E-2</v>
      </c>
      <c r="M155" s="88">
        <v>-1.2619869066354447E-2</v>
      </c>
      <c r="N155" s="88">
        <v>-1.7641030803901083E-2</v>
      </c>
      <c r="O155" s="88">
        <v>-6.8651758248627834E-3</v>
      </c>
      <c r="P155" s="88">
        <v>-3.8734715957966636E-3</v>
      </c>
      <c r="Q155" s="88">
        <v>-1.2492194004319278E-3</v>
      </c>
      <c r="R155" s="88">
        <v>0</v>
      </c>
      <c r="S155" s="88">
        <v>-8.4107224348628461E-3</v>
      </c>
      <c r="T155" s="88">
        <v>0</v>
      </c>
      <c r="U155" s="88">
        <v>1.1661939747842957E-2</v>
      </c>
      <c r="V155" s="88">
        <v>-8.1411575836998849E-3</v>
      </c>
      <c r="W155" s="89">
        <v>-1.5613507039367187E-2</v>
      </c>
    </row>
    <row r="156" spans="7:23">
      <c r="G156" s="114">
        <v>43776</v>
      </c>
      <c r="H156" s="88">
        <v>4.0065615424587208E-3</v>
      </c>
      <c r="I156" s="88">
        <v>-5.9215569034373212E-3</v>
      </c>
      <c r="J156" s="88">
        <v>1.4048828804890235E-2</v>
      </c>
      <c r="K156" s="88">
        <v>2.853340425872606E-2</v>
      </c>
      <c r="L156" s="88">
        <v>5.0702103119962316E-2</v>
      </c>
      <c r="M156" s="88">
        <v>2.8347650463998431E-3</v>
      </c>
      <c r="N156" s="88">
        <v>2.2222231367175172E-3</v>
      </c>
      <c r="O156" s="88">
        <v>2.8078075445229483E-3</v>
      </c>
      <c r="P156" s="88">
        <v>-6.4893154397498813E-3</v>
      </c>
      <c r="Q156" s="88">
        <v>-2.0202707317519466E-2</v>
      </c>
      <c r="R156" s="88">
        <v>0</v>
      </c>
      <c r="S156" s="88">
        <v>1.1294646567767883E-2</v>
      </c>
      <c r="T156" s="88">
        <v>7.4349784875179905E-3</v>
      </c>
      <c r="U156" s="88">
        <v>0</v>
      </c>
      <c r="V156" s="88">
        <v>-1.2337373759840819E-2</v>
      </c>
      <c r="W156" s="89">
        <v>1.1172396005099391E-2</v>
      </c>
    </row>
    <row r="157" spans="7:23">
      <c r="G157" s="114">
        <v>43777</v>
      </c>
      <c r="H157" s="88">
        <v>-1.091107582334568E-3</v>
      </c>
      <c r="I157" s="88">
        <v>-5.2102834654069877E-3</v>
      </c>
      <c r="J157" s="88">
        <v>1.5488670554738794E-3</v>
      </c>
      <c r="K157" s="88">
        <v>7.1448504000628972E-3</v>
      </c>
      <c r="L157" s="88">
        <v>-1.1299555253933394E-2</v>
      </c>
      <c r="M157" s="88">
        <v>1.3399838229238852E-3</v>
      </c>
      <c r="N157" s="88">
        <v>2.6288479904087364E-2</v>
      </c>
      <c r="O157" s="88">
        <v>-1.4029182996843179E-3</v>
      </c>
      <c r="P157" s="88">
        <v>0</v>
      </c>
      <c r="Q157" s="88">
        <v>1.2746974320005163E-3</v>
      </c>
      <c r="R157" s="88">
        <v>0</v>
      </c>
      <c r="S157" s="88">
        <v>-5.6313772385065287E-3</v>
      </c>
      <c r="T157" s="88">
        <v>0</v>
      </c>
      <c r="U157" s="88">
        <v>-1.1661939747842975E-2</v>
      </c>
      <c r="V157" s="88">
        <v>-6.9204428445737952E-3</v>
      </c>
      <c r="W157" s="89">
        <v>-5.5127694164245761E-3</v>
      </c>
    </row>
    <row r="158" spans="7:23">
      <c r="G158" s="114">
        <v>43780</v>
      </c>
      <c r="H158" s="88">
        <v>-6.9381326339015125E-3</v>
      </c>
      <c r="I158" s="88">
        <v>2.9806281381377199E-3</v>
      </c>
      <c r="J158" s="88">
        <v>-3.1001368220642807E-3</v>
      </c>
      <c r="K158" s="88">
        <v>-1.0459770562685385E-2</v>
      </c>
      <c r="L158" s="88">
        <v>-1.1428695823622744E-2</v>
      </c>
      <c r="M158" s="88">
        <v>-5.5203422546814783E-3</v>
      </c>
      <c r="N158" s="88">
        <v>-1.0816658707410232E-3</v>
      </c>
      <c r="O158" s="88">
        <v>-1.5278271441792578E-2</v>
      </c>
      <c r="P158" s="88">
        <v>-2.6386755173194887E-2</v>
      </c>
      <c r="Q158" s="88">
        <v>5.0826030634658096E-3</v>
      </c>
      <c r="R158" s="88">
        <v>1.0810916104215676E-2</v>
      </c>
      <c r="S158" s="88">
        <v>-8.5799988288745837E-3</v>
      </c>
      <c r="T158" s="88">
        <v>0</v>
      </c>
      <c r="U158" s="88">
        <v>0</v>
      </c>
      <c r="V158" s="88">
        <v>0</v>
      </c>
      <c r="W158" s="89">
        <v>-1.0194147364640076E-2</v>
      </c>
    </row>
    <row r="159" spans="7:23">
      <c r="G159" s="114">
        <v>43781</v>
      </c>
      <c r="H159" s="88">
        <v>8.7559844342689538E-3</v>
      </c>
      <c r="I159" s="88">
        <v>7.437709528446807E-4</v>
      </c>
      <c r="J159" s="88">
        <v>3.1001368220643128E-3</v>
      </c>
      <c r="K159" s="88">
        <v>1.6465794622897292E-2</v>
      </c>
      <c r="L159" s="88">
        <v>4.385188252884941E-2</v>
      </c>
      <c r="M159" s="88">
        <v>7.0071102954288068E-3</v>
      </c>
      <c r="N159" s="88">
        <v>-4.3384015985982417E-3</v>
      </c>
      <c r="O159" s="88">
        <v>9.7880063661629439E-3</v>
      </c>
      <c r="P159" s="88">
        <v>1.0638398205055577E-2</v>
      </c>
      <c r="Q159" s="88">
        <v>3.7950709685515343E-3</v>
      </c>
      <c r="R159" s="88">
        <v>2.148228538289605E-3</v>
      </c>
      <c r="S159" s="88">
        <v>2.9167294996134733E-3</v>
      </c>
      <c r="T159" s="88">
        <v>-1.4925650216675593E-2</v>
      </c>
      <c r="U159" s="88">
        <v>5.8479698824231204E-3</v>
      </c>
      <c r="V159" s="88">
        <v>1.7894489876550432E-2</v>
      </c>
      <c r="W159" s="89">
        <v>1.2262113697130662E-2</v>
      </c>
    </row>
    <row r="160" spans="7:23">
      <c r="G160" s="114">
        <v>43782</v>
      </c>
      <c r="H160" s="88">
        <v>4.9602799833527708E-2</v>
      </c>
      <c r="I160" s="88">
        <v>-7.437709528446524E-4</v>
      </c>
      <c r="J160" s="88">
        <v>-1.4026932670236658E-2</v>
      </c>
      <c r="K160" s="88">
        <v>-2.1798373754208364E-3</v>
      </c>
      <c r="L160" s="88">
        <v>1.0995053334168679E-3</v>
      </c>
      <c r="M160" s="88">
        <v>5.43564928161821E-2</v>
      </c>
      <c r="N160" s="88">
        <v>-3.2661977866210697E-3</v>
      </c>
      <c r="O160" s="88">
        <v>-2.8272566189281212E-3</v>
      </c>
      <c r="P160" s="88">
        <v>-1.323626930508253E-3</v>
      </c>
      <c r="Q160" s="88">
        <v>8.799553951848841E-3</v>
      </c>
      <c r="R160" s="88">
        <v>0</v>
      </c>
      <c r="S160" s="88">
        <v>1.6894488898761831E-2</v>
      </c>
      <c r="T160" s="88">
        <v>0</v>
      </c>
      <c r="U160" s="88">
        <v>-8.7848295557329155E-3</v>
      </c>
      <c r="V160" s="88">
        <v>-1.3736479727886839E-2</v>
      </c>
      <c r="W160" s="89">
        <v>5.1225787015886761E-3</v>
      </c>
    </row>
    <row r="161" spans="7:23">
      <c r="G161" s="114">
        <v>43783</v>
      </c>
      <c r="H161" s="88">
        <v>4.5608309581204383E-2</v>
      </c>
      <c r="I161" s="88">
        <v>7.437709528446807E-4</v>
      </c>
      <c r="J161" s="88">
        <v>6.7782729932192422E-3</v>
      </c>
      <c r="K161" s="88">
        <v>1.0905126489659065E-3</v>
      </c>
      <c r="L161" s="88">
        <v>5.7646695099649897E-2</v>
      </c>
      <c r="M161" s="88">
        <v>1.1889083324560998E-2</v>
      </c>
      <c r="N161" s="88">
        <v>-2.1834069809435063E-3</v>
      </c>
      <c r="O161" s="88">
        <v>1.3777808274582012E-2</v>
      </c>
      <c r="P161" s="88">
        <v>3.9656363933468853E-3</v>
      </c>
      <c r="Q161" s="88">
        <v>2.594339449202402E-2</v>
      </c>
      <c r="R161" s="88">
        <v>-1.0787591128997352E-2</v>
      </c>
      <c r="S161" s="88">
        <v>-5.5998423309939734E-3</v>
      </c>
      <c r="T161" s="88">
        <v>1.4925650216675574E-2</v>
      </c>
      <c r="U161" s="88">
        <v>8.7848295557328114E-3</v>
      </c>
      <c r="V161" s="88">
        <v>-1.6736792355523864E-2</v>
      </c>
      <c r="W161" s="89">
        <v>2.1480065054703405E-2</v>
      </c>
    </row>
    <row r="162" spans="7:23">
      <c r="G162" s="114">
        <v>43784</v>
      </c>
      <c r="H162" s="88">
        <v>-4.0436775903929467E-2</v>
      </c>
      <c r="I162" s="88">
        <v>-5.9657149339962775E-3</v>
      </c>
      <c r="J162" s="88">
        <v>4.6658802052063509E-3</v>
      </c>
      <c r="K162" s="88">
        <v>1.1917800864035103E-2</v>
      </c>
      <c r="L162" s="88">
        <v>-9.3799541298153332E-3</v>
      </c>
      <c r="M162" s="88">
        <v>6.5137781416851909E-3</v>
      </c>
      <c r="N162" s="88">
        <v>-2.1881846805527827E-3</v>
      </c>
      <c r="O162" s="88">
        <v>5.4306336904887623E-3</v>
      </c>
      <c r="P162" s="88">
        <v>-1.194440212515218E-2</v>
      </c>
      <c r="Q162" s="88">
        <v>0</v>
      </c>
      <c r="R162" s="88">
        <v>0</v>
      </c>
      <c r="S162" s="88">
        <v>0</v>
      </c>
      <c r="T162" s="88">
        <v>-7.4349784875180902E-3</v>
      </c>
      <c r="U162" s="88">
        <v>2.9112102074583131E-3</v>
      </c>
      <c r="V162" s="88">
        <v>4.2105325363434578E-3</v>
      </c>
      <c r="W162" s="89">
        <v>-5.182876599562714E-3</v>
      </c>
    </row>
    <row r="163" spans="7:23">
      <c r="G163" s="114">
        <v>43787</v>
      </c>
      <c r="H163" s="88">
        <v>-1.3850636933898937E-2</v>
      </c>
      <c r="I163" s="88">
        <v>0</v>
      </c>
      <c r="J163" s="88">
        <v>1.1314665041065783E-2</v>
      </c>
      <c r="K163" s="88">
        <v>1.6142053545412009E-3</v>
      </c>
      <c r="L163" s="88">
        <v>1.6615127810594595E-2</v>
      </c>
      <c r="M163" s="88">
        <v>-6.5137781416852308E-3</v>
      </c>
      <c r="N163" s="88">
        <v>7.63778944811732E-3</v>
      </c>
      <c r="O163" s="88">
        <v>0</v>
      </c>
      <c r="P163" s="88">
        <v>-5.3547651376599156E-3</v>
      </c>
      <c r="Q163" s="88">
        <v>8.5003547653925253E-3</v>
      </c>
      <c r="R163" s="88">
        <v>-1.0905233482262468E-2</v>
      </c>
      <c r="S163" s="88">
        <v>2.8756310254618041E-3</v>
      </c>
      <c r="T163" s="88">
        <v>0</v>
      </c>
      <c r="U163" s="88">
        <v>3.709412440624079E-2</v>
      </c>
      <c r="V163" s="88">
        <v>1.3908430046131931E-2</v>
      </c>
      <c r="W163" s="89">
        <v>3.4394715700123649E-3</v>
      </c>
    </row>
    <row r="164" spans="7:23">
      <c r="G164" s="114">
        <v>43788</v>
      </c>
      <c r="H164" s="88">
        <v>-6.6468672216026875E-3</v>
      </c>
      <c r="I164" s="88">
        <v>9.6762943305319891E-3</v>
      </c>
      <c r="J164" s="88">
        <v>3.0637278866491586E-3</v>
      </c>
      <c r="K164" s="88">
        <v>-1.0758473334632364E-3</v>
      </c>
      <c r="L164" s="88">
        <v>1.4315172880764048E-2</v>
      </c>
      <c r="M164" s="88">
        <v>1.8187329642944991E-2</v>
      </c>
      <c r="N164" s="88">
        <v>8.6580627431145311E-3</v>
      </c>
      <c r="O164" s="88">
        <v>2.7735422023148965E-3</v>
      </c>
      <c r="P164" s="88">
        <v>-6.7340321813440683E-3</v>
      </c>
      <c r="Q164" s="88">
        <v>1.5597196813667988E-2</v>
      </c>
      <c r="R164" s="88">
        <v>6.5574005461590396E-3</v>
      </c>
      <c r="S164" s="88">
        <v>1.3972283195016115E-2</v>
      </c>
      <c r="T164" s="88">
        <v>0</v>
      </c>
      <c r="U164" s="88">
        <v>2.7972046210612191E-3</v>
      </c>
      <c r="V164" s="88">
        <v>0</v>
      </c>
      <c r="W164" s="89">
        <v>5.702562516374781E-3</v>
      </c>
    </row>
    <row r="165" spans="7:23">
      <c r="G165" s="114">
        <v>43789</v>
      </c>
      <c r="H165" s="88">
        <v>-1.7348638334612976E-2</v>
      </c>
      <c r="I165" s="88">
        <v>3.0636969461889801E-2</v>
      </c>
      <c r="J165" s="88">
        <v>8.5288363475205017E-3</v>
      </c>
      <c r="K165" s="88">
        <v>-4.3150013014132361E-3</v>
      </c>
      <c r="L165" s="88">
        <v>-2.0513539833103018E-2</v>
      </c>
      <c r="M165" s="88">
        <v>1.5310914908898896E-2</v>
      </c>
      <c r="N165" s="88">
        <v>1.0770060276379661E-3</v>
      </c>
      <c r="O165" s="88">
        <v>1.6072878464045814E-2</v>
      </c>
      <c r="P165" s="88">
        <v>-2.7063615977430252E-3</v>
      </c>
      <c r="Q165" s="88">
        <v>9.4787439545437387E-3</v>
      </c>
      <c r="R165" s="88">
        <v>0</v>
      </c>
      <c r="S165" s="88">
        <v>1.3779745598017593E-2</v>
      </c>
      <c r="T165" s="88">
        <v>-2.6466573188163287E-2</v>
      </c>
      <c r="U165" s="88">
        <v>-8.4151969252845849E-3</v>
      </c>
      <c r="V165" s="88">
        <v>0</v>
      </c>
      <c r="W165" s="89">
        <v>-3.3637220992476778E-3</v>
      </c>
    </row>
    <row r="166" spans="7:23">
      <c r="G166" s="114">
        <v>43790</v>
      </c>
      <c r="H166" s="88">
        <v>8.5349024498372859E-3</v>
      </c>
      <c r="I166" s="88">
        <v>-8.6580627431145415E-3</v>
      </c>
      <c r="J166" s="88">
        <v>-4.9663103139171881E-3</v>
      </c>
      <c r="K166" s="88">
        <v>-3.0180617149991287E-2</v>
      </c>
      <c r="L166" s="88">
        <v>-5.1948168771040228E-3</v>
      </c>
      <c r="M166" s="88">
        <v>8.7021099385322809E-3</v>
      </c>
      <c r="N166" s="88">
        <v>-1.0822616458151416E-2</v>
      </c>
      <c r="O166" s="88">
        <v>-1.2064857066506866E-2</v>
      </c>
      <c r="P166" s="88">
        <v>-5.4347959859569446E-3</v>
      </c>
      <c r="Q166" s="88">
        <v>-1.5448910941047713E-2</v>
      </c>
      <c r="R166" s="88">
        <v>-4.3668191663404025E-3</v>
      </c>
      <c r="S166" s="88">
        <v>0</v>
      </c>
      <c r="T166" s="88">
        <v>0</v>
      </c>
      <c r="U166" s="88">
        <v>1.6760168857465101E-2</v>
      </c>
      <c r="V166" s="88">
        <v>4.1350851478030174E-3</v>
      </c>
      <c r="W166" s="89">
        <v>-7.8703274733799167E-3</v>
      </c>
    </row>
    <row r="167" spans="7:23">
      <c r="G167" s="114">
        <v>43791</v>
      </c>
      <c r="H167" s="88">
        <v>2.3448143403213381E-2</v>
      </c>
      <c r="I167" s="88">
        <v>5.7803629154995493E-3</v>
      </c>
      <c r="J167" s="88">
        <v>1.5025745307095039E-2</v>
      </c>
      <c r="K167" s="88">
        <v>-1.4025475354504434E-2</v>
      </c>
      <c r="L167" s="88">
        <v>-2.0855064910213707E-3</v>
      </c>
      <c r="M167" s="88">
        <v>-3.0450962294746135E-2</v>
      </c>
      <c r="N167" s="88">
        <v>1.7260406932999992E-2</v>
      </c>
      <c r="O167" s="88">
        <v>0</v>
      </c>
      <c r="P167" s="88">
        <v>1.7556156518301818E-2</v>
      </c>
      <c r="Q167" s="88">
        <v>-6.006024060211698E-3</v>
      </c>
      <c r="R167" s="88">
        <v>6.5430985889358868E-3</v>
      </c>
      <c r="S167" s="88">
        <v>5.4313899972069195E-3</v>
      </c>
      <c r="T167" s="88">
        <v>1.8975901459005604E-2</v>
      </c>
      <c r="U167" s="88">
        <v>5.5248759319698072E-3</v>
      </c>
      <c r="V167" s="88">
        <v>-3.0728674721250713E-2</v>
      </c>
      <c r="W167" s="89">
        <v>8.9142919387010036E-3</v>
      </c>
    </row>
    <row r="168" spans="7:23">
      <c r="G168" s="114">
        <v>43794</v>
      </c>
      <c r="H168" s="88">
        <v>2.3248910383863518E-2</v>
      </c>
      <c r="I168" s="88">
        <v>5.030553188716114E-3</v>
      </c>
      <c r="J168" s="88">
        <v>7.9753189151259632E-3</v>
      </c>
      <c r="K168" s="88">
        <v>5.9227834200333535E-2</v>
      </c>
      <c r="L168" s="88">
        <v>1.2448293526568082E-2</v>
      </c>
      <c r="M168" s="88">
        <v>-1.4394712220652023E-2</v>
      </c>
      <c r="N168" s="88">
        <v>-6.4377904748485299E-3</v>
      </c>
      <c r="O168" s="88">
        <v>1.3783599701213596E-3</v>
      </c>
      <c r="P168" s="88">
        <v>1.0652564116207309E-2</v>
      </c>
      <c r="Q168" s="88">
        <v>0</v>
      </c>
      <c r="R168" s="88">
        <v>0</v>
      </c>
      <c r="S168" s="88">
        <v>5.5401803756153509E-3</v>
      </c>
      <c r="T168" s="88">
        <v>-1.5151805020602333E-2</v>
      </c>
      <c r="U168" s="88">
        <v>-8.2988028146950658E-3</v>
      </c>
      <c r="V168" s="88">
        <v>1.2685159527315642E-2</v>
      </c>
      <c r="W168" s="89">
        <v>7.7450890927945465E-3</v>
      </c>
    </row>
    <row r="169" spans="7:23">
      <c r="G169" s="114">
        <v>43795</v>
      </c>
      <c r="H169" s="88">
        <v>6.4005608437447551E-3</v>
      </c>
      <c r="I169" s="88">
        <v>-1.7354014693151506E-2</v>
      </c>
      <c r="J169" s="88">
        <v>8.8968558377367172E-3</v>
      </c>
      <c r="K169" s="88">
        <v>-2.1529356852575988E-2</v>
      </c>
      <c r="L169" s="88">
        <v>-2.8229788863971025E-2</v>
      </c>
      <c r="M169" s="88">
        <v>-1.587892563914672E-2</v>
      </c>
      <c r="N169" s="88">
        <v>-1.3001266557373629E-2</v>
      </c>
      <c r="O169" s="88">
        <v>-1.2195273093818243E-2</v>
      </c>
      <c r="P169" s="88">
        <v>-1.3253812410685707E-3</v>
      </c>
      <c r="Q169" s="88">
        <v>0</v>
      </c>
      <c r="R169" s="88">
        <v>0</v>
      </c>
      <c r="S169" s="88">
        <v>1.0989121575595165E-2</v>
      </c>
      <c r="T169" s="88">
        <v>1.1385322225125429E-2</v>
      </c>
      <c r="U169" s="88">
        <v>-8.3682496705166903E-3</v>
      </c>
      <c r="V169" s="88">
        <v>1.3995803544232636E-3</v>
      </c>
      <c r="W169" s="89">
        <v>-7.1169906401482392E-3</v>
      </c>
    </row>
    <row r="170" spans="7:23">
      <c r="G170" s="114">
        <v>43796</v>
      </c>
      <c r="H170" s="88">
        <v>1.665040131338508E-2</v>
      </c>
      <c r="I170" s="88">
        <v>4.3668191663403895E-3</v>
      </c>
      <c r="J170" s="88">
        <v>2.2383184366765365E-2</v>
      </c>
      <c r="K170" s="88">
        <v>1.672550453993053E-2</v>
      </c>
      <c r="L170" s="88">
        <v>-3.1864073694078689E-3</v>
      </c>
      <c r="M170" s="88">
        <v>2.6556417361432674E-2</v>
      </c>
      <c r="N170" s="88">
        <v>1.3001266557373502E-2</v>
      </c>
      <c r="O170" s="88">
        <v>-1.7866410392242914E-2</v>
      </c>
      <c r="P170" s="88">
        <v>-2.6560440581162963E-3</v>
      </c>
      <c r="Q170" s="88">
        <v>-3.6210057669524049E-3</v>
      </c>
      <c r="R170" s="88">
        <v>0</v>
      </c>
      <c r="S170" s="88">
        <v>2.9611854046644438E-2</v>
      </c>
      <c r="T170" s="88">
        <v>7.518832414027319E-3</v>
      </c>
      <c r="U170" s="88">
        <v>2.7972046210612191E-3</v>
      </c>
      <c r="V170" s="88">
        <v>-5.610112890766788E-3</v>
      </c>
      <c r="W170" s="89">
        <v>3.5480676768424768E-3</v>
      </c>
    </row>
    <row r="171" spans="7:23">
      <c r="G171" s="114">
        <v>43797</v>
      </c>
      <c r="H171" s="88">
        <v>-2.6455041884241655E-3</v>
      </c>
      <c r="I171" s="88">
        <v>-2.9090929606837243E-3</v>
      </c>
      <c r="J171" s="88">
        <v>5.2490729423112371E-2</v>
      </c>
      <c r="K171" s="88">
        <v>-9.1373922494382611E-3</v>
      </c>
      <c r="L171" s="88">
        <v>2.2094533706242862E-2</v>
      </c>
      <c r="M171" s="88">
        <v>-9.7020858064505913E-3</v>
      </c>
      <c r="N171" s="88">
        <v>0</v>
      </c>
      <c r="O171" s="88">
        <v>2.7303061046981568E-2</v>
      </c>
      <c r="P171" s="88">
        <v>-2.6631174194836618E-3</v>
      </c>
      <c r="Q171" s="88">
        <v>-1.2165600163688364E-2</v>
      </c>
      <c r="R171" s="88">
        <v>-8.7336799687545534E-3</v>
      </c>
      <c r="S171" s="88">
        <v>-2.6560440581162963E-3</v>
      </c>
      <c r="T171" s="88">
        <v>-1.1299555253933394E-2</v>
      </c>
      <c r="U171" s="88">
        <v>2.7894020875785922E-3</v>
      </c>
      <c r="V171" s="88">
        <v>0</v>
      </c>
      <c r="W171" s="89">
        <v>5.2597096929798198E-3</v>
      </c>
    </row>
    <row r="172" spans="7:23">
      <c r="G172" s="114">
        <v>43798</v>
      </c>
      <c r="H172" s="88">
        <v>1.9847839793859824E-3</v>
      </c>
      <c r="I172" s="88">
        <v>-6.5765673645636017E-3</v>
      </c>
      <c r="J172" s="88">
        <v>1.8008721612505729E-2</v>
      </c>
      <c r="K172" s="88">
        <v>-1.7429635135283648E-2</v>
      </c>
      <c r="L172" s="88">
        <v>-5.2164959188912121E-3</v>
      </c>
      <c r="M172" s="88">
        <v>2.7816429618767705E-3</v>
      </c>
      <c r="N172" s="88">
        <v>-7.5635152572445076E-3</v>
      </c>
      <c r="O172" s="88">
        <v>6.7451560024508264E-3</v>
      </c>
      <c r="P172" s="88">
        <v>-6.6889881507965401E-3</v>
      </c>
      <c r="Q172" s="88">
        <v>2.6571611607203297E-2</v>
      </c>
      <c r="R172" s="88">
        <v>4.3763745997987815E-3</v>
      </c>
      <c r="S172" s="88">
        <v>2.6560440581162104E-3</v>
      </c>
      <c r="T172" s="88">
        <v>-1.1428695823622631E-2</v>
      </c>
      <c r="U172" s="88">
        <v>2.7816429618767705E-3</v>
      </c>
      <c r="V172" s="88">
        <v>-8.4746269909722321E-3</v>
      </c>
      <c r="W172" s="89">
        <v>2.031832734226852E-3</v>
      </c>
    </row>
    <row r="173" spans="7:23">
      <c r="G173" s="114">
        <v>43801</v>
      </c>
      <c r="H173" s="88">
        <v>-1.8679662551555946E-2</v>
      </c>
      <c r="I173" s="88">
        <v>-5.8823699030665245E-3</v>
      </c>
      <c r="J173" s="88">
        <v>-8.1045018119389588E-3</v>
      </c>
      <c r="K173" s="88">
        <v>0</v>
      </c>
      <c r="L173" s="88">
        <v>-2.6498635774334159E-2</v>
      </c>
      <c r="M173" s="88">
        <v>-1.3986241974739952E-2</v>
      </c>
      <c r="N173" s="88">
        <v>-8.7146521024437755E-3</v>
      </c>
      <c r="O173" s="88">
        <v>2.7401030981788733E-3</v>
      </c>
      <c r="P173" s="88">
        <v>-1.3431835464676259E-3</v>
      </c>
      <c r="Q173" s="88">
        <v>-8.3782656459975777E-3</v>
      </c>
      <c r="R173" s="88">
        <v>-1.0977058631150907E-2</v>
      </c>
      <c r="S173" s="88">
        <v>-2.1448543407483627E-2</v>
      </c>
      <c r="T173" s="88">
        <v>0</v>
      </c>
      <c r="U173" s="88">
        <v>-2.781642961876914E-3</v>
      </c>
      <c r="V173" s="88">
        <v>7.0671672230923528E-3</v>
      </c>
      <c r="W173" s="89">
        <v>-9.5957940060399771E-3</v>
      </c>
    </row>
    <row r="174" spans="7:23">
      <c r="G174" s="114">
        <v>43802</v>
      </c>
      <c r="H174" s="88">
        <v>-1.1513842062339139E-2</v>
      </c>
      <c r="I174" s="88">
        <v>-3.694130540142046E-3</v>
      </c>
      <c r="J174" s="88">
        <v>-1.5398236000639404E-2</v>
      </c>
      <c r="K174" s="88">
        <v>-2.7856954502966224E-2</v>
      </c>
      <c r="L174" s="88">
        <v>-2.2814677766171399E-2</v>
      </c>
      <c r="M174" s="88">
        <v>-8.4866138773186939E-3</v>
      </c>
      <c r="N174" s="88">
        <v>4.3668191663403895E-3</v>
      </c>
      <c r="O174" s="88">
        <v>-8.1049966316712168E-3</v>
      </c>
      <c r="P174" s="88">
        <v>0</v>
      </c>
      <c r="Q174" s="88">
        <v>4.7961722634930135E-3</v>
      </c>
      <c r="R174" s="88">
        <v>-4.4247859803555837E-3</v>
      </c>
      <c r="S174" s="88">
        <v>-5.4347959859569446E-3</v>
      </c>
      <c r="T174" s="88">
        <v>7.6336248550712051E-3</v>
      </c>
      <c r="U174" s="88">
        <v>-5.5866067086398231E-3</v>
      </c>
      <c r="V174" s="88">
        <v>8.4151969252844981E-3</v>
      </c>
      <c r="W174" s="89">
        <v>-1.3177589587091653E-2</v>
      </c>
    </row>
    <row r="175" spans="7:23">
      <c r="G175" s="114">
        <v>43803</v>
      </c>
      <c r="H175" s="88">
        <v>1.0212766845111544E-3</v>
      </c>
      <c r="I175" s="88">
        <v>2.9563953536025232E-3</v>
      </c>
      <c r="J175" s="88">
        <v>9.1399959932140038E-3</v>
      </c>
      <c r="K175" s="88">
        <v>4.3124426633754619E-2</v>
      </c>
      <c r="L175" s="88">
        <v>6.571765163234519E-3</v>
      </c>
      <c r="M175" s="88">
        <v>1.5504186535965254E-2</v>
      </c>
      <c r="N175" s="88">
        <v>-2.1810259463601145E-3</v>
      </c>
      <c r="O175" s="88">
        <v>-1.7672483870366625E-2</v>
      </c>
      <c r="P175" s="88">
        <v>-6.7431138848901969E-3</v>
      </c>
      <c r="Q175" s="88">
        <v>3.178607799872657E-2</v>
      </c>
      <c r="R175" s="88">
        <v>4.4247859803556357E-3</v>
      </c>
      <c r="S175" s="88">
        <v>0</v>
      </c>
      <c r="T175" s="88">
        <v>-1.1472401162236807E-2</v>
      </c>
      <c r="U175" s="88">
        <v>2.7972046210612191E-3</v>
      </c>
      <c r="V175" s="88">
        <v>-1.3976242666379726E-3</v>
      </c>
      <c r="W175" s="89">
        <v>8.3618196086915376E-3</v>
      </c>
    </row>
    <row r="176" spans="7:23">
      <c r="G176" s="114">
        <v>43804</v>
      </c>
      <c r="H176" s="88">
        <v>-1.3619341567205467E-3</v>
      </c>
      <c r="I176" s="88">
        <v>-5.9215569034373212E-3</v>
      </c>
      <c r="J176" s="88">
        <v>1.8180170446908258E-3</v>
      </c>
      <c r="K176" s="88">
        <v>-4.3384015985982417E-3</v>
      </c>
      <c r="L176" s="88">
        <v>-2.8794901947944755E-2</v>
      </c>
      <c r="M176" s="88">
        <v>1.1126679464757053E-2</v>
      </c>
      <c r="N176" s="88">
        <v>-1.0922993986089273E-3</v>
      </c>
      <c r="O176" s="88">
        <v>-6.9028942129278825E-3</v>
      </c>
      <c r="P176" s="88">
        <v>-8.1522190615502706E-3</v>
      </c>
      <c r="Q176" s="88">
        <v>-1.282816425411234E-2</v>
      </c>
      <c r="R176" s="88">
        <v>-6.6445427186685013E-3</v>
      </c>
      <c r="S176" s="88">
        <v>5.4347959859569949E-3</v>
      </c>
      <c r="T176" s="88">
        <v>-7.7220460939102778E-3</v>
      </c>
      <c r="U176" s="88">
        <v>-1.1236073266925842E-2</v>
      </c>
      <c r="V176" s="88">
        <v>-1.3995803544232435E-3</v>
      </c>
      <c r="W176" s="89">
        <v>-1.1441629981258611E-2</v>
      </c>
    </row>
    <row r="177" spans="7:23">
      <c r="G177" s="114">
        <v>43805</v>
      </c>
      <c r="H177" s="88">
        <v>3.4013638234902605E-3</v>
      </c>
      <c r="I177" s="88">
        <v>-1.4205846373984945E-2</v>
      </c>
      <c r="J177" s="88">
        <v>-1.8180170446906725E-3</v>
      </c>
      <c r="K177" s="88">
        <v>-2.2534616652498153E-2</v>
      </c>
      <c r="L177" s="88">
        <v>-1.8141087070650038E-2</v>
      </c>
      <c r="M177" s="88">
        <v>2.7624326959100796E-3</v>
      </c>
      <c r="N177" s="88">
        <v>1.0869672236903891E-2</v>
      </c>
      <c r="O177" s="88">
        <v>1.4126291372981883E-3</v>
      </c>
      <c r="P177" s="88">
        <v>-9.5956870618554378E-3</v>
      </c>
      <c r="Q177" s="88">
        <v>-2.6160826038671935E-2</v>
      </c>
      <c r="R177" s="88">
        <v>-1.3423020332140774E-2</v>
      </c>
      <c r="S177" s="88">
        <v>-2.7137058715961618E-3</v>
      </c>
      <c r="T177" s="88">
        <v>-3.883500026397633E-3</v>
      </c>
      <c r="U177" s="88">
        <v>1.123607326692597E-2</v>
      </c>
      <c r="V177" s="88">
        <v>-1.4015419252884445E-3</v>
      </c>
      <c r="W177" s="89">
        <v>-6.1195089873582534E-3</v>
      </c>
    </row>
    <row r="178" spans="7:23">
      <c r="G178" s="114">
        <v>43808</v>
      </c>
      <c r="H178" s="88">
        <v>2.7127856582357468E-3</v>
      </c>
      <c r="I178" s="88">
        <v>2.2564883587326097E-3</v>
      </c>
      <c r="J178" s="88">
        <v>-6.3892148711720102E-3</v>
      </c>
      <c r="K178" s="88">
        <v>-9.4946259197783382E-3</v>
      </c>
      <c r="L178" s="88">
        <v>-2.432082816385632E-2</v>
      </c>
      <c r="M178" s="88">
        <v>9.6088591066368894E-3</v>
      </c>
      <c r="N178" s="88">
        <v>-1.9651287397288615E-2</v>
      </c>
      <c r="O178" s="88">
        <v>0</v>
      </c>
      <c r="P178" s="88">
        <v>8.2304991365154435E-3</v>
      </c>
      <c r="Q178" s="88">
        <v>-1.9465334788103351E-2</v>
      </c>
      <c r="R178" s="88">
        <v>-1.13251493570534E-2</v>
      </c>
      <c r="S178" s="88">
        <v>-1.3680103904080266E-2</v>
      </c>
      <c r="T178" s="88">
        <v>-1.1741817876683287E-2</v>
      </c>
      <c r="U178" s="88">
        <v>-5.6022555486698981E-3</v>
      </c>
      <c r="V178" s="88">
        <v>-5.6258938821684371E-3</v>
      </c>
      <c r="W178" s="89">
        <v>-1.086954707845336E-2</v>
      </c>
    </row>
    <row r="179" spans="7:23">
      <c r="G179" s="114">
        <v>43809</v>
      </c>
      <c r="H179" s="88">
        <v>-4.7522153250052898E-3</v>
      </c>
      <c r="I179" s="88">
        <v>-1.3615944092315421E-2</v>
      </c>
      <c r="J179" s="88">
        <v>1.0837499633357835E-2</v>
      </c>
      <c r="K179" s="88">
        <v>-9.585638663357602E-3</v>
      </c>
      <c r="L179" s="88">
        <v>3.5108286500630209E-3</v>
      </c>
      <c r="M179" s="88">
        <v>9.5174069868901711E-3</v>
      </c>
      <c r="N179" s="88">
        <v>-6.6371925067987298E-3</v>
      </c>
      <c r="O179" s="88">
        <v>2.0538619272227686E-2</v>
      </c>
      <c r="P179" s="88">
        <v>-1.7919156240264834E-2</v>
      </c>
      <c r="Q179" s="88">
        <v>-6.1614489440486872E-3</v>
      </c>
      <c r="R179" s="88">
        <v>-9.1533819864872482E-3</v>
      </c>
      <c r="S179" s="88">
        <v>-8.2988028146950658E-3</v>
      </c>
      <c r="T179" s="88">
        <v>3.1010236742560218E-2</v>
      </c>
      <c r="U179" s="88">
        <v>-2.8129413766147236E-3</v>
      </c>
      <c r="V179" s="88">
        <v>1.4094435032336039E-3</v>
      </c>
      <c r="W179" s="89">
        <v>-2.4341629229657521E-3</v>
      </c>
    </row>
    <row r="180" spans="7:23">
      <c r="G180" s="114">
        <v>43810</v>
      </c>
      <c r="H180" s="88">
        <v>5.7676156491750273E-3</v>
      </c>
      <c r="I180" s="88">
        <v>1.5867352172772804E-2</v>
      </c>
      <c r="J180" s="88">
        <v>3.8209890292330288E-2</v>
      </c>
      <c r="K180" s="88">
        <v>4.1071255236924065E-2</v>
      </c>
      <c r="L180" s="88">
        <v>4.4553342133113211E-2</v>
      </c>
      <c r="M180" s="88">
        <v>1.3522652500137541E-3</v>
      </c>
      <c r="N180" s="88">
        <v>3.1679328538963852E-2</v>
      </c>
      <c r="O180" s="88">
        <v>2.6241296737685884E-3</v>
      </c>
      <c r="P180" s="88">
        <v>1.5183176421390028E-2</v>
      </c>
      <c r="Q180" s="88">
        <v>1.1063419544255354E-2</v>
      </c>
      <c r="R180" s="88">
        <v>1.142869582362285E-2</v>
      </c>
      <c r="S180" s="88">
        <v>2.4692612590371414E-2</v>
      </c>
      <c r="T180" s="88">
        <v>-1.5384918839479343E-2</v>
      </c>
      <c r="U180" s="88">
        <v>0</v>
      </c>
      <c r="V180" s="88">
        <v>5.6179923042232738E-3</v>
      </c>
      <c r="W180" s="89">
        <v>2.5539446006213346E-2</v>
      </c>
    </row>
    <row r="181" spans="7:23">
      <c r="G181" s="114">
        <v>43811</v>
      </c>
      <c r="H181" s="88">
        <v>-5.0873435140973734E-3</v>
      </c>
      <c r="I181" s="88">
        <v>-9.7929219532436017E-3</v>
      </c>
      <c r="J181" s="88">
        <v>2.1561853007587155E-2</v>
      </c>
      <c r="K181" s="88">
        <v>1.9386713800190084E-2</v>
      </c>
      <c r="L181" s="88">
        <v>-1.1179431013412834E-3</v>
      </c>
      <c r="M181" s="88">
        <v>-2.7398974188114503E-2</v>
      </c>
      <c r="N181" s="88">
        <v>0</v>
      </c>
      <c r="O181" s="88">
        <v>0</v>
      </c>
      <c r="P181" s="88">
        <v>-8.2531417567204141E-3</v>
      </c>
      <c r="Q181" s="88">
        <v>-1.353866833279818E-2</v>
      </c>
      <c r="R181" s="88">
        <v>-4.5558165358608018E-3</v>
      </c>
      <c r="S181" s="88">
        <v>0</v>
      </c>
      <c r="T181" s="88">
        <v>-7.7821404420549628E-3</v>
      </c>
      <c r="U181" s="88">
        <v>0</v>
      </c>
      <c r="V181" s="88">
        <v>1.5288692515090336E-2</v>
      </c>
      <c r="W181" s="89">
        <v>1.413092250041672E-3</v>
      </c>
    </row>
    <row r="182" spans="7:23">
      <c r="G182" s="114">
        <v>43812</v>
      </c>
      <c r="H182" s="88">
        <v>-1.0205818201724551E-3</v>
      </c>
      <c r="I182" s="88">
        <v>-1.6024761072697225E-2</v>
      </c>
      <c r="J182" s="88">
        <v>1.9434494228652913E-2</v>
      </c>
      <c r="K182" s="88">
        <v>1.3245226750020723E-2</v>
      </c>
      <c r="L182" s="88">
        <v>6.6889881507967101E-3</v>
      </c>
      <c r="M182" s="88">
        <v>-2.781642961876914E-3</v>
      </c>
      <c r="N182" s="88">
        <v>0</v>
      </c>
      <c r="O182" s="88">
        <v>4.8855843457492241E-2</v>
      </c>
      <c r="P182" s="88">
        <v>6.8823396229417376E-3</v>
      </c>
      <c r="Q182" s="88">
        <v>2.2059718064732257E-2</v>
      </c>
      <c r="R182" s="88">
        <v>-4.5766670274117547E-3</v>
      </c>
      <c r="S182" s="88">
        <v>-5.4347959859569446E-3</v>
      </c>
      <c r="T182" s="88">
        <v>-3.9138993211363287E-3</v>
      </c>
      <c r="U182" s="88">
        <v>5.6179923042232738E-3</v>
      </c>
      <c r="V182" s="88">
        <v>0</v>
      </c>
      <c r="W182" s="89">
        <v>6.6093052015272942E-3</v>
      </c>
    </row>
    <row r="183" spans="7:23">
      <c r="G183" s="114">
        <v>43815</v>
      </c>
      <c r="H183" s="88">
        <v>1.2514961245907497E-2</v>
      </c>
      <c r="I183" s="88">
        <v>-6.1728591070809675E-3</v>
      </c>
      <c r="J183" s="88">
        <v>-3.4912017297566163E-2</v>
      </c>
      <c r="K183" s="88">
        <v>-1.5915455305899568E-2</v>
      </c>
      <c r="L183" s="88">
        <v>-3.0459207484708574E-2</v>
      </c>
      <c r="M183" s="88">
        <v>-1.1204599012863132E-2</v>
      </c>
      <c r="N183" s="88">
        <v>-2.173998663640599E-2</v>
      </c>
      <c r="O183" s="88">
        <v>5.1097392539309703E-3</v>
      </c>
      <c r="P183" s="88">
        <v>-5.5020771539834217E-3</v>
      </c>
      <c r="Q183" s="88">
        <v>-1.2195273093818243E-2</v>
      </c>
      <c r="R183" s="88">
        <v>1.140263209781177E-2</v>
      </c>
      <c r="S183" s="88">
        <v>0</v>
      </c>
      <c r="T183" s="88">
        <v>0</v>
      </c>
      <c r="U183" s="88">
        <v>-2.8050509276086096E-3</v>
      </c>
      <c r="V183" s="88">
        <v>0</v>
      </c>
      <c r="W183" s="89">
        <v>-1.164903908008854E-2</v>
      </c>
    </row>
    <row r="184" spans="7:23">
      <c r="G184" s="114">
        <v>43816</v>
      </c>
      <c r="H184" s="88">
        <v>-8.4388686458645949E-3</v>
      </c>
      <c r="I184" s="88">
        <v>2.7482645693831884E-2</v>
      </c>
      <c r="J184" s="88">
        <v>4.4903774029486684E-2</v>
      </c>
      <c r="K184" s="88">
        <v>5.3333459753626029E-3</v>
      </c>
      <c r="L184" s="88">
        <v>-5.7438411792520147E-3</v>
      </c>
      <c r="M184" s="88">
        <v>4.6776064797730908E-2</v>
      </c>
      <c r="N184" s="88">
        <v>2.4960601336448229E-2</v>
      </c>
      <c r="O184" s="88">
        <v>1.3059947004507271E-3</v>
      </c>
      <c r="P184" s="88">
        <v>3.3901551675681416E-2</v>
      </c>
      <c r="Q184" s="88">
        <v>1.3406660280115279E-2</v>
      </c>
      <c r="R184" s="88">
        <v>4.5248945982895028E-3</v>
      </c>
      <c r="S184" s="88">
        <v>-5.4644944720787375E-3</v>
      </c>
      <c r="T184" s="88">
        <v>1.5564516541111548E-2</v>
      </c>
      <c r="U184" s="88">
        <v>-2.8129413766147236E-3</v>
      </c>
      <c r="V184" s="88">
        <v>0</v>
      </c>
      <c r="W184" s="89">
        <v>1.546855233984978E-2</v>
      </c>
    </row>
    <row r="185" spans="7:23">
      <c r="G185" s="114">
        <v>43817</v>
      </c>
      <c r="H185" s="88">
        <v>2.3451661035049882E-2</v>
      </c>
      <c r="I185" s="88">
        <v>3.1136688785791389E-2</v>
      </c>
      <c r="J185" s="88">
        <v>-8.3195155395582761E-3</v>
      </c>
      <c r="K185" s="88">
        <v>2.3134575401656889E-2</v>
      </c>
      <c r="L185" s="88">
        <v>1.0315277711832799E-2</v>
      </c>
      <c r="M185" s="88">
        <v>5.7457055024787214E-2</v>
      </c>
      <c r="N185" s="88">
        <v>-3.2206147000421719E-3</v>
      </c>
      <c r="O185" s="88">
        <v>6.3748345723662917E-3</v>
      </c>
      <c r="P185" s="88">
        <v>1.3245226750020505E-2</v>
      </c>
      <c r="Q185" s="88">
        <v>2.1557721074979056E-2</v>
      </c>
      <c r="R185" s="88">
        <v>0</v>
      </c>
      <c r="S185" s="88">
        <v>-2.7434859457508326E-3</v>
      </c>
      <c r="T185" s="88">
        <v>7.6923456231558652E-3</v>
      </c>
      <c r="U185" s="88">
        <v>2.8129413766146577E-3</v>
      </c>
      <c r="V185" s="88">
        <v>0</v>
      </c>
      <c r="W185" s="89">
        <v>1.2388152628342865E-2</v>
      </c>
    </row>
    <row r="186" spans="7:23">
      <c r="G186" s="114">
        <v>43818</v>
      </c>
      <c r="H186" s="88">
        <v>-1.4340749353138933E-2</v>
      </c>
      <c r="I186" s="88">
        <v>2.9154539601241349E-3</v>
      </c>
      <c r="J186" s="88">
        <v>-1.0919890114022212E-2</v>
      </c>
      <c r="K186" s="88">
        <v>-4.2469227109112551E-2</v>
      </c>
      <c r="L186" s="88">
        <v>-1.031527771183291E-2</v>
      </c>
      <c r="M186" s="88">
        <v>1.1356588932335975E-2</v>
      </c>
      <c r="N186" s="88">
        <v>7.4986960911203838E-3</v>
      </c>
      <c r="O186" s="88">
        <v>2.4609817485069297E-3</v>
      </c>
      <c r="P186" s="88">
        <v>0</v>
      </c>
      <c r="Q186" s="88">
        <v>7.0838548884050419E-3</v>
      </c>
      <c r="R186" s="88">
        <v>-1.8223738956451498E-2</v>
      </c>
      <c r="S186" s="88">
        <v>1.3642776403786479E-2</v>
      </c>
      <c r="T186" s="88">
        <v>1.8975901459005604E-2</v>
      </c>
      <c r="U186" s="88">
        <v>-5.6338177182560199E-3</v>
      </c>
      <c r="V186" s="88">
        <v>0</v>
      </c>
      <c r="W186" s="89">
        <v>-3.1629846876265635E-3</v>
      </c>
    </row>
    <row r="187" spans="7:23">
      <c r="G187" s="114">
        <v>43819</v>
      </c>
      <c r="H187" s="88">
        <v>-6.7408411632991052E-3</v>
      </c>
      <c r="I187" s="88">
        <v>2.1810259463601461E-3</v>
      </c>
      <c r="J187" s="88">
        <v>-4.5796339327830511E-2</v>
      </c>
      <c r="K187" s="88">
        <v>-1.6402773441457269E-2</v>
      </c>
      <c r="L187" s="88">
        <v>1.259318302482691E-2</v>
      </c>
      <c r="M187" s="88">
        <v>0</v>
      </c>
      <c r="N187" s="88">
        <v>-6.4240049613549875E-3</v>
      </c>
      <c r="O187" s="88">
        <v>-2.3031638309065516E-2</v>
      </c>
      <c r="P187" s="88">
        <v>-1.5915455305899457E-2</v>
      </c>
      <c r="Q187" s="88">
        <v>-9.4563352420354001E-3</v>
      </c>
      <c r="R187" s="88">
        <v>-2.0906684819313601E-2</v>
      </c>
      <c r="S187" s="88">
        <v>1.0781775603288413E-2</v>
      </c>
      <c r="T187" s="88">
        <v>4.7715473039666369E-2</v>
      </c>
      <c r="U187" s="88">
        <v>2.8208763416412634E-3</v>
      </c>
      <c r="V187" s="88">
        <v>6.8728792877620504E-3</v>
      </c>
      <c r="W187" s="89">
        <v>-1.1945496505310405E-2</v>
      </c>
    </row>
    <row r="188" spans="7:23">
      <c r="G188" s="114">
        <v>43822</v>
      </c>
      <c r="H188" s="88">
        <v>2.0419119475317066E-2</v>
      </c>
      <c r="I188" s="88">
        <v>3.4264593974096078E-2</v>
      </c>
      <c r="J188" s="88">
        <v>3.5609494020837566E-2</v>
      </c>
      <c r="K188" s="88">
        <v>3.1473026362455386E-2</v>
      </c>
      <c r="L188" s="88">
        <v>1.2436565041008563E-2</v>
      </c>
      <c r="M188" s="88">
        <v>1.7413375325197912E-2</v>
      </c>
      <c r="N188" s="88">
        <v>1.068386230831261E-2</v>
      </c>
      <c r="O188" s="88">
        <v>-3.8464136553256595E-3</v>
      </c>
      <c r="P188" s="88">
        <v>1.1960275462971471E-2</v>
      </c>
      <c r="Q188" s="88">
        <v>0</v>
      </c>
      <c r="R188" s="88">
        <v>0</v>
      </c>
      <c r="S188" s="88">
        <v>5.9835791610665046E-2</v>
      </c>
      <c r="T188" s="88">
        <v>0</v>
      </c>
      <c r="U188" s="88">
        <v>1.398624197473987E-2</v>
      </c>
      <c r="V188" s="88">
        <v>1.6304709024943569E-2</v>
      </c>
      <c r="W188" s="89">
        <v>2.26766081328337E-2</v>
      </c>
    </row>
    <row r="189" spans="7:23">
      <c r="G189" s="114">
        <v>43826</v>
      </c>
      <c r="H189" s="88">
        <v>3.9682591756206699E-3</v>
      </c>
      <c r="I189" s="88">
        <v>1.3937507843781678E-2</v>
      </c>
      <c r="J189" s="88">
        <v>-6.849341845574783E-3</v>
      </c>
      <c r="K189" s="88">
        <v>-1.7241806434506103E-2</v>
      </c>
      <c r="L189" s="88">
        <v>3.315220731690055E-2</v>
      </c>
      <c r="M189" s="88">
        <v>2.3157646675230938E-2</v>
      </c>
      <c r="N189" s="88">
        <v>1.5814773466021725E-2</v>
      </c>
      <c r="O189" s="88">
        <v>2.5217346962168774E-3</v>
      </c>
      <c r="P189" s="88">
        <v>3.9551798429277932E-3</v>
      </c>
      <c r="Q189" s="88">
        <v>-2.3781224049673243E-3</v>
      </c>
      <c r="R189" s="88">
        <v>3.9130423775765019E-2</v>
      </c>
      <c r="S189" s="88">
        <v>1.5037877364540502E-2</v>
      </c>
      <c r="T189" s="88">
        <v>-1.0810916104215506E-2</v>
      </c>
      <c r="U189" s="88">
        <v>1.6529301951210506E-2</v>
      </c>
      <c r="V189" s="88">
        <v>-1.0840214552864833E-2</v>
      </c>
      <c r="W189" s="89">
        <v>8.7504513485479295E-3</v>
      </c>
    </row>
    <row r="190" spans="7:23">
      <c r="G190" s="114">
        <v>43829</v>
      </c>
      <c r="H190" s="88">
        <v>2.6367846523031938E-3</v>
      </c>
      <c r="I190" s="88">
        <v>-1.3937507843781624E-2</v>
      </c>
      <c r="J190" s="88">
        <v>6.8493418455747683E-3</v>
      </c>
      <c r="K190" s="88">
        <v>4.8793807840934881E-3</v>
      </c>
      <c r="L190" s="88">
        <v>-1.2028575865607146E-2</v>
      </c>
      <c r="M190" s="88">
        <v>-1.9465334788103351E-2</v>
      </c>
      <c r="N190" s="88">
        <v>4.175371410480592E-3</v>
      </c>
      <c r="O190" s="88">
        <v>-5.1830802457311035E-3</v>
      </c>
      <c r="P190" s="88">
        <v>-1.1912781516242E-2</v>
      </c>
      <c r="Q190" s="88">
        <v>2.3530497410194036E-2</v>
      </c>
      <c r="R190" s="88">
        <v>-6.7950431328286896E-3</v>
      </c>
      <c r="S190" s="88">
        <v>-3.2872745000574674E-2</v>
      </c>
      <c r="T190" s="88">
        <v>-2.1978906718775341E-2</v>
      </c>
      <c r="U190" s="88">
        <v>0</v>
      </c>
      <c r="V190" s="88">
        <v>-2.3433188014895287E-2</v>
      </c>
      <c r="W190" s="89">
        <v>-2.9918480918072502E-3</v>
      </c>
    </row>
    <row r="191" spans="7:23">
      <c r="G191" s="114">
        <v>43830</v>
      </c>
      <c r="H191" s="88">
        <v>-6.9364439966569866E-3</v>
      </c>
      <c r="I191" s="88">
        <v>7.0150827149030332E-4</v>
      </c>
      <c r="J191" s="88">
        <v>-1.201731200401744E-2</v>
      </c>
      <c r="K191" s="88">
        <v>3.2397436544107962E-3</v>
      </c>
      <c r="L191" s="88">
        <v>1.2028575865607122E-2</v>
      </c>
      <c r="M191" s="88">
        <v>1.0995834674529522E-2</v>
      </c>
      <c r="N191" s="88">
        <v>-1.2578782206860073E-2</v>
      </c>
      <c r="O191" s="88">
        <v>0</v>
      </c>
      <c r="P191" s="88">
        <v>5.3120974848898843E-3</v>
      </c>
      <c r="Q191" s="88">
        <v>-9.345862418237658E-3</v>
      </c>
      <c r="R191" s="88">
        <v>-6.8415318167166003E-3</v>
      </c>
      <c r="S191" s="88">
        <v>1.2771565679487539E-2</v>
      </c>
      <c r="T191" s="88">
        <v>2.1978906718775382E-2</v>
      </c>
      <c r="U191" s="88">
        <v>0</v>
      </c>
      <c r="V191" s="88">
        <v>2.3433188014895339E-2</v>
      </c>
      <c r="W191" s="89">
        <v>-1.2210679318825912E-3</v>
      </c>
    </row>
    <row r="192" spans="7:23">
      <c r="G192" s="114">
        <v>43832</v>
      </c>
      <c r="H192" s="88">
        <v>4.2996593443537512E-3</v>
      </c>
      <c r="I192" s="88">
        <v>2.8011222797117733E-3</v>
      </c>
      <c r="J192" s="88">
        <v>1.7972242404430218E-2</v>
      </c>
      <c r="K192" s="88">
        <v>7.518832414027319E-3</v>
      </c>
      <c r="L192" s="88">
        <v>-1.0875476873989933E-3</v>
      </c>
      <c r="M192" s="88">
        <v>2.6380426680103871E-2</v>
      </c>
      <c r="N192" s="88">
        <v>1.6736792355523826E-2</v>
      </c>
      <c r="O192" s="88">
        <v>3.3412869109702079E-2</v>
      </c>
      <c r="P192" s="88">
        <v>5.2840281466052059E-3</v>
      </c>
      <c r="Q192" s="88">
        <v>3.1198370855861118E-2</v>
      </c>
      <c r="R192" s="88">
        <v>4.6935989018594762E-2</v>
      </c>
      <c r="S192" s="88">
        <v>-1.2771565679487505E-2</v>
      </c>
      <c r="T192" s="88">
        <v>-1.8282044837449069E-2</v>
      </c>
      <c r="U192" s="88">
        <v>1.3568729206068796E-2</v>
      </c>
      <c r="V192" s="88">
        <v>0</v>
      </c>
      <c r="W192" s="89">
        <v>1.5200197385247952E-2</v>
      </c>
    </row>
    <row r="193" spans="7:23">
      <c r="G193" s="114">
        <v>43833</v>
      </c>
      <c r="H193" s="88">
        <v>5.2666349516922251E-3</v>
      </c>
      <c r="I193" s="88">
        <v>-1.4084739881739085E-2</v>
      </c>
      <c r="J193" s="88">
        <v>-1.4523963125514351E-2</v>
      </c>
      <c r="K193" s="88">
        <v>-2.6788122100263956E-3</v>
      </c>
      <c r="L193" s="88">
        <v>-2.0891359031376264E-2</v>
      </c>
      <c r="M193" s="88">
        <v>2.2236141446881932E-2</v>
      </c>
      <c r="N193" s="88">
        <v>1.0368067284403084E-3</v>
      </c>
      <c r="O193" s="88">
        <v>-1.5322985170419121E-2</v>
      </c>
      <c r="P193" s="88">
        <v>-9.2654534457901234E-3</v>
      </c>
      <c r="Q193" s="88">
        <v>-2.5346979087397057E-2</v>
      </c>
      <c r="R193" s="88">
        <v>-1.9846296371930656E-2</v>
      </c>
      <c r="S193" s="88">
        <v>-1.5544354437800344E-2</v>
      </c>
      <c r="T193" s="88">
        <v>-1.4870162479451506E-2</v>
      </c>
      <c r="U193" s="88">
        <v>-1.9048194970694474E-2</v>
      </c>
      <c r="V193" s="88">
        <v>0</v>
      </c>
      <c r="W193" s="89">
        <v>-1.1476244389397173E-2</v>
      </c>
    </row>
    <row r="194" spans="7:23">
      <c r="G194" s="114">
        <v>43837</v>
      </c>
      <c r="H194" s="88">
        <v>7.1966290320397003E-3</v>
      </c>
      <c r="I194" s="88">
        <v>2.1253993123135366E-3</v>
      </c>
      <c r="J194" s="88">
        <v>1.7910926566530243E-2</v>
      </c>
      <c r="K194" s="88">
        <v>-1.4590910030410773E-2</v>
      </c>
      <c r="L194" s="88">
        <v>-1.1173300598125189E-2</v>
      </c>
      <c r="M194" s="88">
        <v>1.8349138668196617E-2</v>
      </c>
      <c r="N194" s="88">
        <v>1.0309369658861287E-2</v>
      </c>
      <c r="O194" s="88">
        <v>8.9885318261152952E-3</v>
      </c>
      <c r="P194" s="88">
        <v>-8.010723746078972E-3</v>
      </c>
      <c r="Q194" s="88">
        <v>3.494470649773557E-3</v>
      </c>
      <c r="R194" s="88">
        <v>2.2027322318290909E-2</v>
      </c>
      <c r="S194" s="88">
        <v>7.8023802841848001E-3</v>
      </c>
      <c r="T194" s="88">
        <v>-3.7523496185503527E-3</v>
      </c>
      <c r="U194" s="88">
        <v>5.4794657646255705E-3</v>
      </c>
      <c r="V194" s="88">
        <v>0</v>
      </c>
      <c r="W194" s="89">
        <v>4.9870548615777287E-3</v>
      </c>
    </row>
    <row r="195" spans="7:23">
      <c r="G195" s="114">
        <v>43838</v>
      </c>
      <c r="H195" s="88">
        <v>7.1452074046442372E-3</v>
      </c>
      <c r="I195" s="88">
        <v>-1.0672459890771872E-2</v>
      </c>
      <c r="J195" s="88">
        <v>-6.7854374001274599E-3</v>
      </c>
      <c r="K195" s="88">
        <v>-9.8469066970034037E-3</v>
      </c>
      <c r="L195" s="88">
        <v>-5.6629802753237563E-2</v>
      </c>
      <c r="M195" s="88">
        <v>-5.6980211146377786E-3</v>
      </c>
      <c r="N195" s="88">
        <v>-5.1413995004187642E-3</v>
      </c>
      <c r="O195" s="88">
        <v>-2.3221771580974358E-2</v>
      </c>
      <c r="P195" s="88">
        <v>-1.3495481474884509E-2</v>
      </c>
      <c r="Q195" s="88">
        <v>1.1621151801772967E-3</v>
      </c>
      <c r="R195" s="88">
        <v>-8.7527911095947441E-3</v>
      </c>
      <c r="S195" s="88">
        <v>2.3048395436291089E-2</v>
      </c>
      <c r="T195" s="88">
        <v>-3.7664827954768934E-3</v>
      </c>
      <c r="U195" s="88">
        <v>-1.6529301951210582E-2</v>
      </c>
      <c r="V195" s="88">
        <v>-1.2337373759840819E-2</v>
      </c>
      <c r="W195" s="89">
        <v>-1.1441996424219796E-2</v>
      </c>
    </row>
    <row r="196" spans="7:23">
      <c r="G196" s="114">
        <v>43839</v>
      </c>
      <c r="H196" s="88">
        <v>-2.5923540117300556E-3</v>
      </c>
      <c r="I196" s="88">
        <v>-2.8653314732863936E-3</v>
      </c>
      <c r="J196" s="88">
        <v>4.0774333810033522E-2</v>
      </c>
      <c r="K196" s="88">
        <v>7.1213667159532529E-3</v>
      </c>
      <c r="L196" s="88">
        <v>3.5050316879554851E-2</v>
      </c>
      <c r="M196" s="88">
        <v>-1.1435107020789379E-3</v>
      </c>
      <c r="N196" s="88">
        <v>1.0303967938966232E-3</v>
      </c>
      <c r="O196" s="88">
        <v>-1.1952986349098153E-3</v>
      </c>
      <c r="P196" s="88">
        <v>5.4200674693391133E-3</v>
      </c>
      <c r="Q196" s="88">
        <v>2.2963121508448738E-2</v>
      </c>
      <c r="R196" s="88">
        <v>-8.8300794482720369E-3</v>
      </c>
      <c r="S196" s="88">
        <v>2.2529113060028104E-2</v>
      </c>
      <c r="T196" s="88">
        <v>2.9741969198737516E-2</v>
      </c>
      <c r="U196" s="88">
        <v>4.8790164169431834E-2</v>
      </c>
      <c r="V196" s="88">
        <v>1.0974047031976649E-2</v>
      </c>
      <c r="W196" s="89">
        <v>1.2922477580759678E-2</v>
      </c>
    </row>
    <row r="197" spans="7:23">
      <c r="G197" s="114">
        <v>43840</v>
      </c>
      <c r="H197" s="88">
        <v>1.9280802935505558E-2</v>
      </c>
      <c r="I197" s="88">
        <v>-1.0818713527167364E-2</v>
      </c>
      <c r="J197" s="88">
        <v>5.7031277279572575E-3</v>
      </c>
      <c r="K197" s="88">
        <v>1.6362152545950318E-3</v>
      </c>
      <c r="L197" s="88">
        <v>-1.1487652038733708E-3</v>
      </c>
      <c r="M197" s="88">
        <v>-1.0350868723656162E-2</v>
      </c>
      <c r="N197" s="88">
        <v>-1.1393183829443163E-2</v>
      </c>
      <c r="O197" s="88">
        <v>1.1626501689136023E-2</v>
      </c>
      <c r="P197" s="88">
        <v>-2.0478531343540676E-2</v>
      </c>
      <c r="Q197" s="88">
        <v>-3.4110323010629324E-3</v>
      </c>
      <c r="R197" s="88">
        <v>1.5401844611506484E-2</v>
      </c>
      <c r="S197" s="88">
        <v>4.9382816405825767E-3</v>
      </c>
      <c r="T197" s="88">
        <v>-1.1049836186585046E-2</v>
      </c>
      <c r="U197" s="88">
        <v>-2.6490081715768417E-3</v>
      </c>
      <c r="V197" s="88">
        <v>-5.4719698779933795E-3</v>
      </c>
      <c r="W197" s="89">
        <v>-2.6274688169122895E-3</v>
      </c>
    </row>
    <row r="198" spans="7:23">
      <c r="G198" s="114">
        <v>43843</v>
      </c>
      <c r="H198" s="88">
        <v>-2.1554638574948222E-2</v>
      </c>
      <c r="I198" s="88">
        <v>1.4492756159904376E-3</v>
      </c>
      <c r="J198" s="88">
        <v>-2.1266042191494649E-2</v>
      </c>
      <c r="K198" s="88">
        <v>-7.6586807610626939E-3</v>
      </c>
      <c r="L198" s="88">
        <v>-1.9733664156950249E-2</v>
      </c>
      <c r="M198" s="88">
        <v>-1.279831314330962E-2</v>
      </c>
      <c r="N198" s="88">
        <v>1.0362787035546658E-2</v>
      </c>
      <c r="O198" s="88">
        <v>1.0193501750841133E-2</v>
      </c>
      <c r="P198" s="88">
        <v>-4.1465159618485773E-3</v>
      </c>
      <c r="Q198" s="88">
        <v>5.6786069688435142E-3</v>
      </c>
      <c r="R198" s="88">
        <v>-1.5401844611506477E-2</v>
      </c>
      <c r="S198" s="88">
        <v>-7.416597655049483E-3</v>
      </c>
      <c r="T198" s="88">
        <v>-7.4349784875180902E-3</v>
      </c>
      <c r="U198" s="88">
        <v>-1.8742181809740639E-2</v>
      </c>
      <c r="V198" s="88">
        <v>-5.5020771539834217E-3</v>
      </c>
      <c r="W198" s="89">
        <v>-4.60115189230236E-3</v>
      </c>
    </row>
    <row r="199" spans="7:23">
      <c r="G199" s="114">
        <v>43844</v>
      </c>
      <c r="H199" s="88">
        <v>2.5683594734695381E-2</v>
      </c>
      <c r="I199" s="88">
        <v>6.4958727154452349E-3</v>
      </c>
      <c r="J199" s="88">
        <v>1.6583751727761256E-3</v>
      </c>
      <c r="K199" s="88">
        <v>-1.1043734551651835E-2</v>
      </c>
      <c r="L199" s="88">
        <v>8.1728417558743858E-3</v>
      </c>
      <c r="M199" s="88">
        <v>-1.1778699192612763E-2</v>
      </c>
      <c r="N199" s="88">
        <v>-2.0834086902841914E-2</v>
      </c>
      <c r="O199" s="88">
        <v>1.7656235458913101E-2</v>
      </c>
      <c r="P199" s="88">
        <v>4.3367229115129864E-2</v>
      </c>
      <c r="Q199" s="88">
        <v>-9.1013142463456358E-3</v>
      </c>
      <c r="R199" s="88">
        <v>2.2148403295528213E-3</v>
      </c>
      <c r="S199" s="88">
        <v>4.9505051598559835E-3</v>
      </c>
      <c r="T199" s="88">
        <v>0</v>
      </c>
      <c r="U199" s="88">
        <v>5.390848634876373E-3</v>
      </c>
      <c r="V199" s="88">
        <v>-6.9204428445737952E-3</v>
      </c>
      <c r="W199" s="89">
        <v>4.6661108599108624E-3</v>
      </c>
    </row>
    <row r="200" spans="7:23">
      <c r="G200" s="114">
        <v>43845</v>
      </c>
      <c r="H200" s="88">
        <v>2.0392863563140535E-2</v>
      </c>
      <c r="I200" s="88">
        <v>-1.4493007302566864E-2</v>
      </c>
      <c r="J200" s="88">
        <v>1.6556295172611565E-3</v>
      </c>
      <c r="K200" s="88">
        <v>-5.5540129170012875E-4</v>
      </c>
      <c r="L200" s="88">
        <v>4.5462374076757413E-2</v>
      </c>
      <c r="M200" s="88">
        <v>1.184132761216772E-3</v>
      </c>
      <c r="N200" s="88">
        <v>-5.2770571008438931E-3</v>
      </c>
      <c r="O200" s="88">
        <v>1.7475435225622598E-2</v>
      </c>
      <c r="P200" s="88">
        <v>6.6094093876738072E-3</v>
      </c>
      <c r="Q200" s="88">
        <v>0</v>
      </c>
      <c r="R200" s="88">
        <v>1.1001211061973583E-2</v>
      </c>
      <c r="S200" s="88">
        <v>2.4660924951934683E-3</v>
      </c>
      <c r="T200" s="88">
        <v>3.7243990909822727E-3</v>
      </c>
      <c r="U200" s="88">
        <v>3.434948001463764E-2</v>
      </c>
      <c r="V200" s="88">
        <v>0</v>
      </c>
      <c r="W200" s="89">
        <v>5.366169380779837E-3</v>
      </c>
    </row>
    <row r="201" spans="7:23">
      <c r="G201" s="114">
        <v>43846</v>
      </c>
      <c r="H201" s="88">
        <v>1.2414650880649455E-3</v>
      </c>
      <c r="I201" s="88">
        <v>7.2727593290798781E-3</v>
      </c>
      <c r="J201" s="88">
        <v>-6.4924589586786402E-2</v>
      </c>
      <c r="K201" s="88">
        <v>2.6317308317373358E-2</v>
      </c>
      <c r="L201" s="88">
        <v>2.21975673831281E-3</v>
      </c>
      <c r="M201" s="88">
        <v>5.899722127188322E-3</v>
      </c>
      <c r="N201" s="88">
        <v>2.0943173845243388E-2</v>
      </c>
      <c r="O201" s="88">
        <v>1.8161962089374907E-2</v>
      </c>
      <c r="P201" s="88">
        <v>2.6315804660560424E-3</v>
      </c>
      <c r="Q201" s="88">
        <v>-2.2883305180121626E-3</v>
      </c>
      <c r="R201" s="88">
        <v>4.3668191663403895E-3</v>
      </c>
      <c r="S201" s="88">
        <v>-2.4660924951934427E-3</v>
      </c>
      <c r="T201" s="88">
        <v>-3.7243990909823282E-3</v>
      </c>
      <c r="U201" s="88">
        <v>0</v>
      </c>
      <c r="V201" s="88">
        <v>0</v>
      </c>
      <c r="W201" s="89">
        <v>3.7296030420302393E-3</v>
      </c>
    </row>
    <row r="202" spans="7:23">
      <c r="G202" s="114">
        <v>43847</v>
      </c>
      <c r="H202" s="88">
        <v>7.1086684763268758E-3</v>
      </c>
      <c r="I202" s="88">
        <v>0</v>
      </c>
      <c r="J202" s="88">
        <v>8.7874027668042379E-3</v>
      </c>
      <c r="K202" s="88">
        <v>1.1299555253933466E-2</v>
      </c>
      <c r="L202" s="88">
        <v>-2.2197567383128881E-3</v>
      </c>
      <c r="M202" s="88">
        <v>-8.2693914825067421E-3</v>
      </c>
      <c r="N202" s="88">
        <v>-1.2513197684783949E-2</v>
      </c>
      <c r="O202" s="88">
        <v>0</v>
      </c>
      <c r="P202" s="88">
        <v>-1.4560151331329776E-2</v>
      </c>
      <c r="Q202" s="88">
        <v>-8.0506472771671323E-3</v>
      </c>
      <c r="R202" s="88">
        <v>-6.5574005461590517E-3</v>
      </c>
      <c r="S202" s="88">
        <v>1.9560525854493572E-2</v>
      </c>
      <c r="T202" s="88">
        <v>0</v>
      </c>
      <c r="U202" s="88">
        <v>3.0692946399406198E-2</v>
      </c>
      <c r="V202" s="88">
        <v>2.7739268827252244E-3</v>
      </c>
      <c r="W202" s="89">
        <v>2.239666593767078E-3</v>
      </c>
    </row>
    <row r="203" spans="7:23">
      <c r="G203" s="114">
        <v>43850</v>
      </c>
      <c r="H203" s="88">
        <v>7.0584917884532498E-3</v>
      </c>
      <c r="I203" s="88">
        <v>0</v>
      </c>
      <c r="J203" s="88">
        <v>8.7450814493257568E-4</v>
      </c>
      <c r="K203" s="88">
        <v>2.5879447987820541E-2</v>
      </c>
      <c r="L203" s="88">
        <v>2.6317308317373358E-2</v>
      </c>
      <c r="M203" s="88">
        <v>-3.5650661644960344E-3</v>
      </c>
      <c r="N203" s="88">
        <v>-2.1008411088117279E-3</v>
      </c>
      <c r="O203" s="88">
        <v>-1.1100833702391837E-3</v>
      </c>
      <c r="P203" s="88">
        <v>-1.3342230131366103E-3</v>
      </c>
      <c r="Q203" s="88">
        <v>3.1820866611078975E-2</v>
      </c>
      <c r="R203" s="88">
        <v>8.7336799687546315E-3</v>
      </c>
      <c r="S203" s="88">
        <v>0</v>
      </c>
      <c r="T203" s="88">
        <v>0</v>
      </c>
      <c r="U203" s="88">
        <v>-2.2930941063917017E-2</v>
      </c>
      <c r="V203" s="88">
        <v>-9.7425961988185927E-3</v>
      </c>
      <c r="W203" s="89">
        <v>6.3806620592564171E-3</v>
      </c>
    </row>
    <row r="204" spans="7:23">
      <c r="G204" s="114">
        <v>43851</v>
      </c>
      <c r="H204" s="88">
        <v>0</v>
      </c>
      <c r="I204" s="88">
        <v>-5.8139698654198447E-3</v>
      </c>
      <c r="J204" s="88">
        <v>7.8363483293158696E-3</v>
      </c>
      <c r="K204" s="88">
        <v>3.6429912785010087E-3</v>
      </c>
      <c r="L204" s="88">
        <v>-1.5267472130788421E-2</v>
      </c>
      <c r="M204" s="88">
        <v>-5.9701669865039079E-3</v>
      </c>
      <c r="N204" s="88">
        <v>-1.0520779508037803E-3</v>
      </c>
      <c r="O204" s="88">
        <v>-3.7092030657097336E-3</v>
      </c>
      <c r="P204" s="88">
        <v>-4.0133833134586763E-3</v>
      </c>
      <c r="Q204" s="88">
        <v>2.8667894869571848E-2</v>
      </c>
      <c r="R204" s="88">
        <v>-1.0929070532190317E-2</v>
      </c>
      <c r="S204" s="88">
        <v>7.2376673002306031E-3</v>
      </c>
      <c r="T204" s="88">
        <v>3.7243990909822727E-3</v>
      </c>
      <c r="U204" s="88">
        <v>1.2804272245987968E-2</v>
      </c>
      <c r="V204" s="88">
        <v>1.2508849691708707E-2</v>
      </c>
      <c r="W204" s="89">
        <v>2.1992391212848029E-3</v>
      </c>
    </row>
    <row r="205" spans="7:23">
      <c r="G205" s="114">
        <v>43852</v>
      </c>
      <c r="H205" s="88">
        <v>-4.9049761123160429E-3</v>
      </c>
      <c r="I205" s="88">
        <v>1.1594332780919227E-2</v>
      </c>
      <c r="J205" s="88">
        <v>2.0601586991217731E-2</v>
      </c>
      <c r="K205" s="88">
        <v>7.7620053354891094E-3</v>
      </c>
      <c r="L205" s="88">
        <v>-1.1049836186584935E-2</v>
      </c>
      <c r="M205" s="88">
        <v>-6.006024060211698E-3</v>
      </c>
      <c r="N205" s="88">
        <v>4.2016868536999766E-3</v>
      </c>
      <c r="O205" s="88">
        <v>6.0512688512274551E-3</v>
      </c>
      <c r="P205" s="88">
        <v>4.0133833134587413E-3</v>
      </c>
      <c r="Q205" s="88">
        <v>-6.5430985889358357E-3</v>
      </c>
      <c r="R205" s="88">
        <v>-8.8300794482720369E-3</v>
      </c>
      <c r="S205" s="88">
        <v>2.3754086008107057E-2</v>
      </c>
      <c r="T205" s="88">
        <v>0</v>
      </c>
      <c r="U205" s="88">
        <v>2.5126950077421859E-2</v>
      </c>
      <c r="V205" s="88">
        <v>-5.5401803756153561E-3</v>
      </c>
      <c r="W205" s="89">
        <v>6.8958569243179229E-4</v>
      </c>
    </row>
    <row r="206" spans="7:23">
      <c r="G206" s="114">
        <v>43853</v>
      </c>
      <c r="H206" s="88">
        <v>4.5991189452273731E-3</v>
      </c>
      <c r="I206" s="88">
        <v>-7.2306894931460589E-3</v>
      </c>
      <c r="J206" s="88">
        <v>-6.8201457882083264E-3</v>
      </c>
      <c r="K206" s="88">
        <v>-6.7235836430074008E-3</v>
      </c>
      <c r="L206" s="88">
        <v>1.5435808129839248E-2</v>
      </c>
      <c r="M206" s="88">
        <v>0</v>
      </c>
      <c r="N206" s="88">
        <v>-4.2016868536999697E-3</v>
      </c>
      <c r="O206" s="88">
        <v>-1.2139378604471751E-2</v>
      </c>
      <c r="P206" s="88">
        <v>5.3262442826741627E-3</v>
      </c>
      <c r="Q206" s="88">
        <v>-1.1001211061973682E-2</v>
      </c>
      <c r="R206" s="88">
        <v>-2.2197567383128881E-3</v>
      </c>
      <c r="S206" s="88">
        <v>-7.0671672230923311E-3</v>
      </c>
      <c r="T206" s="88">
        <v>0</v>
      </c>
      <c r="U206" s="88">
        <v>-2.4844733276620564E-3</v>
      </c>
      <c r="V206" s="88">
        <v>6.920442844573757E-3</v>
      </c>
      <c r="W206" s="89">
        <v>-3.9849369184383728E-3</v>
      </c>
    </row>
    <row r="207" spans="7:23">
      <c r="G207" s="114">
        <v>43854</v>
      </c>
      <c r="H207" s="88">
        <v>8.5288363475205017E-3</v>
      </c>
      <c r="I207" s="88">
        <v>-7.2595284494901655E-4</v>
      </c>
      <c r="J207" s="88">
        <v>1.7094021256491012E-3</v>
      </c>
      <c r="K207" s="88">
        <v>9.8115943315839702E-3</v>
      </c>
      <c r="L207" s="88">
        <v>-6.5861928528567265E-3</v>
      </c>
      <c r="M207" s="88">
        <v>2.0274993861410861E-2</v>
      </c>
      <c r="N207" s="88">
        <v>1.5666116744399456E-2</v>
      </c>
      <c r="O207" s="88">
        <v>1.3369845106465834E-2</v>
      </c>
      <c r="P207" s="88">
        <v>1.8421573567362595E-2</v>
      </c>
      <c r="Q207" s="88">
        <v>-3.3241027838385598E-3</v>
      </c>
      <c r="R207" s="88">
        <v>1.1049836186584935E-2</v>
      </c>
      <c r="S207" s="88">
        <v>4.8452383385946748E-2</v>
      </c>
      <c r="T207" s="88">
        <v>3.2909734088797958E-2</v>
      </c>
      <c r="U207" s="88">
        <v>4.9627893421290972E-3</v>
      </c>
      <c r="V207" s="88">
        <v>5.5020771539833384E-3</v>
      </c>
      <c r="W207" s="89">
        <v>1.0032873473749161E-2</v>
      </c>
    </row>
    <row r="208" spans="7:23">
      <c r="G208" s="114">
        <v>43857</v>
      </c>
      <c r="H208" s="88">
        <v>-8.5288363475204357E-3</v>
      </c>
      <c r="I208" s="88">
        <v>-5.0964799064843148E-3</v>
      </c>
      <c r="J208" s="88">
        <v>-1.0300520257965767E-2</v>
      </c>
      <c r="K208" s="88">
        <v>-2.8141513134126772E-2</v>
      </c>
      <c r="L208" s="88">
        <v>-3.3597784966176672E-2</v>
      </c>
      <c r="M208" s="88">
        <v>-2.2687540266794884E-2</v>
      </c>
      <c r="N208" s="88">
        <v>-1.5666116744399463E-2</v>
      </c>
      <c r="O208" s="88">
        <v>2.4564001543234725E-3</v>
      </c>
      <c r="P208" s="88">
        <v>-9.1683680868794425E-3</v>
      </c>
      <c r="Q208" s="88">
        <v>-1.228379488215231E-2</v>
      </c>
      <c r="R208" s="88">
        <v>1.092907053219023E-2</v>
      </c>
      <c r="S208" s="88">
        <v>8.9686699827603161E-3</v>
      </c>
      <c r="T208" s="88">
        <v>0</v>
      </c>
      <c r="U208" s="88">
        <v>-2.7605266091888857E-2</v>
      </c>
      <c r="V208" s="88">
        <v>-1.103459472370906E-2</v>
      </c>
      <c r="W208" s="89">
        <v>-1.3146845127628287E-2</v>
      </c>
    </row>
    <row r="209" spans="7:23">
      <c r="G209" s="114">
        <v>43858</v>
      </c>
      <c r="H209" s="88">
        <v>8.2254843051518568E-3</v>
      </c>
      <c r="I209" s="88">
        <v>-1.3965680861971759E-2</v>
      </c>
      <c r="J209" s="88">
        <v>-2.5339931633365412E-2</v>
      </c>
      <c r="K209" s="88">
        <v>-1.0093047167735132E-2</v>
      </c>
      <c r="L209" s="88">
        <v>-2.0714204387563221E-2</v>
      </c>
      <c r="M209" s="88">
        <v>9.6154586994419734E-3</v>
      </c>
      <c r="N209" s="88">
        <v>-3.1628914085081953E-3</v>
      </c>
      <c r="O209" s="88">
        <v>0</v>
      </c>
      <c r="P209" s="88">
        <v>0</v>
      </c>
      <c r="Q209" s="88">
        <v>1.1173300598125255E-2</v>
      </c>
      <c r="R209" s="88">
        <v>-1.0929070532190317E-2</v>
      </c>
      <c r="S209" s="88">
        <v>2.8604810581663417E-2</v>
      </c>
      <c r="T209" s="88">
        <v>-3.6036075032986558E-3</v>
      </c>
      <c r="U209" s="88">
        <v>1.5151805020602246E-2</v>
      </c>
      <c r="V209" s="88">
        <v>5.5325175697256979E-3</v>
      </c>
      <c r="W209" s="89">
        <v>-3.0165612708224067E-3</v>
      </c>
    </row>
    <row r="210" spans="7:23">
      <c r="G210" s="114">
        <v>43859</v>
      </c>
      <c r="H210" s="88">
        <v>-3.9519735277696883E-3</v>
      </c>
      <c r="I210" s="88">
        <v>-7.4046652772369499E-4</v>
      </c>
      <c r="J210" s="88">
        <v>-7.104825623744683E-3</v>
      </c>
      <c r="K210" s="88">
        <v>-4.2803703661726516E-3</v>
      </c>
      <c r="L210" s="88">
        <v>3.4823018358744904E-3</v>
      </c>
      <c r="M210" s="88">
        <v>-4.7961722634929441E-3</v>
      </c>
      <c r="N210" s="88">
        <v>-6.3559536006987157E-3</v>
      </c>
      <c r="O210" s="88">
        <v>-6.0289324418354466E-3</v>
      </c>
      <c r="P210" s="88">
        <v>5.249355886143745E-3</v>
      </c>
      <c r="Q210" s="88">
        <v>3.3277900926745245E-3</v>
      </c>
      <c r="R210" s="88">
        <v>2.195390563435656E-3</v>
      </c>
      <c r="S210" s="88">
        <v>2.1668480850902932E-3</v>
      </c>
      <c r="T210" s="88">
        <v>-1.0889399799268319E-2</v>
      </c>
      <c r="U210" s="88">
        <v>2.9631797606371149E-2</v>
      </c>
      <c r="V210" s="88">
        <v>1.3783599701213596E-3</v>
      </c>
      <c r="W210" s="89">
        <v>-2.3811578094792142E-3</v>
      </c>
    </row>
    <row r="211" spans="7:23">
      <c r="G211" s="114">
        <v>43860</v>
      </c>
      <c r="H211" s="88">
        <v>7.5861386419891867E-3</v>
      </c>
      <c r="I211" s="88">
        <v>-2.9673612278020007E-3</v>
      </c>
      <c r="J211" s="88">
        <v>1.780944370994692E-3</v>
      </c>
      <c r="K211" s="88">
        <v>-1.3495481474884621E-2</v>
      </c>
      <c r="L211" s="88">
        <v>-2.3447733081572462E-2</v>
      </c>
      <c r="M211" s="88">
        <v>-1.9418085857101627E-2</v>
      </c>
      <c r="N211" s="88">
        <v>1.1621895205985527E-2</v>
      </c>
      <c r="O211" s="88">
        <v>-1.8308002486862353E-2</v>
      </c>
      <c r="P211" s="88">
        <v>-2.1164811192043158E-2</v>
      </c>
      <c r="Q211" s="88">
        <v>-1.0016778243471232E-2</v>
      </c>
      <c r="R211" s="88">
        <v>-3.1182927436687938E-2</v>
      </c>
      <c r="S211" s="88">
        <v>-1.7467693040390832E-2</v>
      </c>
      <c r="T211" s="88">
        <v>-2.5879447987820721E-2</v>
      </c>
      <c r="U211" s="88">
        <v>-3.7179003241754133E-2</v>
      </c>
      <c r="V211" s="88">
        <v>-1.3783599701212709E-3</v>
      </c>
      <c r="W211" s="89">
        <v>-1.0796792457524858E-2</v>
      </c>
    </row>
    <row r="212" spans="7:23">
      <c r="G212" s="114">
        <v>43861</v>
      </c>
      <c r="H212" s="88">
        <v>2.1138464763809706E-3</v>
      </c>
      <c r="I212" s="88">
        <v>2.9673612278020081E-3</v>
      </c>
      <c r="J212" s="88">
        <v>0</v>
      </c>
      <c r="K212" s="88">
        <v>-1.6317653879055589E-3</v>
      </c>
      <c r="L212" s="88">
        <v>-1.0733555643108664E-2</v>
      </c>
      <c r="M212" s="88">
        <v>-8.6154379056154005E-3</v>
      </c>
      <c r="N212" s="88">
        <v>-1.694955831377332E-2</v>
      </c>
      <c r="O212" s="88">
        <v>2.3852876791824939E-3</v>
      </c>
      <c r="P212" s="88">
        <v>-5.3619431413853991E-3</v>
      </c>
      <c r="Q212" s="88">
        <v>-4.4843124473285759E-3</v>
      </c>
      <c r="R212" s="88">
        <v>-2.0572154075208432E-2</v>
      </c>
      <c r="S212" s="88">
        <v>-2.6787315963649843E-2</v>
      </c>
      <c r="T212" s="88">
        <v>-7.5188324140273398E-3</v>
      </c>
      <c r="U212" s="88">
        <v>-2.8170876966696335E-2</v>
      </c>
      <c r="V212" s="88">
        <v>-6.9204428445737952E-3</v>
      </c>
      <c r="W212" s="89">
        <v>-1.1254901542838765E-2</v>
      </c>
    </row>
    <row r="213" spans="7:23">
      <c r="G213" s="114">
        <v>43864</v>
      </c>
      <c r="H213" s="88">
        <v>-5.7480115906005441E-3</v>
      </c>
      <c r="I213" s="88">
        <v>5.9084366861662683E-3</v>
      </c>
      <c r="J213" s="88">
        <v>8.8928418488403663E-4</v>
      </c>
      <c r="K213" s="88">
        <v>1.6317653879054127E-3</v>
      </c>
      <c r="L213" s="88">
        <v>-3.1671343837651293E-2</v>
      </c>
      <c r="M213" s="88">
        <v>-1.9975695423643695E-2</v>
      </c>
      <c r="N213" s="88">
        <v>-2.7072579217633744E-2</v>
      </c>
      <c r="O213" s="88">
        <v>0</v>
      </c>
      <c r="P213" s="88">
        <v>0</v>
      </c>
      <c r="Q213" s="88">
        <v>0</v>
      </c>
      <c r="R213" s="88">
        <v>1.376168507268153E-2</v>
      </c>
      <c r="S213" s="88">
        <v>-4.5351551653911512E-3</v>
      </c>
      <c r="T213" s="88">
        <v>-7.5757938084576558E-3</v>
      </c>
      <c r="U213" s="88">
        <v>-2.6007817000574785E-3</v>
      </c>
      <c r="V213" s="88">
        <v>0</v>
      </c>
      <c r="W213" s="89">
        <v>-8.1902164756188379E-3</v>
      </c>
    </row>
    <row r="214" spans="7:23">
      <c r="G214" s="114">
        <v>43865</v>
      </c>
      <c r="H214" s="88">
        <v>7.2551708811720156E-3</v>
      </c>
      <c r="I214" s="88">
        <v>2.0408871631207033E-2</v>
      </c>
      <c r="J214" s="88">
        <v>7.9681696491768813E-3</v>
      </c>
      <c r="K214" s="88">
        <v>3.7971295962086643E-3</v>
      </c>
      <c r="L214" s="88">
        <v>2.0821327813585516E-2</v>
      </c>
      <c r="M214" s="88">
        <v>2.3677118526829976E-2</v>
      </c>
      <c r="N214" s="88">
        <v>1.3086337242893918E-2</v>
      </c>
      <c r="O214" s="88">
        <v>2.3055061816197597E-2</v>
      </c>
      <c r="P214" s="88">
        <v>1.2024192966801591E-2</v>
      </c>
      <c r="Q214" s="88">
        <v>2.2446698538237278E-3</v>
      </c>
      <c r="R214" s="88">
        <v>-2.2805026987252177E-3</v>
      </c>
      <c r="S214" s="88">
        <v>3.5718082602079031E-2</v>
      </c>
      <c r="T214" s="88">
        <v>3.3648034118232729E-2</v>
      </c>
      <c r="U214" s="88">
        <v>3.5809452696710778E-2</v>
      </c>
      <c r="V214" s="88">
        <v>6.920442844573757E-3</v>
      </c>
      <c r="W214" s="89">
        <v>1.4591901676290124E-2</v>
      </c>
    </row>
    <row r="215" spans="7:23">
      <c r="G215" s="114">
        <v>43866</v>
      </c>
      <c r="H215" s="88">
        <v>2.1062141079424817E-3</v>
      </c>
      <c r="I215" s="88">
        <v>2.1621630044953172E-3</v>
      </c>
      <c r="J215" s="88">
        <v>1.5748356968139112E-2</v>
      </c>
      <c r="K215" s="88">
        <v>-1.6255760827007402E-3</v>
      </c>
      <c r="L215" s="88">
        <v>4.8367688006140212E-3</v>
      </c>
      <c r="M215" s="88">
        <v>-2.4660924951934427E-3</v>
      </c>
      <c r="N215" s="88">
        <v>-1.0840109462583367E-3</v>
      </c>
      <c r="O215" s="88">
        <v>1.5562624122283398E-2</v>
      </c>
      <c r="P215" s="88">
        <v>3.9761483796394168E-3</v>
      </c>
      <c r="Q215" s="88">
        <v>1.2256420836976022E-2</v>
      </c>
      <c r="R215" s="88">
        <v>0</v>
      </c>
      <c r="S215" s="88">
        <v>6.5574005461590396E-3</v>
      </c>
      <c r="T215" s="88">
        <v>1.0969031370573937E-2</v>
      </c>
      <c r="U215" s="88">
        <v>2.2361180158157325E-2</v>
      </c>
      <c r="V215" s="88">
        <v>-6.9204428445737952E-3</v>
      </c>
      <c r="W215" s="89">
        <v>4.6143714816247851E-3</v>
      </c>
    </row>
    <row r="216" spans="7:23">
      <c r="G216" s="114">
        <v>43867</v>
      </c>
      <c r="H216" s="88">
        <v>2.701487460160518E-3</v>
      </c>
      <c r="I216" s="88">
        <v>7.8881728490060796E-3</v>
      </c>
      <c r="J216" s="88">
        <v>-4.349724126465759E-3</v>
      </c>
      <c r="K216" s="88">
        <v>3.7889084569583012E-3</v>
      </c>
      <c r="L216" s="88">
        <v>-2.415460111603662E-3</v>
      </c>
      <c r="M216" s="88">
        <v>0</v>
      </c>
      <c r="N216" s="88">
        <v>1.5070252920998173E-2</v>
      </c>
      <c r="O216" s="88">
        <v>1.4016401973535783E-2</v>
      </c>
      <c r="P216" s="88">
        <v>-3.9761483796392945E-3</v>
      </c>
      <c r="Q216" s="88">
        <v>-1.4501090690799844E-2</v>
      </c>
      <c r="R216" s="88">
        <v>-6.8728792877619524E-3</v>
      </c>
      <c r="S216" s="88">
        <v>-6.5574005461591636E-3</v>
      </c>
      <c r="T216" s="88">
        <v>7.2464085207672533E-3</v>
      </c>
      <c r="U216" s="88">
        <v>-4.9261183360560009E-3</v>
      </c>
      <c r="V216" s="88">
        <v>1.5162247739677455E-2</v>
      </c>
      <c r="W216" s="89">
        <v>4.9933784498610808E-4</v>
      </c>
    </row>
    <row r="217" spans="7:23">
      <c r="G217" s="114">
        <v>43868</v>
      </c>
      <c r="H217" s="88">
        <v>-1.3581014535297579E-2</v>
      </c>
      <c r="I217" s="88">
        <v>1.980262729617973E-2</v>
      </c>
      <c r="J217" s="88">
        <v>5.2174031396881402E-3</v>
      </c>
      <c r="K217" s="88">
        <v>6.9986826720389202E-3</v>
      </c>
      <c r="L217" s="88">
        <v>-3.5696097573882396E-2</v>
      </c>
      <c r="M217" s="88">
        <v>-1.2422519998557096E-2</v>
      </c>
      <c r="N217" s="88">
        <v>-2.1390382487494184E-3</v>
      </c>
      <c r="O217" s="88">
        <v>-2.1159721893946531E-2</v>
      </c>
      <c r="P217" s="88">
        <v>-1.7415041601678123E-2</v>
      </c>
      <c r="Q217" s="88">
        <v>-6.7644000885421487E-3</v>
      </c>
      <c r="R217" s="88">
        <v>-1.1560822401075971E-2</v>
      </c>
      <c r="S217" s="88">
        <v>-1.3245226750020567E-2</v>
      </c>
      <c r="T217" s="88">
        <v>0</v>
      </c>
      <c r="U217" s="88">
        <v>-2.4721891453890368E-3</v>
      </c>
      <c r="V217" s="88">
        <v>0</v>
      </c>
      <c r="W217" s="89">
        <v>-1.1504416434066893E-2</v>
      </c>
    </row>
    <row r="218" spans="7:23">
      <c r="G218" s="114">
        <v>43871</v>
      </c>
      <c r="H218" s="88">
        <v>3.0339829098530524E-3</v>
      </c>
      <c r="I218" s="88">
        <v>-3.3466989490237457E-2</v>
      </c>
      <c r="J218" s="88">
        <v>-1.0462170406983296E-2</v>
      </c>
      <c r="K218" s="88">
        <v>6.9500413409722727E-3</v>
      </c>
      <c r="L218" s="88">
        <v>-1.6424879667400305E-2</v>
      </c>
      <c r="M218" s="88">
        <v>0</v>
      </c>
      <c r="N218" s="88">
        <v>-2.3836448154511299E-2</v>
      </c>
      <c r="O218" s="88">
        <v>9.4328913248874456E-3</v>
      </c>
      <c r="P218" s="88">
        <v>-1.0869672236903879E-2</v>
      </c>
      <c r="Q218" s="88">
        <v>1.7937700686667252E-2</v>
      </c>
      <c r="R218" s="88">
        <v>-9.345862418237658E-3</v>
      </c>
      <c r="S218" s="88">
        <v>1.1049836186584935E-2</v>
      </c>
      <c r="T218" s="88">
        <v>0</v>
      </c>
      <c r="U218" s="88">
        <v>4.9382816405825767E-3</v>
      </c>
      <c r="V218" s="88">
        <v>0</v>
      </c>
      <c r="W218" s="89">
        <v>-8.7436950665144564E-3</v>
      </c>
    </row>
    <row r="219" spans="7:23">
      <c r="G219" s="114">
        <v>43872</v>
      </c>
      <c r="H219" s="88">
        <v>6.9434241221460061E-3</v>
      </c>
      <c r="I219" s="88">
        <v>4.3352669055394125E-3</v>
      </c>
      <c r="J219" s="88">
        <v>4.3725474126093357E-3</v>
      </c>
      <c r="K219" s="88">
        <v>1.3756830709640783E-2</v>
      </c>
      <c r="L219" s="88">
        <v>1.2658396871923465E-2</v>
      </c>
      <c r="M219" s="88">
        <v>-3.7570488777122881E-3</v>
      </c>
      <c r="N219" s="88">
        <v>-3.2948958968525379E-3</v>
      </c>
      <c r="O219" s="88">
        <v>1.1726830569059137E-2</v>
      </c>
      <c r="P219" s="88">
        <v>1.2220111334775397E-2</v>
      </c>
      <c r="Q219" s="88">
        <v>4.4345970678655536E-3</v>
      </c>
      <c r="R219" s="88">
        <v>9.345862418237599E-3</v>
      </c>
      <c r="S219" s="88">
        <v>3.0305349495329058E-2</v>
      </c>
      <c r="T219" s="88">
        <v>1.077209698191104E-2</v>
      </c>
      <c r="U219" s="88">
        <v>-2.4660924951934427E-3</v>
      </c>
      <c r="V219" s="88">
        <v>-2.7397277411203274E-3</v>
      </c>
      <c r="W219" s="89">
        <v>1.5407067479000164E-2</v>
      </c>
    </row>
    <row r="220" spans="7:23">
      <c r="G220" s="114">
        <v>43873</v>
      </c>
      <c r="H220" s="88">
        <v>-9.0293459859225344E-4</v>
      </c>
      <c r="I220" s="88">
        <v>-1.1602740752517085E-2</v>
      </c>
      <c r="J220" s="88">
        <v>3.7675688830890057E-2</v>
      </c>
      <c r="K220" s="88">
        <v>-2.8245949223779081E-2</v>
      </c>
      <c r="L220" s="88">
        <v>6.269613013595395E-3</v>
      </c>
      <c r="M220" s="88">
        <v>0</v>
      </c>
      <c r="N220" s="88">
        <v>-6.6225407604934942E-3</v>
      </c>
      <c r="O220" s="88">
        <v>-6.923747367970602E-3</v>
      </c>
      <c r="P220" s="88">
        <v>1.4735698653752965E-2</v>
      </c>
      <c r="Q220" s="88">
        <v>-1.1068069751911064E-3</v>
      </c>
      <c r="R220" s="88">
        <v>-4.662013105811413E-3</v>
      </c>
      <c r="S220" s="88">
        <v>3.3546122491203589E-2</v>
      </c>
      <c r="T220" s="88">
        <v>-7.168489478612516E-3</v>
      </c>
      <c r="U220" s="88">
        <v>2.4660924951934683E-3</v>
      </c>
      <c r="V220" s="88">
        <v>-4.1237171838620409E-3</v>
      </c>
      <c r="W220" s="89">
        <v>6.1050062946233006E-4</v>
      </c>
    </row>
    <row r="221" spans="7:23">
      <c r="G221" s="114">
        <v>43874</v>
      </c>
      <c r="H221" s="88">
        <v>2.6446348900815961E-2</v>
      </c>
      <c r="I221" s="88">
        <v>1.0881500187533987E-2</v>
      </c>
      <c r="J221" s="88">
        <v>0</v>
      </c>
      <c r="K221" s="88">
        <v>3.1917602968305162E-2</v>
      </c>
      <c r="L221" s="88">
        <v>-7.5282664207915245E-3</v>
      </c>
      <c r="M221" s="88">
        <v>2.8449661468083608E-2</v>
      </c>
      <c r="N221" s="88">
        <v>6.6225407604934569E-3</v>
      </c>
      <c r="O221" s="88">
        <v>9.3001743418703459E-3</v>
      </c>
      <c r="P221" s="88">
        <v>-1.3387080782459296E-2</v>
      </c>
      <c r="Q221" s="88">
        <v>-5.5524851147856673E-3</v>
      </c>
      <c r="R221" s="88">
        <v>1.3921338518608014E-2</v>
      </c>
      <c r="S221" s="88">
        <v>-2.5053502445550026E-2</v>
      </c>
      <c r="T221" s="88">
        <v>7.168489478612497E-3</v>
      </c>
      <c r="U221" s="88">
        <v>-4.9382816405824544E-3</v>
      </c>
      <c r="V221" s="88">
        <v>5.4945193176407798E-3</v>
      </c>
      <c r="W221" s="89">
        <v>2.9165327018278496E-3</v>
      </c>
    </row>
    <row r="222" spans="7:23">
      <c r="G222" s="114">
        <v>43875</v>
      </c>
      <c r="H222" s="88">
        <v>4.0971669840702872E-3</v>
      </c>
      <c r="I222" s="88">
        <v>-4.3384015985980188E-3</v>
      </c>
      <c r="J222" s="88">
        <v>6.7001925698195654E-3</v>
      </c>
      <c r="K222" s="88">
        <v>-2.1164811192043383E-2</v>
      </c>
      <c r="L222" s="88">
        <v>1.8715455811356002E-2</v>
      </c>
      <c r="M222" s="88">
        <v>1.0915814876996187E-2</v>
      </c>
      <c r="N222" s="88">
        <v>-8.8398365691409516E-3</v>
      </c>
      <c r="O222" s="88">
        <v>8.1555915670703596E-3</v>
      </c>
      <c r="P222" s="88">
        <v>1.4715984632513109E-2</v>
      </c>
      <c r="Q222" s="88">
        <v>2.2246950221111086E-3</v>
      </c>
      <c r="R222" s="88">
        <v>9.1743762760412295E-3</v>
      </c>
      <c r="S222" s="88">
        <v>-1.4909754366287151E-2</v>
      </c>
      <c r="T222" s="88">
        <v>0</v>
      </c>
      <c r="U222" s="88">
        <v>1.2300278081651687E-2</v>
      </c>
      <c r="V222" s="88">
        <v>-1.6574965094212676E-2</v>
      </c>
      <c r="W222" s="89">
        <v>2.2360446539182702E-3</v>
      </c>
    </row>
    <row r="223" spans="7:23">
      <c r="G223" s="114">
        <v>43878</v>
      </c>
      <c r="H223" s="88">
        <v>-1.1689072049818425E-3</v>
      </c>
      <c r="I223" s="88">
        <v>0</v>
      </c>
      <c r="J223" s="88">
        <v>1.6680571006970134E-3</v>
      </c>
      <c r="K223" s="88">
        <v>-2.6773777707164029E-3</v>
      </c>
      <c r="L223" s="88">
        <v>-1.2368585373963583E-3</v>
      </c>
      <c r="M223" s="88">
        <v>2.4096397201533296E-3</v>
      </c>
      <c r="N223" s="88">
        <v>1.1092624542857557E-3</v>
      </c>
      <c r="O223" s="88">
        <v>9.1399745727237074E-3</v>
      </c>
      <c r="P223" s="88">
        <v>-5.3262442826740941E-3</v>
      </c>
      <c r="Q223" s="88">
        <v>-1.1173300598125189E-2</v>
      </c>
      <c r="R223" s="88">
        <v>-9.1743762760412694E-3</v>
      </c>
      <c r="S223" s="88">
        <v>-2.6088436084297967E-2</v>
      </c>
      <c r="T223" s="88">
        <v>-1.8018505502678365E-2</v>
      </c>
      <c r="U223" s="88">
        <v>-2.2250608934819692E-2</v>
      </c>
      <c r="V223" s="88">
        <v>2.7816429618767705E-3</v>
      </c>
      <c r="W223" s="89">
        <v>-2.7469114537964378E-3</v>
      </c>
    </row>
    <row r="224" spans="7:23">
      <c r="G224" s="114">
        <v>43879</v>
      </c>
      <c r="H224" s="88">
        <v>-1.4630580517605511E-3</v>
      </c>
      <c r="I224" s="88">
        <v>0</v>
      </c>
      <c r="J224" s="88">
        <v>-7.5282664207915245E-3</v>
      </c>
      <c r="K224" s="88">
        <v>-3.7604127041321587E-3</v>
      </c>
      <c r="L224" s="88">
        <v>-2.8878340738686972E-2</v>
      </c>
      <c r="M224" s="88">
        <v>-7.2464085207673097E-3</v>
      </c>
      <c r="N224" s="88">
        <v>-8.9087448891095548E-3</v>
      </c>
      <c r="O224" s="88">
        <v>-3.3884474787798748E-3</v>
      </c>
      <c r="P224" s="88">
        <v>1.0624269920229204E-2</v>
      </c>
      <c r="Q224" s="88">
        <v>-1.4714470354002541E-2</v>
      </c>
      <c r="R224" s="88">
        <v>-4.6189458562944166E-3</v>
      </c>
      <c r="S224" s="88">
        <v>2.2002209096023376E-3</v>
      </c>
      <c r="T224" s="88">
        <v>7.2464085207672533E-3</v>
      </c>
      <c r="U224" s="88">
        <v>0</v>
      </c>
      <c r="V224" s="88">
        <v>0</v>
      </c>
      <c r="W224" s="89">
        <v>-8.68103661430779E-3</v>
      </c>
    </row>
    <row r="225" spans="7:23">
      <c r="G225" s="114">
        <v>43880</v>
      </c>
      <c r="H225" s="88">
        <v>1.4630580517605368E-3</v>
      </c>
      <c r="I225" s="88">
        <v>2.2923639901936809E-2</v>
      </c>
      <c r="J225" s="88">
        <v>1.5000281259492598E-2</v>
      </c>
      <c r="K225" s="88">
        <v>-4.3150013014132361E-3</v>
      </c>
      <c r="L225" s="88">
        <v>3.8143720754706925E-3</v>
      </c>
      <c r="M225" s="88">
        <v>2.0396627907645654E-2</v>
      </c>
      <c r="N225" s="88">
        <v>-4.4843124473285759E-3</v>
      </c>
      <c r="O225" s="88">
        <v>1.0246945737994371E-2</v>
      </c>
      <c r="P225" s="88">
        <v>-3.9708854294927317E-3</v>
      </c>
      <c r="Q225" s="88">
        <v>-2.2831060145685209E-3</v>
      </c>
      <c r="R225" s="88">
        <v>-6.9686693160934277E-3</v>
      </c>
      <c r="S225" s="88">
        <v>-1.5504186535965086E-2</v>
      </c>
      <c r="T225" s="88">
        <v>-1.0889399799268319E-2</v>
      </c>
      <c r="U225" s="88">
        <v>2.4968801985871458E-3</v>
      </c>
      <c r="V225" s="88">
        <v>1.6529301951210506E-2</v>
      </c>
      <c r="W225" s="89">
        <v>5.4467437869063053E-3</v>
      </c>
    </row>
    <row r="226" spans="7:23">
      <c r="G226" s="114">
        <v>43881</v>
      </c>
      <c r="H226" s="88">
        <v>-1.799724044435811E-2</v>
      </c>
      <c r="I226" s="88">
        <v>-7.0846620037342276E-4</v>
      </c>
      <c r="J226" s="88">
        <v>1.6528929382995943E-3</v>
      </c>
      <c r="K226" s="88">
        <v>-2.9623669210225512E-2</v>
      </c>
      <c r="L226" s="88">
        <v>-6.3653938670760711E-3</v>
      </c>
      <c r="M226" s="88">
        <v>-2.3781224049673243E-3</v>
      </c>
      <c r="N226" s="88">
        <v>0</v>
      </c>
      <c r="O226" s="88">
        <v>1.0143009965054765E-2</v>
      </c>
      <c r="P226" s="88">
        <v>1.709443335930004E-2</v>
      </c>
      <c r="Q226" s="88">
        <v>5.6980211146377959E-3</v>
      </c>
      <c r="R226" s="88">
        <v>2.3282897595911681E-3</v>
      </c>
      <c r="S226" s="88">
        <v>-6.7189502487449808E-3</v>
      </c>
      <c r="T226" s="88">
        <v>0</v>
      </c>
      <c r="U226" s="88">
        <v>0</v>
      </c>
      <c r="V226" s="88">
        <v>1.0869672236903891E-2</v>
      </c>
      <c r="W226" s="89">
        <v>-4.0658459840433158E-3</v>
      </c>
    </row>
    <row r="227" spans="7:23">
      <c r="G227" s="114">
        <v>43882</v>
      </c>
      <c r="H227" s="88">
        <v>-5.0738804569537676E-3</v>
      </c>
      <c r="I227" s="88">
        <v>-1.4275759929371015E-2</v>
      </c>
      <c r="J227" s="88">
        <v>-1.3300279187481253E-2</v>
      </c>
      <c r="K227" s="88">
        <v>-3.4554556481185293E-2</v>
      </c>
      <c r="L227" s="88">
        <v>-5.6482509792587725E-2</v>
      </c>
      <c r="M227" s="88">
        <v>-2.2878782384930997E-2</v>
      </c>
      <c r="N227" s="88">
        <v>-2.618248594564376E-2</v>
      </c>
      <c r="O227" s="88">
        <v>-5.6351135258650232E-3</v>
      </c>
      <c r="P227" s="88">
        <v>-1.312354792980734E-2</v>
      </c>
      <c r="Q227" s="88">
        <v>-3.3509778898878143E-2</v>
      </c>
      <c r="R227" s="88">
        <v>-4.662013105811413E-3</v>
      </c>
      <c r="S227" s="88">
        <v>-2.2728251077556289E-2</v>
      </c>
      <c r="T227" s="88">
        <v>0</v>
      </c>
      <c r="U227" s="88">
        <v>-1.7610518008635279E-2</v>
      </c>
      <c r="V227" s="88">
        <v>-1.7723708664696115E-2</v>
      </c>
      <c r="W227" s="89">
        <v>-2.2203325039359428E-2</v>
      </c>
    </row>
    <row r="228" spans="7:23">
      <c r="G228" s="114">
        <v>43885</v>
      </c>
      <c r="H228" s="88">
        <v>-2.6377154512669518E-2</v>
      </c>
      <c r="I228" s="88">
        <v>-4.4092373528331195E-2</v>
      </c>
      <c r="J228" s="88">
        <v>-8.6478996857650065E-2</v>
      </c>
      <c r="K228" s="88">
        <v>-0.10632159213737695</v>
      </c>
      <c r="L228" s="88">
        <v>-0.12814054398964619</v>
      </c>
      <c r="M228" s="88">
        <v>-0.11747857530999151</v>
      </c>
      <c r="N228" s="88">
        <v>-0.10190628078973868</v>
      </c>
      <c r="O228" s="88">
        <v>-8.4801639635570844E-2</v>
      </c>
      <c r="P228" s="88">
        <v>-7.4006361626783923E-2</v>
      </c>
      <c r="Q228" s="88">
        <v>-5.0613211514882406E-2</v>
      </c>
      <c r="R228" s="88">
        <v>-0.10121543200265745</v>
      </c>
      <c r="S228" s="88">
        <v>-7.8893942469663081E-2</v>
      </c>
      <c r="T228" s="88">
        <v>-6.7950661908507667E-2</v>
      </c>
      <c r="U228" s="88">
        <v>-7.6453555715442365E-2</v>
      </c>
      <c r="V228" s="88">
        <v>-1.5246310572873751E-2</v>
      </c>
      <c r="W228" s="89">
        <v>-8.7330056985179386E-2</v>
      </c>
    </row>
    <row r="229" spans="7:23">
      <c r="G229" s="114">
        <v>43886</v>
      </c>
      <c r="H229" s="88">
        <v>-3.2789822822990727E-2</v>
      </c>
      <c r="I229" s="88">
        <v>2.155416033498601E-2</v>
      </c>
      <c r="J229" s="88">
        <v>2.7892046531815384E-2</v>
      </c>
      <c r="K229" s="88">
        <v>5.0010420574661416E-2</v>
      </c>
      <c r="L229" s="88">
        <v>7.2570692834835374E-2</v>
      </c>
      <c r="M229" s="88">
        <v>2.435844383204044E-2</v>
      </c>
      <c r="N229" s="88">
        <v>-2.3256862164267235E-2</v>
      </c>
      <c r="O229" s="88">
        <v>3.8539703397216345E-2</v>
      </c>
      <c r="P229" s="88">
        <v>7.4006361626783854E-2</v>
      </c>
      <c r="Q229" s="88">
        <v>-2.8842124629285138E-2</v>
      </c>
      <c r="R229" s="88">
        <v>-2.0703941143084019E-3</v>
      </c>
      <c r="S229" s="88">
        <v>3.4233171642242391E-2</v>
      </c>
      <c r="T229" s="88">
        <v>-3.9138993211363287E-3</v>
      </c>
      <c r="U229" s="88">
        <v>0</v>
      </c>
      <c r="V229" s="88">
        <v>1.9364367181791152E-2</v>
      </c>
      <c r="W229" s="89">
        <v>1.8715440706645686E-2</v>
      </c>
    </row>
    <row r="230" spans="7:23">
      <c r="G230" s="114">
        <v>43887</v>
      </c>
      <c r="H230" s="88">
        <v>-4.7732787526576599E-3</v>
      </c>
      <c r="I230" s="88">
        <v>-1.4815085785140587E-2</v>
      </c>
      <c r="J230" s="88">
        <v>-1.3399039229248689E-2</v>
      </c>
      <c r="K230" s="88">
        <v>-5.1935348984245705E-2</v>
      </c>
      <c r="L230" s="88">
        <v>-3.4887259000440436E-2</v>
      </c>
      <c r="M230" s="88">
        <v>-2.1622464013165657E-2</v>
      </c>
      <c r="N230" s="88">
        <v>-4.0005334613699248E-2</v>
      </c>
      <c r="O230" s="88">
        <v>-4.105353076426161E-2</v>
      </c>
      <c r="P230" s="88">
        <v>-4.1813238612652792E-2</v>
      </c>
      <c r="Q230" s="88">
        <v>7.6045993852192125E-3</v>
      </c>
      <c r="R230" s="88">
        <v>-3.2651663110143357E-2</v>
      </c>
      <c r="S230" s="88">
        <v>-4.4233254976825648E-2</v>
      </c>
      <c r="T230" s="88">
        <v>-2.7834798993443988E-2</v>
      </c>
      <c r="U230" s="88">
        <v>-4.4825431380064271E-2</v>
      </c>
      <c r="V230" s="88">
        <v>-5.4945193176407017E-3</v>
      </c>
      <c r="W230" s="89">
        <v>-2.7318356886065313E-2</v>
      </c>
    </row>
    <row r="231" spans="7:23">
      <c r="G231" s="114">
        <v>43888</v>
      </c>
      <c r="H231" s="88">
        <v>-2.2255393635261685E-2</v>
      </c>
      <c r="I231" s="88">
        <v>-2.1116923440922808E-2</v>
      </c>
      <c r="J231" s="88">
        <v>-5.546708151287251E-2</v>
      </c>
      <c r="K231" s="88">
        <v>-6.4324457131616303E-2</v>
      </c>
      <c r="L231" s="88">
        <v>-9.6198147895821651E-2</v>
      </c>
      <c r="M231" s="88">
        <v>-4.4700178917906938E-2</v>
      </c>
      <c r="N231" s="88">
        <v>-2.3400930164612473E-2</v>
      </c>
      <c r="O231" s="88">
        <v>-2.7559794793076572E-2</v>
      </c>
      <c r="P231" s="88">
        <v>-5.8131176562570872E-2</v>
      </c>
      <c r="Q231" s="88">
        <v>-5.063301956546762E-3</v>
      </c>
      <c r="R231" s="88">
        <v>-5.3888793220913174E-2</v>
      </c>
      <c r="S231" s="88">
        <v>-4.3652630157736759E-2</v>
      </c>
      <c r="T231" s="88">
        <v>-1.2170535620255179E-2</v>
      </c>
      <c r="U231" s="88">
        <v>-4.9936953285938751E-2</v>
      </c>
      <c r="V231" s="88">
        <v>-8.2988028146950658E-3</v>
      </c>
      <c r="W231" s="89">
        <v>-5.381732302548603E-2</v>
      </c>
    </row>
    <row r="232" spans="7:23">
      <c r="G232" s="114">
        <v>43889</v>
      </c>
      <c r="H232" s="88">
        <v>-7.6569728276507765E-2</v>
      </c>
      <c r="I232" s="88">
        <v>-2.3131332023418966E-2</v>
      </c>
      <c r="J232" s="88">
        <v>-8.1152321800226718E-2</v>
      </c>
      <c r="K232" s="88">
        <v>-2.6372104339195884E-2</v>
      </c>
      <c r="L232" s="88">
        <v>-8.1400849943959561E-2</v>
      </c>
      <c r="M232" s="88">
        <v>9.950330853168092E-3</v>
      </c>
      <c r="N232" s="88">
        <v>-0.11656511467068938</v>
      </c>
      <c r="O232" s="88">
        <v>-4.5387164052730015E-2</v>
      </c>
      <c r="P232" s="88">
        <v>-6.7950661908507667E-2</v>
      </c>
      <c r="Q232" s="88">
        <v>-8.8858952572930056E-2</v>
      </c>
      <c r="R232" s="88">
        <v>-7.7503561154860137E-2</v>
      </c>
      <c r="S232" s="88">
        <v>-7.0681585651285198E-2</v>
      </c>
      <c r="T232" s="88">
        <v>-0.10309550902697412</v>
      </c>
      <c r="U232" s="88">
        <v>-2.1309786586750985E-2</v>
      </c>
      <c r="V232" s="88">
        <v>6.920442844573757E-3</v>
      </c>
      <c r="W232" s="89">
        <v>-6.5132673739505306E-2</v>
      </c>
    </row>
    <row r="233" spans="7:23">
      <c r="G233" s="114">
        <v>43893</v>
      </c>
      <c r="H233" s="88">
        <v>4.3747289135570182E-2</v>
      </c>
      <c r="I233" s="88">
        <v>-1.5612805669524645E-3</v>
      </c>
      <c r="J233" s="88">
        <v>3.7434821221133868E-2</v>
      </c>
      <c r="K233" s="88">
        <v>0.16075929504761455</v>
      </c>
      <c r="L233" s="88">
        <v>0.11503092068950889</v>
      </c>
      <c r="M233" s="88">
        <v>3.2013868245863962E-2</v>
      </c>
      <c r="N233" s="88">
        <v>3.9882586278319476E-2</v>
      </c>
      <c r="O233" s="88">
        <v>7.7843083120375231E-2</v>
      </c>
      <c r="P233" s="88">
        <v>6.2094129795794741E-2</v>
      </c>
      <c r="Q233" s="88">
        <v>8.2873402485702866E-3</v>
      </c>
      <c r="R233" s="88">
        <v>6.7282007083321993E-2</v>
      </c>
      <c r="S233" s="88">
        <v>7.5917199705230309E-2</v>
      </c>
      <c r="T233" s="88">
        <v>2.2372297754532984E-2</v>
      </c>
      <c r="U233" s="88">
        <v>6.2613592727986681E-2</v>
      </c>
      <c r="V233" s="88">
        <v>2.7548226788446837E-3</v>
      </c>
      <c r="W233" s="89">
        <v>6.1862632067154297E-2</v>
      </c>
    </row>
    <row r="234" spans="7:23">
      <c r="G234" s="114">
        <v>43894</v>
      </c>
      <c r="H234" s="88">
        <v>4.7074733872495408E-3</v>
      </c>
      <c r="I234" s="88">
        <v>-3.9138993211363287E-3</v>
      </c>
      <c r="J234" s="88">
        <v>2.2583188505119201E-2</v>
      </c>
      <c r="K234" s="88">
        <v>2.2499468937714318E-2</v>
      </c>
      <c r="L234" s="88">
        <v>-3.1545767485154324E-3</v>
      </c>
      <c r="M234" s="88">
        <v>-4.118056608917486E-3</v>
      </c>
      <c r="N234" s="88">
        <v>-4.5214847188460071E-3</v>
      </c>
      <c r="O234" s="88">
        <v>3.022123302200274E-2</v>
      </c>
      <c r="P234" s="88">
        <v>-8.8496152769824993E-3</v>
      </c>
      <c r="Q234" s="88">
        <v>1.7723708664696212E-2</v>
      </c>
      <c r="R234" s="88">
        <v>6.4110347292451159E-2</v>
      </c>
      <c r="S234" s="88">
        <v>2.8315920117287858E-2</v>
      </c>
      <c r="T234" s="88">
        <v>3.9050514871873034E-2</v>
      </c>
      <c r="U234" s="88">
        <v>-3.5297782081023819E-2</v>
      </c>
      <c r="V234" s="88">
        <v>-2.7548226788446199E-3</v>
      </c>
      <c r="W234" s="89">
        <v>5.4917306793681245E-3</v>
      </c>
    </row>
    <row r="235" spans="7:23">
      <c r="G235" s="114">
        <v>43895</v>
      </c>
      <c r="H235" s="88">
        <v>-2.616971773338472E-2</v>
      </c>
      <c r="I235" s="88">
        <v>-3.2685253127193462E-2</v>
      </c>
      <c r="J235" s="88">
        <v>-1.0737048000956794E-2</v>
      </c>
      <c r="K235" s="88">
        <v>-0.10094664376379356</v>
      </c>
      <c r="L235" s="88">
        <v>-5.6879668193544543E-2</v>
      </c>
      <c r="M235" s="88">
        <v>-8.1648765148507538E-2</v>
      </c>
      <c r="N235" s="88">
        <v>-1.5220994010355355E-2</v>
      </c>
      <c r="O235" s="88">
        <v>-1.8394142155974503E-2</v>
      </c>
      <c r="P235" s="88">
        <v>-3.7740327982847086E-2</v>
      </c>
      <c r="Q235" s="88">
        <v>1.7415041601678071E-2</v>
      </c>
      <c r="R235" s="88">
        <v>-7.0983226580213291E-2</v>
      </c>
      <c r="S235" s="88">
        <v>-5.209511188340181E-2</v>
      </c>
      <c r="T235" s="88">
        <v>-3.9050514871873027E-2</v>
      </c>
      <c r="U235" s="88">
        <v>-0.12078153865264005</v>
      </c>
      <c r="V235" s="88">
        <v>1.3783599701213596E-3</v>
      </c>
      <c r="W235" s="89">
        <v>-5.6557030334532229E-2</v>
      </c>
    </row>
    <row r="236" spans="7:23">
      <c r="G236" s="114">
        <v>43896</v>
      </c>
      <c r="H236" s="88">
        <v>-3.0061683486061176E-2</v>
      </c>
      <c r="I236" s="88">
        <v>-3.7148307774551262E-2</v>
      </c>
      <c r="J236" s="88">
        <v>-5.9123051014113331E-2</v>
      </c>
      <c r="K236" s="88">
        <v>-5.2521209133553758E-2</v>
      </c>
      <c r="L236" s="88">
        <v>-0.1397619423751586</v>
      </c>
      <c r="M236" s="88">
        <v>-5.2079149044889569E-2</v>
      </c>
      <c r="N236" s="88">
        <v>-6.658560475929598E-2</v>
      </c>
      <c r="O236" s="88">
        <v>-2.8878340738686972E-2</v>
      </c>
      <c r="P236" s="88">
        <v>-3.9220713153281267E-2</v>
      </c>
      <c r="Q236" s="88">
        <v>-6.7286871641851237E-2</v>
      </c>
      <c r="R236" s="88">
        <v>-1.1560822401075971E-2</v>
      </c>
      <c r="S236" s="88">
        <v>-4.3722811013831693E-2</v>
      </c>
      <c r="T236" s="88">
        <v>1.7544309650909525E-2</v>
      </c>
      <c r="U236" s="88">
        <v>1.0084119066626226E-2</v>
      </c>
      <c r="V236" s="88">
        <v>0</v>
      </c>
      <c r="W236" s="89">
        <v>-6.1495333252947766E-2</v>
      </c>
    </row>
    <row r="237" spans="7:23">
      <c r="G237" s="114">
        <v>43899</v>
      </c>
      <c r="H237" s="88">
        <v>-9.3289511587485052E-2</v>
      </c>
      <c r="I237" s="88">
        <v>-5.5329582052261392E-2</v>
      </c>
      <c r="J237" s="88">
        <v>-0.11052159296105805</v>
      </c>
      <c r="K237" s="88">
        <v>-3.0494393354066979E-2</v>
      </c>
      <c r="L237" s="88">
        <v>-0.16478393612862707</v>
      </c>
      <c r="M237" s="88">
        <v>-0.14165051706302692</v>
      </c>
      <c r="N237" s="88">
        <v>-0.22007449519679184</v>
      </c>
      <c r="O237" s="88">
        <v>-0.15393838813768046</v>
      </c>
      <c r="P237" s="88">
        <v>-0.12783337150988489</v>
      </c>
      <c r="Q237" s="88">
        <v>-8.2887659805767636E-2</v>
      </c>
      <c r="R237" s="88">
        <v>-9.1248671465145037E-2</v>
      </c>
      <c r="S237" s="88">
        <v>-0.1935576300608805</v>
      </c>
      <c r="T237" s="88">
        <v>-0.10536051565782628</v>
      </c>
      <c r="U237" s="88">
        <v>-0.19918536284595942</v>
      </c>
      <c r="V237" s="88">
        <v>-1.5267472130788421E-2</v>
      </c>
      <c r="W237" s="89">
        <v>-0.14372676829056868</v>
      </c>
    </row>
    <row r="238" spans="7:23">
      <c r="G238" s="114">
        <v>43900</v>
      </c>
      <c r="H238" s="88">
        <v>-2.5647489844283992E-2</v>
      </c>
      <c r="I238" s="88">
        <v>1.3245226750020723E-2</v>
      </c>
      <c r="J238" s="88">
        <v>1.5575740326557778E-2</v>
      </c>
      <c r="K238" s="88">
        <v>6.2733585691255353E-2</v>
      </c>
      <c r="L238" s="88">
        <v>0.12556322297534575</v>
      </c>
      <c r="M238" s="88">
        <v>0.14479023706769459</v>
      </c>
      <c r="N238" s="88">
        <v>7.0013800621058664E-2</v>
      </c>
      <c r="O238" s="88">
        <v>3.933500539867673E-2</v>
      </c>
      <c r="P238" s="88">
        <v>7.020425867324856E-2</v>
      </c>
      <c r="Q238" s="88">
        <v>0.14351228162220256</v>
      </c>
      <c r="R238" s="88">
        <v>4.3620622475890353E-2</v>
      </c>
      <c r="S238" s="88">
        <v>0.17095779814363948</v>
      </c>
      <c r="T238" s="88">
        <v>-9.7088141269608269E-3</v>
      </c>
      <c r="U238" s="88">
        <v>2.0202707317519469E-2</v>
      </c>
      <c r="V238" s="88">
        <v>0</v>
      </c>
      <c r="W238" s="89">
        <v>5.7625740547745705E-2</v>
      </c>
    </row>
    <row r="239" spans="7:23">
      <c r="G239" s="114">
        <v>43901</v>
      </c>
      <c r="H239" s="88">
        <v>-6.8650347078738724E-2</v>
      </c>
      <c r="I239" s="88">
        <v>-1.859283307661597E-2</v>
      </c>
      <c r="J239" s="88">
        <v>-1.7187056651314988E-3</v>
      </c>
      <c r="K239" s="88">
        <v>-8.6951293473524427E-2</v>
      </c>
      <c r="L239" s="88">
        <v>-4.4997365930735805E-2</v>
      </c>
      <c r="M239" s="88">
        <v>-8.672643611293343E-2</v>
      </c>
      <c r="N239" s="88">
        <v>-5.6822335866696216E-2</v>
      </c>
      <c r="O239" s="88">
        <v>-2.8612322810321234E-3</v>
      </c>
      <c r="P239" s="88">
        <v>-5.2185753170570309E-2</v>
      </c>
      <c r="Q239" s="88">
        <v>-5.4958884280757472E-2</v>
      </c>
      <c r="R239" s="88">
        <v>-2.844966146808367E-2</v>
      </c>
      <c r="S239" s="88">
        <v>-5.8840500022933465E-2</v>
      </c>
      <c r="T239" s="88">
        <v>-9.8040000966208556E-3</v>
      </c>
      <c r="U239" s="88">
        <v>0</v>
      </c>
      <c r="V239" s="88">
        <v>-1.3995803544232435E-3</v>
      </c>
      <c r="W239" s="89">
        <v>-4.18837066306052E-2</v>
      </c>
    </row>
    <row r="240" spans="7:23">
      <c r="G240" s="114">
        <v>43902</v>
      </c>
      <c r="H240" s="88">
        <v>-0.1633250561032995</v>
      </c>
      <c r="I240" s="88">
        <v>-0.11343592966337167</v>
      </c>
      <c r="J240" s="88">
        <v>-0.11921755031925256</v>
      </c>
      <c r="K240" s="88">
        <v>-8.8126240862194685E-2</v>
      </c>
      <c r="L240" s="88">
        <v>-0.19072496759033403</v>
      </c>
      <c r="M240" s="88">
        <v>-9.3090423066011854E-2</v>
      </c>
      <c r="N240" s="88">
        <v>1.0075567602997706E-3</v>
      </c>
      <c r="O240" s="88">
        <v>-8.8314648384837727E-2</v>
      </c>
      <c r="P240" s="88">
        <v>-1.801850550267825E-2</v>
      </c>
      <c r="Q240" s="88">
        <v>-6.869025384203345E-2</v>
      </c>
      <c r="R240" s="88">
        <v>-8.2345650175699489E-2</v>
      </c>
      <c r="S240" s="88">
        <v>-4.6520015634892817E-2</v>
      </c>
      <c r="T240" s="88">
        <v>-1.4888612493750637E-2</v>
      </c>
      <c r="U240" s="88">
        <v>-6.1875403718087411E-2</v>
      </c>
      <c r="V240" s="88">
        <v>-1.9802627296179754E-2</v>
      </c>
      <c r="W240" s="89">
        <v>-0.11217412699631719</v>
      </c>
    </row>
    <row r="241" spans="7:23">
      <c r="G241" s="114">
        <v>43903</v>
      </c>
      <c r="H241" s="88">
        <v>5.8249887857881745E-2</v>
      </c>
      <c r="I241" s="88">
        <v>3.3467690471084929E-2</v>
      </c>
      <c r="J241" s="88">
        <v>-2.1548336206202948E-2</v>
      </c>
      <c r="K241" s="88">
        <v>-6.3191363514785463E-3</v>
      </c>
      <c r="L241" s="88">
        <v>6.8486414145156035E-2</v>
      </c>
      <c r="M241" s="88">
        <v>1.3047715392475675E-2</v>
      </c>
      <c r="N241" s="88">
        <v>-2.2404195753847531E-2</v>
      </c>
      <c r="O241" s="88">
        <v>-4.1539518441323323E-2</v>
      </c>
      <c r="P241" s="88">
        <v>1.6231194928582552E-2</v>
      </c>
      <c r="Q241" s="88">
        <v>4.2937757739618769E-2</v>
      </c>
      <c r="R241" s="88">
        <v>4.7881486233214005E-2</v>
      </c>
      <c r="S241" s="88">
        <v>9.0971778205726786E-2</v>
      </c>
      <c r="T241" s="88">
        <v>0</v>
      </c>
      <c r="U241" s="88">
        <v>-6.4034370352070245E-3</v>
      </c>
      <c r="V241" s="88">
        <v>-1.4388737452099669E-2</v>
      </c>
      <c r="W241" s="89">
        <v>2.461335417733275E-2</v>
      </c>
    </row>
    <row r="242" spans="7:23">
      <c r="G242" s="114">
        <v>43906</v>
      </c>
      <c r="H242" s="88">
        <v>-0.18546486556864331</v>
      </c>
      <c r="I242" s="88">
        <v>-0.10988833710608634</v>
      </c>
      <c r="J242" s="88">
        <v>-0.25670374780651151</v>
      </c>
      <c r="K242" s="88">
        <v>-0.10166950171261722</v>
      </c>
      <c r="L242" s="88">
        <v>-0.10720092632584644</v>
      </c>
      <c r="M242" s="88">
        <v>-0.19237189264745613</v>
      </c>
      <c r="N242" s="88">
        <v>-8.4860335711315654E-2</v>
      </c>
      <c r="O242" s="88">
        <v>-5.879106726383386E-2</v>
      </c>
      <c r="P242" s="88">
        <v>-5.7053189448837603E-2</v>
      </c>
      <c r="Q242" s="88">
        <v>-5.9719234701622312E-2</v>
      </c>
      <c r="R242" s="88">
        <v>-6.1599122462013191E-2</v>
      </c>
      <c r="S242" s="88">
        <v>-0.10375150485212568</v>
      </c>
      <c r="T242" s="88">
        <v>-5.1293294387550578E-2</v>
      </c>
      <c r="U242" s="88">
        <v>-0.18532391804562393</v>
      </c>
      <c r="V242" s="88">
        <v>-0.12981161152199058</v>
      </c>
      <c r="W242" s="89">
        <v>-0.13058268529517469</v>
      </c>
    </row>
    <row r="243" spans="7:23">
      <c r="G243" s="114">
        <v>43907</v>
      </c>
      <c r="H243" s="88">
        <v>-2.7860188462124607E-2</v>
      </c>
      <c r="I243" s="88">
        <v>9.1423062152902346E-3</v>
      </c>
      <c r="J243" s="88">
        <v>3.1908668453828774E-2</v>
      </c>
      <c r="K243" s="88">
        <v>-1.9486887673496735E-2</v>
      </c>
      <c r="L243" s="88">
        <v>-0.11122563511022437</v>
      </c>
      <c r="M243" s="88">
        <v>9.2142224571973436E-2</v>
      </c>
      <c r="N243" s="88">
        <v>-2.2446698538238618E-3</v>
      </c>
      <c r="O243" s="88">
        <v>9.4051130220314041E-2</v>
      </c>
      <c r="P243" s="88">
        <v>0.10251556352559499</v>
      </c>
      <c r="Q243" s="88">
        <v>1.5267472130788381E-2</v>
      </c>
      <c r="R243" s="88">
        <v>0.13663430840492727</v>
      </c>
      <c r="S243" s="88">
        <v>4.4032270150503344E-2</v>
      </c>
      <c r="T243" s="88">
        <v>-2.6668247082161294E-2</v>
      </c>
      <c r="U243" s="88">
        <v>5.5151820075080064E-2</v>
      </c>
      <c r="V243" s="88">
        <v>7.0092376820368341E-2</v>
      </c>
      <c r="W243" s="89">
        <v>1.5445746157204206E-2</v>
      </c>
    </row>
    <row r="244" spans="7:23">
      <c r="G244" s="114">
        <v>43908</v>
      </c>
      <c r="H244" s="88">
        <v>0</v>
      </c>
      <c r="I244" s="88">
        <v>7.2270862022831797E-2</v>
      </c>
      <c r="J244" s="88">
        <v>-2.7651531330510008E-2</v>
      </c>
      <c r="K244" s="88">
        <v>8.9405459688071415E-4</v>
      </c>
      <c r="L244" s="88">
        <v>-5.1293294387550578E-2</v>
      </c>
      <c r="M244" s="88">
        <v>3.0659196218349827E-3</v>
      </c>
      <c r="N244" s="88">
        <v>4.9325066562501491E-2</v>
      </c>
      <c r="O244" s="88">
        <v>2.0265697459583142E-2</v>
      </c>
      <c r="P244" s="88">
        <v>4.0206420478040607E-2</v>
      </c>
      <c r="Q244" s="88">
        <v>-3.8614836127779543E-2</v>
      </c>
      <c r="R244" s="88">
        <v>-4.057102200042869E-2</v>
      </c>
      <c r="S244" s="88">
        <v>-5.0483905431992097E-2</v>
      </c>
      <c r="T244" s="88">
        <v>2.139118998131756E-2</v>
      </c>
      <c r="U244" s="88">
        <v>-2.9705154413915694E-2</v>
      </c>
      <c r="V244" s="88">
        <v>-5.5350095083164956E-2</v>
      </c>
      <c r="W244" s="89">
        <v>-9.3742070529222454E-3</v>
      </c>
    </row>
    <row r="245" spans="7:23">
      <c r="G245" s="114">
        <v>43909</v>
      </c>
      <c r="H245" s="88">
        <v>7.8638181243700395E-2</v>
      </c>
      <c r="I245" s="88">
        <v>0.12703624113686673</v>
      </c>
      <c r="J245" s="88">
        <v>5.5363166038848069E-2</v>
      </c>
      <c r="K245" s="88">
        <v>5.9835791610665046E-2</v>
      </c>
      <c r="L245" s="88">
        <v>5.1293294387550481E-2</v>
      </c>
      <c r="M245" s="88">
        <v>-1.4388737452099669E-2</v>
      </c>
      <c r="N245" s="88">
        <v>0.14970997120519366</v>
      </c>
      <c r="O245" s="88">
        <v>3.9339414560032294E-2</v>
      </c>
      <c r="P245" s="88">
        <v>0.12051602451245237</v>
      </c>
      <c r="Q245" s="88">
        <v>3.8614836127779516E-2</v>
      </c>
      <c r="R245" s="88">
        <v>5.2547213047144305E-2</v>
      </c>
      <c r="S245" s="88">
        <v>1.9231361927887592E-2</v>
      </c>
      <c r="T245" s="88">
        <v>4.1456713678346128E-2</v>
      </c>
      <c r="U245" s="88">
        <v>-4.3652630157736759E-2</v>
      </c>
      <c r="V245" s="88">
        <v>1.6129381929883717E-2</v>
      </c>
      <c r="W245" s="89">
        <v>7.4967940254585808E-2</v>
      </c>
    </row>
    <row r="246" spans="7:23">
      <c r="G246" s="114">
        <v>43910</v>
      </c>
      <c r="H246" s="88">
        <v>6.4266449308930787E-2</v>
      </c>
      <c r="I246" s="88">
        <v>3.2789822822990755E-2</v>
      </c>
      <c r="J246" s="88">
        <v>5.6264838586137844E-2</v>
      </c>
      <c r="K246" s="88">
        <v>-4.6520015634892928E-2</v>
      </c>
      <c r="L246" s="88">
        <v>7.0951735972284394E-2</v>
      </c>
      <c r="M246" s="88">
        <v>5.0464793925909121E-2</v>
      </c>
      <c r="N246" s="88">
        <v>5.3776396780804203E-2</v>
      </c>
      <c r="O246" s="88">
        <v>6.3239458135917179E-2</v>
      </c>
      <c r="P246" s="88">
        <v>-1.1713164663653203E-2</v>
      </c>
      <c r="Q246" s="88">
        <v>0.11441035117774431</v>
      </c>
      <c r="R246" s="88">
        <v>-1.438873745209978E-2</v>
      </c>
      <c r="S246" s="88">
        <v>4.6520015634892907E-2</v>
      </c>
      <c r="T246" s="88">
        <v>5.4334350963329517E-2</v>
      </c>
      <c r="U246" s="88">
        <v>0.18406980898748401</v>
      </c>
      <c r="V246" s="88">
        <v>0</v>
      </c>
      <c r="W246" s="89">
        <v>5.5251829514308799E-2</v>
      </c>
    </row>
    <row r="247" spans="7:23">
      <c r="G247" s="114">
        <v>43913</v>
      </c>
      <c r="H247" s="88">
        <v>-8.5157808340306951E-2</v>
      </c>
      <c r="I247" s="88">
        <v>-3.2789822822990838E-2</v>
      </c>
      <c r="J247" s="88">
        <v>-7.5745974157960277E-2</v>
      </c>
      <c r="K247" s="88">
        <v>-0.13176927763112334</v>
      </c>
      <c r="L247" s="88">
        <v>-0.14732471475685843</v>
      </c>
      <c r="M247" s="88">
        <v>-5.6695343676545294E-2</v>
      </c>
      <c r="N247" s="88">
        <v>-7.800871016857211E-2</v>
      </c>
      <c r="O247" s="88">
        <v>-2.96841582877003E-2</v>
      </c>
      <c r="P247" s="88">
        <v>-5.9152951204978488E-2</v>
      </c>
      <c r="Q247" s="88">
        <v>-7.2861348264871839E-2</v>
      </c>
      <c r="R247" s="88">
        <v>-8.8329768742887962E-2</v>
      </c>
      <c r="S247" s="88">
        <v>-4.6520015634892817E-2</v>
      </c>
      <c r="T247" s="88">
        <v>-7.7441925973479139E-2</v>
      </c>
      <c r="U247" s="88">
        <v>-0.17362584982640072</v>
      </c>
      <c r="V247" s="88">
        <v>0</v>
      </c>
      <c r="W247" s="89">
        <v>-7.8790032448388878E-2</v>
      </c>
    </row>
    <row r="248" spans="7:23">
      <c r="G248" s="114">
        <v>43914</v>
      </c>
      <c r="H248" s="88">
        <v>8.770558041910545E-2</v>
      </c>
      <c r="I248" s="88">
        <v>4.0400853221126694E-2</v>
      </c>
      <c r="J248" s="88">
        <v>7.4985806884562814E-2</v>
      </c>
      <c r="K248" s="88">
        <v>0.13967445713823656</v>
      </c>
      <c r="L248" s="88">
        <v>8.2238098236972215E-2</v>
      </c>
      <c r="M248" s="88">
        <v>0.11592946700706044</v>
      </c>
      <c r="N248" s="88">
        <v>3.7041271680349076E-2</v>
      </c>
      <c r="O248" s="88">
        <v>5.5802481428812709E-2</v>
      </c>
      <c r="P248" s="88">
        <v>3.8318864302136602E-2</v>
      </c>
      <c r="Q248" s="88">
        <v>2.9027596579614102E-3</v>
      </c>
      <c r="R248" s="88">
        <v>7.2504727598491164E-2</v>
      </c>
      <c r="S248" s="88">
        <v>9.0971778205726786E-2</v>
      </c>
      <c r="T248" s="88">
        <v>8.7011376989629699E-2</v>
      </c>
      <c r="U248" s="88">
        <v>3.8221212820197671E-2</v>
      </c>
      <c r="V248" s="88">
        <v>2.3716526617316065E-2</v>
      </c>
      <c r="W248" s="89">
        <v>7.3950643455459292E-2</v>
      </c>
    </row>
    <row r="249" spans="7:23">
      <c r="G249" s="114">
        <v>43916</v>
      </c>
      <c r="H249" s="88">
        <v>-2.3167059281534303E-2</v>
      </c>
      <c r="I249" s="88">
        <v>1.0892441166423754E-2</v>
      </c>
      <c r="J249" s="88">
        <v>7.3292865465473062E-2</v>
      </c>
      <c r="K249" s="88">
        <v>8.4675609504313992E-2</v>
      </c>
      <c r="L249" s="88">
        <v>0.20067069546215105</v>
      </c>
      <c r="M249" s="88">
        <v>5.5920789919598687E-2</v>
      </c>
      <c r="N249" s="88">
        <v>-5.4168236473149695E-2</v>
      </c>
      <c r="O249" s="91">
        <v>-2.7173929765000266E-3</v>
      </c>
      <c r="P249" s="88">
        <v>1.1958288988873576E-2</v>
      </c>
      <c r="Q249" s="88">
        <v>2.0086758566737292E-2</v>
      </c>
      <c r="R249" s="88">
        <v>1.2195273093818206E-2</v>
      </c>
      <c r="S249" s="88">
        <v>-8.7336799687546662E-3</v>
      </c>
      <c r="T249" s="88">
        <v>9.4787439545437387E-3</v>
      </c>
      <c r="U249" s="88">
        <v>3.9220713153281329E-2</v>
      </c>
      <c r="V249" s="88">
        <v>1.5504186535965254E-2</v>
      </c>
      <c r="W249" s="89">
        <v>3.7133418925129419E-2</v>
      </c>
    </row>
    <row r="250" spans="7:23">
      <c r="G250" s="115">
        <v>43917</v>
      </c>
      <c r="H250" s="91">
        <v>-6.4260781932897318E-2</v>
      </c>
      <c r="I250" s="91">
        <v>-7.3467151881872514E-2</v>
      </c>
      <c r="J250" s="91">
        <v>-2.070763032748954E-2</v>
      </c>
      <c r="K250" s="91">
        <v>-2.7711634708337929E-2</v>
      </c>
      <c r="L250" s="91">
        <v>-5.1545151837565764E-2</v>
      </c>
      <c r="M250" s="91">
        <v>-2.1277398447284965E-2</v>
      </c>
      <c r="N250" s="91">
        <v>5.7416425676751828E-3</v>
      </c>
      <c r="O250">
        <v>-2.3400930164612473E-2</v>
      </c>
      <c r="P250" s="91">
        <v>-2.9761926730461127E-3</v>
      </c>
      <c r="Q250" s="91">
        <v>5.6657375356772999E-3</v>
      </c>
      <c r="R250" s="91">
        <v>-3.20224405684063E-2</v>
      </c>
      <c r="S250" s="91">
        <v>-4.1797128678461477E-2</v>
      </c>
      <c r="T250" s="91">
        <v>-3.8466280827796052E-2</v>
      </c>
      <c r="U250" s="91">
        <v>-2.1872074818668215E-2</v>
      </c>
      <c r="V250" s="91">
        <v>-2.0202707317519466E-2</v>
      </c>
      <c r="W250" s="92">
        <v>-4.0033810698239455E-2</v>
      </c>
    </row>
    <row r="251" spans="7:23">
      <c r="W251" s="43"/>
    </row>
  </sheetData>
  <mergeCells count="1">
    <mergeCell ref="A1:C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2842C-F8AF-4207-AD65-7F3519D4224E}">
  <sheetPr>
    <tabColor theme="5" tint="0.59999389629810485"/>
  </sheetPr>
  <dimension ref="A1:O102"/>
  <sheetViews>
    <sheetView zoomScale="93" zoomScaleNormal="93" workbookViewId="0">
      <selection activeCell="F13" sqref="F13"/>
    </sheetView>
  </sheetViews>
  <sheetFormatPr baseColWidth="10" defaultColWidth="8.83203125" defaultRowHeight="15"/>
  <cols>
    <col min="2" max="2" width="12.1640625" bestFit="1" customWidth="1"/>
    <col min="3" max="3" width="9" bestFit="1" customWidth="1"/>
    <col min="4" max="4" width="10.1640625" bestFit="1" customWidth="1"/>
    <col min="7" max="7" width="10.33203125" bestFit="1" customWidth="1"/>
    <col min="8" max="8" width="9.33203125" bestFit="1" customWidth="1"/>
    <col min="11" max="11" width="18" bestFit="1" customWidth="1"/>
    <col min="12" max="12" width="9.6640625" bestFit="1" customWidth="1"/>
    <col min="13" max="13" width="8.83203125" bestFit="1" customWidth="1"/>
  </cols>
  <sheetData>
    <row r="1" spans="1:15" ht="16">
      <c r="A1" s="391" t="s">
        <v>124</v>
      </c>
      <c r="B1" s="391"/>
      <c r="C1" s="391"/>
      <c r="D1" s="391"/>
      <c r="E1" s="391"/>
      <c r="F1" s="391"/>
      <c r="J1" s="138"/>
      <c r="K1" s="138"/>
      <c r="L1" s="138"/>
      <c r="M1" s="138"/>
      <c r="N1" s="138"/>
      <c r="O1" s="138"/>
    </row>
    <row r="2" spans="1:15">
      <c r="A2" s="118" t="s">
        <v>132</v>
      </c>
      <c r="B2" s="119">
        <v>2017</v>
      </c>
      <c r="C2" s="118">
        <v>2018</v>
      </c>
      <c r="D2" s="118">
        <v>2019</v>
      </c>
      <c r="E2" s="118" t="s">
        <v>139</v>
      </c>
      <c r="F2" s="118" t="s">
        <v>128</v>
      </c>
      <c r="J2" s="150"/>
      <c r="K2" s="151"/>
      <c r="L2" s="150"/>
      <c r="M2" s="150"/>
      <c r="N2" s="150"/>
      <c r="O2" s="150"/>
    </row>
    <row r="3" spans="1:15">
      <c r="A3" s="116" t="s">
        <v>6</v>
      </c>
      <c r="B3" s="135">
        <f>2286000/1896000</f>
        <v>1.2056962025316456</v>
      </c>
      <c r="C3" s="135">
        <f>2438000/2019000</f>
        <v>1.2075284794452699</v>
      </c>
      <c r="D3" s="135">
        <f>3076300/2667200</f>
        <v>1.1533818236352729</v>
      </c>
      <c r="E3" s="135">
        <f>AVERAGE(B3:D3)</f>
        <v>1.1888688352040628</v>
      </c>
      <c r="F3" s="127">
        <f>IF(E3&gt;=1,1,0)</f>
        <v>1</v>
      </c>
      <c r="H3" s="122"/>
      <c r="J3" s="149"/>
      <c r="K3" s="139"/>
      <c r="L3" s="139"/>
      <c r="M3" s="139"/>
      <c r="N3" s="140"/>
      <c r="O3" s="140"/>
    </row>
    <row r="4" spans="1:15">
      <c r="A4" s="116" t="s">
        <v>47</v>
      </c>
      <c r="B4" s="135">
        <f>726400000/1435200000</f>
        <v>0.50613154960981044</v>
      </c>
      <c r="C4" s="135">
        <f>818000000/1224300000</f>
        <v>0.66813689455198888</v>
      </c>
      <c r="D4" s="135">
        <f>1039.3/1679.7</f>
        <v>0.61874144192415304</v>
      </c>
      <c r="E4" s="135">
        <f>AVERAGE(B4:D4)</f>
        <v>0.59766996202865086</v>
      </c>
      <c r="F4" s="127">
        <f t="shared" ref="F4:F17" si="0">IF(E4&gt;=1,1,0)</f>
        <v>0</v>
      </c>
      <c r="J4" s="149"/>
      <c r="K4" s="141"/>
      <c r="L4" s="141"/>
      <c r="M4" s="141"/>
      <c r="N4" s="140"/>
      <c r="O4" s="140"/>
    </row>
    <row r="5" spans="1:15">
      <c r="A5" s="116" t="s">
        <v>43</v>
      </c>
      <c r="B5" s="135">
        <f>180454/358054</f>
        <v>0.50398543236495053</v>
      </c>
      <c r="C5" s="135">
        <f>170434/184019</f>
        <v>0.92617610138083573</v>
      </c>
      <c r="D5" s="135">
        <f>561636/202304</f>
        <v>2.7761981967731733</v>
      </c>
      <c r="E5" s="135">
        <f>AVERAGE(B5:D5)</f>
        <v>1.4021199101729866</v>
      </c>
      <c r="F5" s="127">
        <f t="shared" si="0"/>
        <v>1</v>
      </c>
      <c r="J5" s="149"/>
      <c r="K5" s="142"/>
      <c r="L5" s="143"/>
      <c r="M5" s="143"/>
      <c r="N5" s="140"/>
      <c r="O5" s="140"/>
    </row>
    <row r="6" spans="1:15">
      <c r="A6" s="116" t="s">
        <v>12</v>
      </c>
      <c r="B6" s="135">
        <f>467702983/107163191</f>
        <v>4.3643995539475862</v>
      </c>
      <c r="C6" s="135">
        <f>503625949/246273340</f>
        <v>2.0449876913189224</v>
      </c>
      <c r="D6" s="135">
        <f>613245164/100154948</f>
        <v>6.1229642293858513</v>
      </c>
      <c r="E6" s="135">
        <f>AVERAGE(B6:D6)</f>
        <v>4.1774504915507862</v>
      </c>
      <c r="F6" s="127">
        <f t="shared" si="0"/>
        <v>1</v>
      </c>
      <c r="J6" s="149"/>
      <c r="K6" s="144"/>
      <c r="L6" s="144"/>
      <c r="M6" s="144"/>
      <c r="N6" s="140"/>
      <c r="O6" s="140"/>
    </row>
    <row r="7" spans="1:15">
      <c r="A7" s="116" t="s">
        <v>8</v>
      </c>
      <c r="B7" s="135">
        <f>47386/27894</f>
        <v>1.698788269878827</v>
      </c>
      <c r="C7" s="135">
        <f>46206/34600</f>
        <v>1.3354335260115606</v>
      </c>
      <c r="D7" s="135">
        <f>49115/39888</f>
        <v>1.2313227035699961</v>
      </c>
      <c r="E7" s="135">
        <f>AVERAGE(B7:D7)</f>
        <v>1.4218481664867948</v>
      </c>
      <c r="F7" s="127">
        <f t="shared" si="0"/>
        <v>1</v>
      </c>
      <c r="J7" s="149"/>
      <c r="K7" s="144"/>
      <c r="L7" s="144"/>
      <c r="M7" s="145"/>
      <c r="N7" s="140"/>
      <c r="O7" s="140"/>
    </row>
    <row r="8" spans="1:15">
      <c r="A8" s="116" t="s">
        <v>14</v>
      </c>
      <c r="B8" s="135">
        <f>87554/137117</f>
        <v>0.63853497378151503</v>
      </c>
      <c r="C8" s="135">
        <f>39656/126502</f>
        <v>0.31348120978324451</v>
      </c>
      <c r="D8" s="135">
        <f>673512/178820</f>
        <v>3.7664243373224471</v>
      </c>
      <c r="E8" s="135">
        <f t="shared" ref="E8:E17" si="1">AVERAGE(B8:D8)</f>
        <v>1.5728135069624021</v>
      </c>
      <c r="F8" s="127">
        <f t="shared" si="0"/>
        <v>1</v>
      </c>
      <c r="J8" s="149"/>
      <c r="K8" s="144"/>
      <c r="L8" s="144"/>
      <c r="M8" s="144"/>
      <c r="N8" s="140"/>
      <c r="O8" s="140"/>
    </row>
    <row r="9" spans="1:15">
      <c r="A9" s="116" t="s">
        <v>111</v>
      </c>
      <c r="B9" s="135">
        <f>162582/59281</f>
        <v>2.7425650714394156</v>
      </c>
      <c r="C9" s="135">
        <f>138773/69015</f>
        <v>2.0107657755560386</v>
      </c>
      <c r="D9" s="135">
        <f>571203/401488</f>
        <v>1.4227150001992588</v>
      </c>
      <c r="E9" s="135">
        <f t="shared" si="1"/>
        <v>2.0586819490649044</v>
      </c>
      <c r="F9" s="127">
        <f t="shared" si="0"/>
        <v>1</v>
      </c>
      <c r="J9" s="149"/>
      <c r="K9" s="146"/>
      <c r="L9" s="146"/>
      <c r="M9" s="146"/>
      <c r="N9" s="140"/>
      <c r="O9" s="140"/>
    </row>
    <row r="10" spans="1:15">
      <c r="A10" s="116" t="s">
        <v>49</v>
      </c>
      <c r="B10" s="154">
        <f>176311/90817</f>
        <v>1.9413876256647984</v>
      </c>
      <c r="C10" s="154">
        <f>120444/111578</f>
        <v>1.0794601086235638</v>
      </c>
      <c r="D10" s="154">
        <f>127248/68936</f>
        <v>1.8458860392247882</v>
      </c>
      <c r="E10" s="135">
        <f t="shared" si="1"/>
        <v>1.6222445911710501</v>
      </c>
      <c r="F10" s="127">
        <f t="shared" si="0"/>
        <v>1</v>
      </c>
      <c r="J10" s="149"/>
      <c r="K10" s="144"/>
      <c r="L10" s="144"/>
      <c r="M10" s="144"/>
      <c r="N10" s="140"/>
      <c r="O10" s="140"/>
    </row>
    <row r="11" spans="1:15">
      <c r="A11" s="116" t="s">
        <v>37</v>
      </c>
      <c r="B11" s="136">
        <f>(547290/52765)</f>
        <v>10.372216431346537</v>
      </c>
      <c r="C11" s="137">
        <f>(605320/63383)</f>
        <v>9.5501948471987763</v>
      </c>
      <c r="D11" s="137">
        <f>(651410/98426)</f>
        <v>6.6182715949037858</v>
      </c>
      <c r="E11" s="135">
        <f t="shared" si="1"/>
        <v>8.8468942911496988</v>
      </c>
      <c r="F11" s="127">
        <f t="shared" si="0"/>
        <v>1</v>
      </c>
      <c r="G11" t="s">
        <v>141</v>
      </c>
      <c r="J11" s="149"/>
      <c r="K11" s="130"/>
      <c r="L11" s="130"/>
      <c r="M11" s="130"/>
      <c r="N11" s="140"/>
      <c r="O11" s="140"/>
    </row>
    <row r="12" spans="1:15">
      <c r="A12" s="116" t="s">
        <v>26</v>
      </c>
      <c r="B12" s="137">
        <f>(111446309/44405842)</f>
        <v>2.5097217839040189</v>
      </c>
      <c r="C12" s="137">
        <f>(111556492/41159307)</f>
        <v>2.7103588503081455</v>
      </c>
      <c r="D12" s="137">
        <f>(139064473/63689728)</f>
        <v>2.1834678427265382</v>
      </c>
      <c r="E12" s="135">
        <f t="shared" si="1"/>
        <v>2.4678494923129008</v>
      </c>
      <c r="F12" s="127">
        <f t="shared" si="0"/>
        <v>1</v>
      </c>
      <c r="J12" s="149"/>
      <c r="K12" s="130"/>
      <c r="L12" s="130"/>
      <c r="M12" s="130"/>
      <c r="N12" s="140"/>
      <c r="O12" s="140"/>
    </row>
    <row r="13" spans="1:15">
      <c r="A13" s="117" t="s">
        <v>45</v>
      </c>
      <c r="B13" s="137">
        <f>(90100075.63 /33349325.73)</f>
        <v>2.7017060662473549</v>
      </c>
      <c r="C13" s="137">
        <f>(99873195.83/49267425.57)</f>
        <v>2.0271649000230072</v>
      </c>
      <c r="D13" s="137">
        <f>(121920572.37/37909072.67)</f>
        <v>3.2161317537710161</v>
      </c>
      <c r="E13" s="135">
        <f t="shared" si="1"/>
        <v>2.6483342400137926</v>
      </c>
      <c r="F13" s="127">
        <f t="shared" si="0"/>
        <v>1</v>
      </c>
      <c r="J13" s="152"/>
      <c r="K13" s="130"/>
      <c r="L13" s="130"/>
      <c r="M13" s="130"/>
      <c r="N13" s="140"/>
      <c r="O13" s="140"/>
    </row>
    <row r="14" spans="1:15">
      <c r="A14" s="117" t="s">
        <v>65</v>
      </c>
      <c r="B14" s="137">
        <f>(7613/1481)</f>
        <v>5.1404456448345712</v>
      </c>
      <c r="C14" s="137">
        <f>(5916/826)</f>
        <v>7.1622276029055687</v>
      </c>
      <c r="D14" s="137">
        <f>(3100/1041)</f>
        <v>2.9779058597502401</v>
      </c>
      <c r="E14" s="135">
        <f t="shared" si="1"/>
        <v>5.0935263691634605</v>
      </c>
      <c r="F14" s="127">
        <f t="shared" si="0"/>
        <v>1</v>
      </c>
      <c r="J14" s="152"/>
      <c r="K14" s="130"/>
      <c r="L14" s="130"/>
      <c r="M14" s="130"/>
      <c r="N14" s="140"/>
      <c r="O14" s="140"/>
    </row>
    <row r="15" spans="1:15">
      <c r="A15" s="116" t="s">
        <v>85</v>
      </c>
      <c r="B15" s="137">
        <f>(100471669.43/11658189.52)</f>
        <v>8.6181194136222974</v>
      </c>
      <c r="C15" s="137">
        <f>(101630441.17/13961931.16)</f>
        <v>7.2791106047825549</v>
      </c>
      <c r="D15" s="137">
        <f>(107194/21174 )</f>
        <v>5.0625295173325773</v>
      </c>
      <c r="E15" s="135">
        <f t="shared" si="1"/>
        <v>6.9865865119124768</v>
      </c>
      <c r="F15" s="127">
        <f t="shared" si="0"/>
        <v>1</v>
      </c>
      <c r="G15" t="s">
        <v>141</v>
      </c>
      <c r="J15" s="149"/>
      <c r="K15" s="130"/>
      <c r="L15" s="130"/>
      <c r="M15" s="130"/>
      <c r="N15" s="140"/>
      <c r="O15" s="140"/>
    </row>
    <row r="16" spans="1:15">
      <c r="A16" s="117" t="s">
        <v>55</v>
      </c>
      <c r="B16" s="135">
        <f>55534693/168538505</f>
        <v>0.32950744994445036</v>
      </c>
      <c r="C16" s="135">
        <f>63957473/192757835</f>
        <v>0.33180219626351376</v>
      </c>
      <c r="D16" s="135">
        <f>66688997/159938390</f>
        <v>0.41696678952439126</v>
      </c>
      <c r="E16" s="135">
        <f t="shared" si="1"/>
        <v>0.35942547857745177</v>
      </c>
      <c r="F16" s="127">
        <f t="shared" si="0"/>
        <v>0</v>
      </c>
      <c r="J16" s="152"/>
      <c r="K16" s="144"/>
      <c r="L16" s="147"/>
      <c r="M16" s="147"/>
      <c r="N16" s="140"/>
      <c r="O16" s="140"/>
    </row>
    <row r="17" spans="1:15">
      <c r="A17" s="117" t="s">
        <v>71</v>
      </c>
      <c r="B17" s="135">
        <f>78998409.02/26285430.94</f>
        <v>3.0054066528459962</v>
      </c>
      <c r="C17" s="135">
        <f>50551958.81/16613269.95</f>
        <v>3.0428662726930531</v>
      </c>
      <c r="D17" s="135">
        <f>180670356.9/20531318.79</f>
        <v>8.7997443684911971</v>
      </c>
      <c r="E17" s="135">
        <f t="shared" si="1"/>
        <v>4.949339098010082</v>
      </c>
      <c r="F17" s="127">
        <f t="shared" si="0"/>
        <v>1</v>
      </c>
      <c r="G17" t="s">
        <v>141</v>
      </c>
      <c r="J17" s="152"/>
      <c r="K17" s="148"/>
      <c r="L17" s="148"/>
      <c r="M17" s="144"/>
      <c r="N17" s="140"/>
      <c r="O17" s="140"/>
    </row>
    <row r="18" spans="1:15">
      <c r="J18" s="149"/>
      <c r="K18" s="140"/>
      <c r="L18" s="140"/>
      <c r="M18" s="140"/>
      <c r="N18" s="140"/>
      <c r="O18" s="140"/>
    </row>
    <row r="19" spans="1:15">
      <c r="J19" s="149"/>
      <c r="K19" s="140"/>
      <c r="L19" s="140"/>
      <c r="M19" s="140"/>
      <c r="N19" s="140"/>
      <c r="O19" s="140"/>
    </row>
    <row r="20" spans="1:15">
      <c r="J20" s="149"/>
      <c r="K20" s="140"/>
      <c r="L20" s="140"/>
      <c r="M20" s="140"/>
      <c r="N20" s="140"/>
      <c r="O20" s="140"/>
    </row>
    <row r="21" spans="1:15">
      <c r="J21" s="149"/>
      <c r="K21" s="140"/>
      <c r="L21" s="140"/>
      <c r="M21" s="140"/>
      <c r="N21" s="140"/>
      <c r="O21" s="140"/>
    </row>
    <row r="22" spans="1:15">
      <c r="J22" s="149"/>
      <c r="K22" s="140"/>
      <c r="L22" s="140"/>
      <c r="M22" s="140"/>
      <c r="N22" s="140"/>
      <c r="O22" s="140"/>
    </row>
    <row r="23" spans="1:15">
      <c r="J23" s="140"/>
      <c r="K23" s="140"/>
      <c r="L23" s="140"/>
      <c r="M23" s="140"/>
      <c r="N23" s="140"/>
      <c r="O23" s="140"/>
    </row>
    <row r="24" spans="1:15">
      <c r="J24" s="140"/>
      <c r="K24" s="140"/>
      <c r="L24" s="140"/>
      <c r="M24" s="140"/>
      <c r="N24" s="140"/>
      <c r="O24" s="140"/>
    </row>
    <row r="25" spans="1:15">
      <c r="J25" s="140"/>
      <c r="K25" s="140"/>
      <c r="L25" s="140"/>
      <c r="M25" s="140"/>
      <c r="N25" s="140"/>
      <c r="O25" s="140"/>
    </row>
    <row r="26" spans="1:15">
      <c r="J26" s="140"/>
      <c r="K26" s="140"/>
      <c r="L26" s="140"/>
      <c r="M26" s="140"/>
      <c r="N26" s="140"/>
      <c r="O26" s="140"/>
    </row>
    <row r="27" spans="1:15">
      <c r="J27" s="140"/>
      <c r="K27" s="140"/>
      <c r="L27" s="140"/>
      <c r="M27" s="140"/>
      <c r="N27" s="140"/>
      <c r="O27" s="140"/>
    </row>
    <row r="28" spans="1:15">
      <c r="J28" s="140"/>
      <c r="K28" s="140"/>
      <c r="L28" s="140"/>
      <c r="M28" s="140"/>
      <c r="N28" s="140"/>
      <c r="O28" s="140"/>
    </row>
    <row r="29" spans="1:15">
      <c r="J29" s="140"/>
      <c r="K29" s="140"/>
      <c r="L29" s="140"/>
      <c r="M29" s="140"/>
      <c r="N29" s="140"/>
      <c r="O29" s="140"/>
    </row>
    <row r="30" spans="1:15">
      <c r="J30" s="140"/>
      <c r="K30" s="140"/>
      <c r="L30" s="140"/>
      <c r="M30" s="140"/>
      <c r="N30" s="140"/>
      <c r="O30" s="140"/>
    </row>
    <row r="31" spans="1:15">
      <c r="J31" s="140"/>
      <c r="K31" s="140"/>
      <c r="L31" s="140"/>
      <c r="M31" s="140"/>
      <c r="N31" s="140"/>
      <c r="O31" s="140"/>
    </row>
    <row r="32" spans="1:15">
      <c r="J32" s="140"/>
      <c r="K32" s="140"/>
      <c r="L32" s="140"/>
      <c r="M32" s="140"/>
      <c r="N32" s="140"/>
      <c r="O32" s="140"/>
    </row>
    <row r="33" spans="10:15">
      <c r="J33" s="140"/>
      <c r="K33" s="140"/>
      <c r="L33" s="140"/>
      <c r="M33" s="140"/>
      <c r="N33" s="140"/>
      <c r="O33" s="140"/>
    </row>
    <row r="34" spans="10:15">
      <c r="J34" s="140"/>
      <c r="K34" s="140"/>
      <c r="L34" s="140"/>
      <c r="M34" s="140"/>
      <c r="N34" s="140"/>
      <c r="O34" s="140"/>
    </row>
    <row r="35" spans="10:15">
      <c r="J35" s="140"/>
      <c r="K35" s="140"/>
      <c r="L35" s="140"/>
      <c r="M35" s="140"/>
      <c r="N35" s="140"/>
      <c r="O35" s="140"/>
    </row>
    <row r="36" spans="10:15">
      <c r="J36" s="140"/>
      <c r="K36" s="140"/>
      <c r="L36" s="140"/>
      <c r="M36" s="140"/>
      <c r="N36" s="140"/>
      <c r="O36" s="140"/>
    </row>
    <row r="37" spans="10:15">
      <c r="J37" s="140"/>
      <c r="K37" s="140"/>
      <c r="L37" s="140"/>
      <c r="M37" s="140"/>
      <c r="N37" s="140"/>
      <c r="O37" s="140"/>
    </row>
    <row r="38" spans="10:15">
      <c r="J38" s="140"/>
      <c r="K38" s="140"/>
      <c r="L38" s="140"/>
      <c r="M38" s="140"/>
      <c r="N38" s="140"/>
      <c r="O38" s="140"/>
    </row>
    <row r="39" spans="10:15">
      <c r="J39" s="140"/>
      <c r="K39" s="140"/>
      <c r="L39" s="140"/>
      <c r="M39" s="140"/>
      <c r="N39" s="140"/>
      <c r="O39" s="140"/>
    </row>
    <row r="40" spans="10:15">
      <c r="J40" s="140"/>
      <c r="K40" s="140"/>
      <c r="L40" s="140"/>
      <c r="M40" s="140"/>
      <c r="N40" s="140"/>
      <c r="O40" s="140"/>
    </row>
    <row r="41" spans="10:15">
      <c r="J41" s="140"/>
      <c r="K41" s="140"/>
      <c r="L41" s="140"/>
      <c r="M41" s="140"/>
      <c r="N41" s="140"/>
      <c r="O41" s="140"/>
    </row>
    <row r="42" spans="10:15">
      <c r="J42" s="140"/>
      <c r="K42" s="140"/>
      <c r="L42" s="140"/>
      <c r="M42" s="140"/>
      <c r="N42" s="140"/>
      <c r="O42" s="140"/>
    </row>
    <row r="43" spans="10:15">
      <c r="J43" s="140"/>
      <c r="K43" s="140"/>
      <c r="L43" s="140"/>
      <c r="M43" s="140"/>
      <c r="N43" s="140"/>
      <c r="O43" s="140"/>
    </row>
    <row r="44" spans="10:15">
      <c r="J44" s="140"/>
      <c r="K44" s="140"/>
      <c r="L44" s="140"/>
      <c r="M44" s="140"/>
      <c r="N44" s="140"/>
      <c r="O44" s="140"/>
    </row>
    <row r="45" spans="10:15">
      <c r="J45" s="140"/>
      <c r="K45" s="140"/>
      <c r="L45" s="140"/>
      <c r="M45" s="140"/>
      <c r="N45" s="140"/>
      <c r="O45" s="140"/>
    </row>
    <row r="46" spans="10:15">
      <c r="J46" s="140"/>
      <c r="K46" s="140"/>
      <c r="L46" s="140"/>
      <c r="M46" s="140"/>
      <c r="N46" s="140"/>
      <c r="O46" s="140"/>
    </row>
    <row r="47" spans="10:15">
      <c r="J47" s="140"/>
      <c r="K47" s="140"/>
      <c r="L47" s="140"/>
      <c r="M47" s="140"/>
      <c r="N47" s="140"/>
      <c r="O47" s="140"/>
    </row>
    <row r="48" spans="10:15">
      <c r="J48" s="140"/>
      <c r="K48" s="140"/>
      <c r="L48" s="140"/>
      <c r="M48" s="140"/>
      <c r="N48" s="140"/>
      <c r="O48" s="140"/>
    </row>
    <row r="49" spans="10:15">
      <c r="J49" s="140"/>
      <c r="K49" s="140"/>
      <c r="L49" s="140"/>
      <c r="M49" s="140"/>
      <c r="N49" s="140"/>
      <c r="O49" s="140"/>
    </row>
    <row r="50" spans="10:15">
      <c r="J50" s="140"/>
      <c r="K50" s="140"/>
      <c r="L50" s="140"/>
      <c r="M50" s="140"/>
      <c r="N50" s="140"/>
      <c r="O50" s="140"/>
    </row>
    <row r="51" spans="10:15">
      <c r="J51" s="140"/>
      <c r="K51" s="140"/>
      <c r="L51" s="140"/>
      <c r="M51" s="140"/>
      <c r="N51" s="140"/>
      <c r="O51" s="140"/>
    </row>
    <row r="52" spans="10:15">
      <c r="J52" s="140"/>
      <c r="K52" s="140"/>
      <c r="L52" s="140"/>
      <c r="M52" s="140"/>
      <c r="N52" s="140"/>
      <c r="O52" s="140"/>
    </row>
    <row r="53" spans="10:15">
      <c r="J53" s="140"/>
      <c r="K53" s="140"/>
      <c r="L53" s="140"/>
      <c r="M53" s="140"/>
      <c r="N53" s="140"/>
      <c r="O53" s="140"/>
    </row>
    <row r="54" spans="10:15">
      <c r="J54" s="140"/>
      <c r="K54" s="140"/>
      <c r="L54" s="140"/>
      <c r="M54" s="140"/>
      <c r="N54" s="140"/>
      <c r="O54" s="140"/>
    </row>
    <row r="55" spans="10:15">
      <c r="J55" s="140"/>
      <c r="K55" s="140"/>
      <c r="L55" s="140"/>
      <c r="M55" s="140"/>
      <c r="N55" s="140"/>
      <c r="O55" s="140"/>
    </row>
    <row r="56" spans="10:15">
      <c r="J56" s="140"/>
      <c r="K56" s="140"/>
      <c r="L56" s="140"/>
      <c r="M56" s="140"/>
      <c r="N56" s="140"/>
      <c r="O56" s="140"/>
    </row>
    <row r="57" spans="10:15">
      <c r="J57" s="140"/>
      <c r="K57" s="140"/>
      <c r="L57" s="140"/>
      <c r="M57" s="140"/>
      <c r="N57" s="140"/>
      <c r="O57" s="140"/>
    </row>
    <row r="58" spans="10:15">
      <c r="J58" s="140"/>
      <c r="K58" s="140"/>
      <c r="L58" s="140"/>
      <c r="M58" s="140"/>
      <c r="N58" s="140"/>
      <c r="O58" s="140"/>
    </row>
    <row r="59" spans="10:15">
      <c r="J59" s="140"/>
      <c r="K59" s="140"/>
      <c r="L59" s="140"/>
      <c r="M59" s="140"/>
      <c r="N59" s="140"/>
      <c r="O59" s="140"/>
    </row>
    <row r="60" spans="10:15">
      <c r="J60" s="140"/>
      <c r="K60" s="140"/>
      <c r="L60" s="140"/>
      <c r="M60" s="140"/>
      <c r="N60" s="140"/>
      <c r="O60" s="140"/>
    </row>
    <row r="61" spans="10:15">
      <c r="J61" s="140"/>
      <c r="K61" s="140"/>
      <c r="L61" s="140"/>
      <c r="M61" s="140"/>
      <c r="N61" s="140"/>
      <c r="O61" s="140"/>
    </row>
    <row r="62" spans="10:15">
      <c r="J62" s="140"/>
      <c r="K62" s="140"/>
      <c r="L62" s="140"/>
      <c r="M62" s="140"/>
      <c r="N62" s="140"/>
      <c r="O62" s="140"/>
    </row>
    <row r="63" spans="10:15">
      <c r="J63" s="140"/>
      <c r="K63" s="140"/>
      <c r="L63" s="140"/>
      <c r="M63" s="140"/>
      <c r="N63" s="140"/>
      <c r="O63" s="140"/>
    </row>
    <row r="64" spans="10:15">
      <c r="J64" s="140"/>
      <c r="K64" s="140"/>
      <c r="L64" s="140"/>
      <c r="M64" s="140"/>
      <c r="N64" s="140"/>
      <c r="O64" s="140"/>
    </row>
    <row r="65" spans="10:15">
      <c r="J65" s="140"/>
      <c r="K65" s="140"/>
      <c r="L65" s="140"/>
      <c r="M65" s="140"/>
      <c r="N65" s="140"/>
      <c r="O65" s="140"/>
    </row>
    <row r="66" spans="10:15">
      <c r="J66" s="140"/>
      <c r="K66" s="140"/>
      <c r="L66" s="140"/>
      <c r="M66" s="140"/>
      <c r="N66" s="140"/>
      <c r="O66" s="140"/>
    </row>
    <row r="67" spans="10:15">
      <c r="J67" s="140"/>
      <c r="K67" s="140"/>
      <c r="L67" s="140"/>
      <c r="M67" s="140"/>
      <c r="N67" s="140"/>
      <c r="O67" s="140"/>
    </row>
    <row r="68" spans="10:15">
      <c r="J68" s="140"/>
      <c r="K68" s="140"/>
      <c r="L68" s="140"/>
      <c r="M68" s="140"/>
      <c r="N68" s="140"/>
      <c r="O68" s="140"/>
    </row>
    <row r="69" spans="10:15">
      <c r="J69" s="140"/>
      <c r="K69" s="140"/>
      <c r="L69" s="140"/>
      <c r="M69" s="140"/>
      <c r="N69" s="140"/>
      <c r="O69" s="140"/>
    </row>
    <row r="70" spans="10:15">
      <c r="J70" s="140"/>
      <c r="K70" s="140"/>
      <c r="L70" s="140"/>
      <c r="M70" s="140"/>
      <c r="N70" s="140"/>
      <c r="O70" s="140"/>
    </row>
    <row r="71" spans="10:15">
      <c r="J71" s="140"/>
      <c r="K71" s="140"/>
      <c r="L71" s="140"/>
      <c r="M71" s="140"/>
      <c r="N71" s="140"/>
      <c r="O71" s="140"/>
    </row>
    <row r="72" spans="10:15">
      <c r="J72" s="140"/>
      <c r="K72" s="140"/>
      <c r="L72" s="140"/>
      <c r="M72" s="140"/>
      <c r="N72" s="140"/>
      <c r="O72" s="140"/>
    </row>
    <row r="73" spans="10:15">
      <c r="J73" s="140"/>
      <c r="K73" s="140"/>
      <c r="L73" s="140"/>
      <c r="M73" s="140"/>
      <c r="N73" s="140"/>
      <c r="O73" s="140"/>
    </row>
    <row r="74" spans="10:15">
      <c r="J74" s="140"/>
      <c r="K74" s="140"/>
      <c r="L74" s="140"/>
      <c r="M74" s="140"/>
      <c r="N74" s="140"/>
      <c r="O74" s="140"/>
    </row>
    <row r="75" spans="10:15">
      <c r="J75" s="140"/>
      <c r="K75" s="140"/>
      <c r="L75" s="140"/>
      <c r="M75" s="140"/>
      <c r="N75" s="140"/>
      <c r="O75" s="140"/>
    </row>
    <row r="76" spans="10:15">
      <c r="J76" s="140"/>
      <c r="K76" s="140"/>
      <c r="L76" s="140"/>
      <c r="M76" s="140"/>
      <c r="N76" s="140"/>
      <c r="O76" s="140"/>
    </row>
    <row r="77" spans="10:15">
      <c r="J77" s="140"/>
      <c r="K77" s="140"/>
      <c r="L77" s="140"/>
      <c r="M77" s="140"/>
      <c r="N77" s="140"/>
      <c r="O77" s="140"/>
    </row>
    <row r="78" spans="10:15">
      <c r="J78" s="140"/>
      <c r="K78" s="140"/>
      <c r="L78" s="140"/>
      <c r="M78" s="140"/>
      <c r="N78" s="140"/>
      <c r="O78" s="140"/>
    </row>
    <row r="79" spans="10:15">
      <c r="J79" s="140"/>
      <c r="K79" s="140"/>
      <c r="L79" s="140"/>
      <c r="M79" s="140"/>
      <c r="N79" s="140"/>
      <c r="O79" s="140"/>
    </row>
    <row r="80" spans="10:15">
      <c r="J80" s="140"/>
      <c r="K80" s="140"/>
      <c r="L80" s="140"/>
      <c r="M80" s="140"/>
      <c r="N80" s="140"/>
      <c r="O80" s="140"/>
    </row>
    <row r="81" spans="10:15">
      <c r="J81" s="140"/>
      <c r="K81" s="140"/>
      <c r="L81" s="140"/>
      <c r="M81" s="140"/>
      <c r="N81" s="140"/>
      <c r="O81" s="140"/>
    </row>
    <row r="82" spans="10:15">
      <c r="J82" s="140"/>
      <c r="K82" s="140"/>
      <c r="L82" s="140"/>
      <c r="M82" s="140"/>
      <c r="N82" s="140"/>
      <c r="O82" s="140"/>
    </row>
    <row r="83" spans="10:15">
      <c r="J83" s="140"/>
      <c r="K83" s="140"/>
      <c r="L83" s="140"/>
      <c r="M83" s="140"/>
      <c r="N83" s="140"/>
      <c r="O83" s="140"/>
    </row>
    <row r="84" spans="10:15">
      <c r="J84" s="140"/>
      <c r="K84" s="140"/>
      <c r="L84" s="140"/>
      <c r="M84" s="140"/>
      <c r="N84" s="140"/>
      <c r="O84" s="140"/>
    </row>
    <row r="85" spans="10:15">
      <c r="J85" s="140"/>
      <c r="K85" s="140"/>
      <c r="L85" s="140"/>
      <c r="M85" s="140"/>
      <c r="N85" s="140"/>
      <c r="O85" s="140"/>
    </row>
    <row r="86" spans="10:15">
      <c r="J86" s="140"/>
      <c r="K86" s="140"/>
      <c r="L86" s="140"/>
      <c r="M86" s="140"/>
      <c r="N86" s="140"/>
      <c r="O86" s="140"/>
    </row>
    <row r="87" spans="10:15">
      <c r="J87" s="140"/>
      <c r="K87" s="140"/>
      <c r="L87" s="140"/>
      <c r="M87" s="140"/>
      <c r="N87" s="140"/>
      <c r="O87" s="140"/>
    </row>
    <row r="88" spans="10:15">
      <c r="J88" s="140"/>
      <c r="K88" s="140"/>
      <c r="L88" s="140"/>
      <c r="M88" s="140"/>
      <c r="N88" s="140"/>
      <c r="O88" s="140"/>
    </row>
    <row r="89" spans="10:15">
      <c r="J89" s="140"/>
      <c r="K89" s="140"/>
      <c r="L89" s="140"/>
      <c r="M89" s="140"/>
      <c r="N89" s="140"/>
      <c r="O89" s="140"/>
    </row>
    <row r="90" spans="10:15">
      <c r="J90" s="140"/>
      <c r="K90" s="140"/>
      <c r="L90" s="140"/>
      <c r="M90" s="140"/>
      <c r="N90" s="140"/>
      <c r="O90" s="140"/>
    </row>
    <row r="91" spans="10:15">
      <c r="J91" s="140"/>
      <c r="K91" s="140"/>
      <c r="L91" s="140"/>
      <c r="M91" s="140"/>
      <c r="N91" s="140"/>
      <c r="O91" s="140"/>
    </row>
    <row r="92" spans="10:15">
      <c r="J92" s="140"/>
      <c r="K92" s="140"/>
      <c r="L92" s="140"/>
      <c r="M92" s="140"/>
      <c r="N92" s="140"/>
      <c r="O92" s="140"/>
    </row>
    <row r="93" spans="10:15">
      <c r="J93" s="140"/>
      <c r="K93" s="140"/>
      <c r="L93" s="140"/>
      <c r="M93" s="140"/>
      <c r="N93" s="140"/>
      <c r="O93" s="140"/>
    </row>
    <row r="94" spans="10:15">
      <c r="J94" s="140"/>
      <c r="K94" s="140"/>
      <c r="L94" s="140"/>
      <c r="M94" s="140"/>
      <c r="N94" s="140"/>
      <c r="O94" s="140"/>
    </row>
    <row r="95" spans="10:15">
      <c r="J95" s="140"/>
      <c r="K95" s="140"/>
      <c r="L95" s="140"/>
      <c r="M95" s="140"/>
      <c r="N95" s="140"/>
      <c r="O95" s="140"/>
    </row>
    <row r="96" spans="10:15">
      <c r="J96" s="140"/>
      <c r="K96" s="140"/>
      <c r="L96" s="140"/>
      <c r="M96" s="140"/>
      <c r="N96" s="140"/>
      <c r="O96" s="140"/>
    </row>
    <row r="97" spans="10:15">
      <c r="J97" s="140"/>
      <c r="K97" s="140"/>
      <c r="L97" s="140"/>
      <c r="M97" s="140"/>
      <c r="N97" s="140"/>
      <c r="O97" s="140"/>
    </row>
    <row r="98" spans="10:15">
      <c r="J98" s="140"/>
      <c r="K98" s="140"/>
      <c r="L98" s="140"/>
      <c r="M98" s="140"/>
      <c r="N98" s="140"/>
      <c r="O98" s="140"/>
    </row>
    <row r="99" spans="10:15">
      <c r="J99" s="140"/>
      <c r="K99" s="140"/>
      <c r="L99" s="140"/>
      <c r="M99" s="140"/>
      <c r="N99" s="140"/>
      <c r="O99" s="140"/>
    </row>
    <row r="100" spans="10:15">
      <c r="J100" s="140"/>
      <c r="K100" s="140"/>
      <c r="L100" s="140"/>
      <c r="M100" s="140"/>
      <c r="N100" s="140"/>
      <c r="O100" s="140"/>
    </row>
    <row r="101" spans="10:15">
      <c r="J101" s="140"/>
      <c r="K101" s="140"/>
      <c r="L101" s="140"/>
      <c r="M101" s="140"/>
      <c r="N101" s="140"/>
      <c r="O101" s="140"/>
    </row>
    <row r="102" spans="10:15">
      <c r="J102" s="140"/>
      <c r="K102" s="140"/>
      <c r="L102" s="140"/>
      <c r="M102" s="140"/>
      <c r="N102" s="140"/>
      <c r="O102" s="140"/>
    </row>
  </sheetData>
  <mergeCells count="1">
    <mergeCell ref="A1:F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BCA1-EEE5-41EB-BA6E-1ADACD6C4CEE}">
  <sheetPr>
    <tabColor theme="5" tint="0.59999389629810485"/>
  </sheetPr>
  <dimension ref="A1:J17"/>
  <sheetViews>
    <sheetView workbookViewId="0">
      <selection activeCell="F17" sqref="F17"/>
    </sheetView>
  </sheetViews>
  <sheetFormatPr baseColWidth="10" defaultColWidth="8.83203125" defaultRowHeight="15"/>
  <cols>
    <col min="5" max="5" width="9.6640625" bestFit="1" customWidth="1"/>
  </cols>
  <sheetData>
    <row r="1" spans="1:10" ht="16">
      <c r="A1" s="393" t="s">
        <v>140</v>
      </c>
      <c r="B1" s="394"/>
      <c r="C1" s="394"/>
      <c r="D1" s="394"/>
      <c r="E1" s="394"/>
      <c r="F1" s="394"/>
    </row>
    <row r="2" spans="1:10">
      <c r="A2" s="120" t="s">
        <v>132</v>
      </c>
      <c r="B2" s="121">
        <v>2017</v>
      </c>
      <c r="C2" s="120">
        <v>2018</v>
      </c>
      <c r="D2" s="120">
        <v>2019</v>
      </c>
      <c r="E2" s="120" t="s">
        <v>139</v>
      </c>
      <c r="F2" s="120" t="s">
        <v>128</v>
      </c>
    </row>
    <row r="3" spans="1:10">
      <c r="A3" s="1" t="s">
        <v>6</v>
      </c>
      <c r="B3" s="133">
        <f>3012.2/3618</f>
        <v>0.83255942509673853</v>
      </c>
      <c r="C3" s="133">
        <f>3116.4/3737.9</f>
        <v>0.83373016934642452</v>
      </c>
      <c r="D3" s="133">
        <f>2700.2/5513.8</f>
        <v>0.48971671079836043</v>
      </c>
      <c r="E3" s="133">
        <f>AVERAGE(B3:D3)</f>
        <v>0.71866876841384109</v>
      </c>
      <c r="F3" s="128">
        <f>IF(E3&gt;=1,1,0)</f>
        <v>0</v>
      </c>
      <c r="J3" s="153"/>
    </row>
    <row r="4" spans="1:10">
      <c r="A4" s="1" t="s">
        <v>47</v>
      </c>
      <c r="B4" s="133">
        <f>2958.2/(5924.7-2958.2)</f>
        <v>0.99720209000505644</v>
      </c>
      <c r="C4" s="133">
        <f>2888.9/(5836.2-2888.9)</f>
        <v>0.98018525430054637</v>
      </c>
      <c r="D4" s="133">
        <f>3154.6/(6371.5-3154.6)</f>
        <v>0.98063352917404945</v>
      </c>
      <c r="E4" s="133">
        <f>AVERAGE(B4:D4)</f>
        <v>0.98600695782655079</v>
      </c>
      <c r="F4" s="162">
        <f t="shared" ref="F4:F17" si="0">IF(E4&gt;=1,1,0)</f>
        <v>0</v>
      </c>
    </row>
    <row r="5" spans="1:10">
      <c r="A5" s="1" t="s">
        <v>43</v>
      </c>
      <c r="B5" s="133">
        <f>717023/874961</f>
        <v>0.81949138304450142</v>
      </c>
      <c r="C5" s="133">
        <f>717229/830644</f>
        <v>0.86346136250908934</v>
      </c>
      <c r="D5" s="133">
        <f>756579/1259892</f>
        <v>0.60051099618062498</v>
      </c>
      <c r="E5" s="133">
        <f>AVERAGE(B5:D5)</f>
        <v>0.76115458057807184</v>
      </c>
      <c r="F5" s="162">
        <f t="shared" si="0"/>
        <v>0</v>
      </c>
    </row>
    <row r="6" spans="1:10">
      <c r="A6" s="1" t="s">
        <v>12</v>
      </c>
      <c r="B6" s="133">
        <f>713516960/266381068</f>
        <v>2.6785573214985385</v>
      </c>
      <c r="C6" s="133">
        <f>752157290/261799092</f>
        <v>2.8730324626183195</v>
      </c>
      <c r="D6" s="133">
        <f>789069827/314470295</f>
        <v>2.5092030616119083</v>
      </c>
      <c r="E6" s="133">
        <f t="shared" ref="E6:E17" si="1">AVERAGE(B6:D6)</f>
        <v>2.6869309485762556</v>
      </c>
      <c r="F6" s="162">
        <f t="shared" si="0"/>
        <v>1</v>
      </c>
    </row>
    <row r="7" spans="1:10">
      <c r="A7" s="1" t="s">
        <v>8</v>
      </c>
      <c r="B7" s="133">
        <f>6442/45006</f>
        <v>0.1431364706927965</v>
      </c>
      <c r="C7" s="133">
        <f>4378/45897</f>
        <v>9.5387498093557316E-2</v>
      </c>
      <c r="D7" s="133">
        <f>5857/48989</f>
        <v>0.11955745167282451</v>
      </c>
      <c r="E7" s="133">
        <f t="shared" si="1"/>
        <v>0.11936047348639278</v>
      </c>
      <c r="F7" s="162">
        <f t="shared" si="0"/>
        <v>0</v>
      </c>
    </row>
    <row r="8" spans="1:10">
      <c r="A8" s="1" t="s">
        <v>14</v>
      </c>
      <c r="B8" s="133">
        <f>231589/178657</f>
        <v>1.296277223954281</v>
      </c>
      <c r="C8" s="133">
        <f>192442/180968</f>
        <v>1.0634034746474514</v>
      </c>
      <c r="D8" s="133">
        <f>824561/191547</f>
        <v>4.304745049517873</v>
      </c>
      <c r="E8" s="133">
        <f t="shared" si="1"/>
        <v>2.2214752493732015</v>
      </c>
      <c r="F8" s="162">
        <f t="shared" si="0"/>
        <v>1</v>
      </c>
    </row>
    <row r="9" spans="1:10">
      <c r="A9" s="1" t="s">
        <v>111</v>
      </c>
      <c r="B9" s="133">
        <f>744132/470726</f>
        <v>1.5808177156137542</v>
      </c>
      <c r="C9" s="133">
        <f>719662/397387</f>
        <v>1.8109852612189126</v>
      </c>
      <c r="D9" s="133">
        <f>1409791/1453628</f>
        <v>0.96984304099810958</v>
      </c>
      <c r="E9" s="133">
        <f t="shared" si="1"/>
        <v>1.4538820059435922</v>
      </c>
      <c r="F9" s="162">
        <f t="shared" si="0"/>
        <v>1</v>
      </c>
    </row>
    <row r="10" spans="1:10">
      <c r="A10" s="1" t="s">
        <v>49</v>
      </c>
      <c r="B10" s="154">
        <f>301447/356115</f>
        <v>0.84648779186498746</v>
      </c>
      <c r="C10" s="154">
        <f>290233/363725</f>
        <v>0.79794625060141589</v>
      </c>
      <c r="D10" s="154">
        <f>308027/400494</f>
        <v>0.76911763971495206</v>
      </c>
      <c r="E10" s="133">
        <f t="shared" si="1"/>
        <v>0.80451722739378517</v>
      </c>
      <c r="F10" s="162">
        <f t="shared" si="0"/>
        <v>0</v>
      </c>
    </row>
    <row r="11" spans="1:10">
      <c r="A11" s="131" t="s">
        <v>37</v>
      </c>
      <c r="B11" s="134">
        <f>(942191/590590)</f>
        <v>1.5953385597453393</v>
      </c>
      <c r="C11" s="134">
        <f>(949431/584390)</f>
        <v>1.6246530570338302</v>
      </c>
      <c r="D11" s="134">
        <f>(947213/619540)</f>
        <v>1.5288972463440618</v>
      </c>
      <c r="E11" s="133">
        <f t="shared" si="1"/>
        <v>1.5829629543744101</v>
      </c>
      <c r="F11" s="162">
        <f t="shared" si="0"/>
        <v>1</v>
      </c>
    </row>
    <row r="12" spans="1:10">
      <c r="A12" s="131" t="s">
        <v>26</v>
      </c>
      <c r="B12" s="134">
        <f>(132042996/73407464)</f>
        <v>1.798767983593603</v>
      </c>
      <c r="C12" s="134">
        <f>(125959729/82007970)</f>
        <v>1.5359449697389169</v>
      </c>
      <c r="D12" s="134">
        <f>(196552433/105790561)</f>
        <v>1.857939225787828</v>
      </c>
      <c r="E12" s="133">
        <f t="shared" si="1"/>
        <v>1.7308840597067825</v>
      </c>
      <c r="F12" s="162">
        <f t="shared" si="0"/>
        <v>1</v>
      </c>
    </row>
    <row r="13" spans="1:10">
      <c r="A13" s="132" t="s">
        <v>45</v>
      </c>
      <c r="B13" s="134">
        <f>(185899439.73/178022274.24)</f>
        <v>1.0442482016569479</v>
      </c>
      <c r="C13" s="134">
        <f>(208945554.16/186186690.07)</f>
        <v>1.1222367940557052</v>
      </c>
      <c r="D13" s="134">
        <f>(233453284.34/239041247.07)</f>
        <v>0.97662343717457423</v>
      </c>
      <c r="E13" s="133">
        <f t="shared" si="1"/>
        <v>1.0477028109624091</v>
      </c>
      <c r="F13" s="162">
        <f t="shared" si="0"/>
        <v>1</v>
      </c>
    </row>
    <row r="14" spans="1:10">
      <c r="A14" s="132" t="s">
        <v>65</v>
      </c>
      <c r="B14" s="134">
        <f>(97253/2130)</f>
        <v>45.658685446009393</v>
      </c>
      <c r="C14" s="134">
        <f>(93153/1527)</f>
        <v>61.003929273084481</v>
      </c>
      <c r="D14" s="134">
        <f>(80255/2383)</f>
        <v>33.678136802349982</v>
      </c>
      <c r="E14" s="133">
        <f t="shared" si="1"/>
        <v>46.780250507147947</v>
      </c>
      <c r="F14" s="162">
        <f t="shared" si="0"/>
        <v>1</v>
      </c>
    </row>
    <row r="15" spans="1:10">
      <c r="A15" s="131" t="s">
        <v>85</v>
      </c>
      <c r="B15" s="134">
        <f>(137851501.98/17431005.31)</f>
        <v>7.9084080079372079</v>
      </c>
      <c r="C15" s="134">
        <f>(150644734.58/18946435.67)</f>
        <v>7.9510857453010315</v>
      </c>
      <c r="D15" s="134">
        <f>(152188/70211)</f>
        <v>2.1675805785418238</v>
      </c>
      <c r="E15" s="133">
        <f t="shared" si="1"/>
        <v>6.0090247772600209</v>
      </c>
      <c r="F15" s="162">
        <f t="shared" si="0"/>
        <v>1</v>
      </c>
    </row>
    <row r="16" spans="1:10">
      <c r="A16" s="99" t="s">
        <v>55</v>
      </c>
      <c r="B16" s="133">
        <f>180612424/391845119</f>
        <v>0.46092809439844012</v>
      </c>
      <c r="C16" s="133">
        <f>192520504/428047735</f>
        <v>0.44976409932410927</v>
      </c>
      <c r="D16" s="133">
        <f>226037102/454327761</f>
        <v>0.49751989951589159</v>
      </c>
      <c r="E16" s="133">
        <f t="shared" si="1"/>
        <v>0.46940403107948031</v>
      </c>
      <c r="F16" s="162">
        <f t="shared" si="0"/>
        <v>0</v>
      </c>
    </row>
    <row r="17" spans="1:6">
      <c r="A17" s="99" t="s">
        <v>71</v>
      </c>
      <c r="B17" s="133">
        <f>130734520.03/77154329.9</f>
        <v>1.6944547402517196</v>
      </c>
      <c r="C17" s="133">
        <f>123166080.98/51986803.48</f>
        <v>2.3691797289937937</v>
      </c>
      <c r="D17" s="133">
        <f>127904838.75/52765518.16</f>
        <v>2.4240231729015966</v>
      </c>
      <c r="E17" s="133">
        <f t="shared" si="1"/>
        <v>2.1625525473823699</v>
      </c>
      <c r="F17" s="162">
        <f t="shared" si="0"/>
        <v>1</v>
      </c>
    </row>
  </sheetData>
  <mergeCells count="1">
    <mergeCell ref="A1:F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91910-88C9-4A3C-9D17-2D5C4D29AE6C}">
  <sheetPr>
    <tabColor theme="5" tint="0.59999389629810485"/>
  </sheetPr>
  <dimension ref="A1:I18"/>
  <sheetViews>
    <sheetView workbookViewId="0">
      <selection activeCell="I4" sqref="I4:I18"/>
    </sheetView>
  </sheetViews>
  <sheetFormatPr baseColWidth="10" defaultColWidth="8.83203125" defaultRowHeight="15"/>
  <cols>
    <col min="1" max="1" width="8.6640625" style="162"/>
    <col min="3" max="3" width="15.33203125" customWidth="1"/>
    <col min="4" max="4" width="14.83203125" customWidth="1"/>
    <col min="5" max="6" width="12" customWidth="1"/>
    <col min="7" max="7" width="11.83203125" customWidth="1"/>
    <col min="8" max="8" width="19.33203125" customWidth="1"/>
  </cols>
  <sheetData>
    <row r="1" spans="1:9">
      <c r="B1" s="166"/>
      <c r="C1" s="395" t="s">
        <v>167</v>
      </c>
      <c r="D1" s="395"/>
      <c r="E1" s="395"/>
      <c r="F1" s="395"/>
      <c r="G1" s="395"/>
      <c r="H1" s="395"/>
      <c r="I1" s="167"/>
    </row>
    <row r="2" spans="1:9" ht="32">
      <c r="B2" s="166" t="s">
        <v>114</v>
      </c>
      <c r="C2" s="126" t="s">
        <v>115</v>
      </c>
      <c r="D2" s="126" t="s">
        <v>170</v>
      </c>
      <c r="E2" s="126" t="s">
        <v>122</v>
      </c>
      <c r="F2" s="126" t="s">
        <v>123</v>
      </c>
      <c r="G2" s="126" t="s">
        <v>169</v>
      </c>
      <c r="H2" s="126" t="s">
        <v>140</v>
      </c>
      <c r="I2" s="167" t="s">
        <v>168</v>
      </c>
    </row>
    <row r="3" spans="1:9" s="128" customFormat="1">
      <c r="A3" s="162"/>
      <c r="B3" s="158"/>
      <c r="C3" s="164">
        <v>0.15</v>
      </c>
      <c r="D3" s="164">
        <v>0.25</v>
      </c>
      <c r="E3" s="164">
        <v>0.2</v>
      </c>
      <c r="F3" s="164">
        <v>0.1</v>
      </c>
      <c r="G3" s="164">
        <v>0.15</v>
      </c>
      <c r="H3" s="164">
        <v>0.15</v>
      </c>
      <c r="I3" s="161">
        <f>SUM(C3:H3)</f>
        <v>1</v>
      </c>
    </row>
    <row r="4" spans="1:9">
      <c r="A4" s="171">
        <v>1</v>
      </c>
      <c r="B4" s="1" t="s">
        <v>43</v>
      </c>
      <c r="C4" s="1">
        <v>1</v>
      </c>
      <c r="D4" s="1">
        <v>1</v>
      </c>
      <c r="E4" s="1">
        <v>1</v>
      </c>
      <c r="F4" s="1">
        <v>0</v>
      </c>
      <c r="G4" s="1">
        <v>1</v>
      </c>
      <c r="H4" s="1">
        <v>0</v>
      </c>
      <c r="I4" s="172">
        <f t="shared" ref="I4:I18" si="0">SUMPRODUCT($C$3:$H$3,C4:H4)</f>
        <v>0.75000000000000011</v>
      </c>
    </row>
    <row r="5" spans="1:9">
      <c r="A5" s="171">
        <v>2</v>
      </c>
      <c r="B5" s="1" t="s">
        <v>47</v>
      </c>
      <c r="C5" s="1">
        <v>1</v>
      </c>
      <c r="D5" s="1">
        <v>1</v>
      </c>
      <c r="E5" s="1">
        <v>1</v>
      </c>
      <c r="F5" s="1">
        <v>1</v>
      </c>
      <c r="G5" s="1">
        <v>0</v>
      </c>
      <c r="H5" s="1">
        <v>0</v>
      </c>
      <c r="I5" s="172">
        <f t="shared" si="0"/>
        <v>0.70000000000000007</v>
      </c>
    </row>
    <row r="6" spans="1:9">
      <c r="A6" s="171">
        <v>3</v>
      </c>
      <c r="B6" s="1" t="s">
        <v>12</v>
      </c>
      <c r="C6" s="1">
        <v>1</v>
      </c>
      <c r="D6" s="1">
        <v>1</v>
      </c>
      <c r="E6" s="1">
        <v>0</v>
      </c>
      <c r="F6" s="1">
        <v>0</v>
      </c>
      <c r="G6" s="1">
        <v>1</v>
      </c>
      <c r="H6" s="1">
        <v>1</v>
      </c>
      <c r="I6" s="172">
        <f t="shared" si="0"/>
        <v>0.70000000000000007</v>
      </c>
    </row>
    <row r="7" spans="1:9">
      <c r="A7" s="171">
        <v>4</v>
      </c>
      <c r="B7" s="1" t="s">
        <v>14</v>
      </c>
      <c r="C7" s="1">
        <v>1</v>
      </c>
      <c r="D7" s="1">
        <v>1</v>
      </c>
      <c r="E7" s="1">
        <v>0</v>
      </c>
      <c r="F7" s="1">
        <v>0</v>
      </c>
      <c r="G7" s="1">
        <v>1</v>
      </c>
      <c r="H7" s="1">
        <v>1</v>
      </c>
      <c r="I7" s="172">
        <f t="shared" si="0"/>
        <v>0.70000000000000007</v>
      </c>
    </row>
    <row r="8" spans="1:9">
      <c r="A8" s="171">
        <v>5</v>
      </c>
      <c r="B8" s="1" t="s">
        <v>111</v>
      </c>
      <c r="C8" s="1">
        <v>1</v>
      </c>
      <c r="D8" s="1">
        <v>1</v>
      </c>
      <c r="E8" s="1">
        <v>0</v>
      </c>
      <c r="F8" s="1">
        <v>0</v>
      </c>
      <c r="G8" s="1">
        <v>1</v>
      </c>
      <c r="H8" s="1">
        <v>1</v>
      </c>
      <c r="I8" s="172">
        <f t="shared" si="0"/>
        <v>0.70000000000000007</v>
      </c>
    </row>
    <row r="9" spans="1:9">
      <c r="A9" s="171">
        <v>6</v>
      </c>
      <c r="B9" s="1" t="s">
        <v>37</v>
      </c>
      <c r="C9" s="1">
        <v>0</v>
      </c>
      <c r="D9" s="1">
        <v>1</v>
      </c>
      <c r="E9" s="1">
        <v>0</v>
      </c>
      <c r="F9" s="1">
        <v>1</v>
      </c>
      <c r="G9" s="1">
        <v>1</v>
      </c>
      <c r="H9" s="1">
        <v>1</v>
      </c>
      <c r="I9" s="172">
        <f t="shared" si="0"/>
        <v>0.65</v>
      </c>
    </row>
    <row r="10" spans="1:9">
      <c r="A10" s="171">
        <v>7</v>
      </c>
      <c r="B10" s="1" t="s">
        <v>85</v>
      </c>
      <c r="C10" s="1">
        <v>0</v>
      </c>
      <c r="D10" s="1">
        <v>1</v>
      </c>
      <c r="E10" s="1">
        <v>0</v>
      </c>
      <c r="F10" s="1">
        <v>1</v>
      </c>
      <c r="G10" s="1">
        <v>1</v>
      </c>
      <c r="H10" s="1">
        <v>1</v>
      </c>
      <c r="I10" s="172">
        <f t="shared" si="0"/>
        <v>0.65</v>
      </c>
    </row>
    <row r="11" spans="1:9">
      <c r="A11" s="162">
        <v>8</v>
      </c>
      <c r="B11" s="159" t="s">
        <v>71</v>
      </c>
      <c r="C11" s="76">
        <v>0</v>
      </c>
      <c r="D11" s="163">
        <v>1</v>
      </c>
      <c r="E11" s="163">
        <v>0</v>
      </c>
      <c r="F11" s="163">
        <v>1</v>
      </c>
      <c r="G11" s="163">
        <v>1</v>
      </c>
      <c r="H11" s="163">
        <v>1</v>
      </c>
      <c r="I11" s="165">
        <f t="shared" si="0"/>
        <v>0.65</v>
      </c>
    </row>
    <row r="12" spans="1:9">
      <c r="A12" s="162">
        <v>9</v>
      </c>
      <c r="B12" s="169" t="s">
        <v>6</v>
      </c>
      <c r="C12" s="76">
        <v>1</v>
      </c>
      <c r="D12" s="163">
        <v>1</v>
      </c>
      <c r="E12" s="163">
        <v>0</v>
      </c>
      <c r="F12" s="163">
        <v>0</v>
      </c>
      <c r="G12" s="163">
        <v>1</v>
      </c>
      <c r="H12" s="163">
        <v>0</v>
      </c>
      <c r="I12" s="165">
        <f t="shared" si="0"/>
        <v>0.55000000000000004</v>
      </c>
    </row>
    <row r="13" spans="1:9">
      <c r="A13" s="162">
        <v>10</v>
      </c>
      <c r="B13" s="169" t="s">
        <v>26</v>
      </c>
      <c r="C13" s="76">
        <v>0</v>
      </c>
      <c r="D13" s="163">
        <v>1</v>
      </c>
      <c r="E13" s="163">
        <v>0</v>
      </c>
      <c r="F13" s="163">
        <v>0</v>
      </c>
      <c r="G13" s="163">
        <v>1</v>
      </c>
      <c r="H13" s="163">
        <v>1</v>
      </c>
      <c r="I13" s="165">
        <f t="shared" si="0"/>
        <v>0.55000000000000004</v>
      </c>
    </row>
    <row r="14" spans="1:9">
      <c r="A14" s="162">
        <v>11</v>
      </c>
      <c r="B14" s="170" t="s">
        <v>45</v>
      </c>
      <c r="C14" s="76">
        <v>0</v>
      </c>
      <c r="D14" s="163">
        <v>1</v>
      </c>
      <c r="E14" s="163">
        <v>0</v>
      </c>
      <c r="F14" s="163">
        <v>0</v>
      </c>
      <c r="G14" s="163">
        <v>1</v>
      </c>
      <c r="H14" s="163">
        <v>1</v>
      </c>
      <c r="I14" s="165">
        <f t="shared" si="0"/>
        <v>0.55000000000000004</v>
      </c>
    </row>
    <row r="15" spans="1:9">
      <c r="A15" s="162">
        <v>12</v>
      </c>
      <c r="B15" s="170" t="s">
        <v>65</v>
      </c>
      <c r="C15" s="76">
        <v>0</v>
      </c>
      <c r="D15" s="163">
        <v>1</v>
      </c>
      <c r="E15" s="163">
        <v>0</v>
      </c>
      <c r="F15" s="163">
        <v>0</v>
      </c>
      <c r="G15" s="163">
        <v>1</v>
      </c>
      <c r="H15" s="163">
        <v>1</v>
      </c>
      <c r="I15" s="165">
        <f t="shared" si="0"/>
        <v>0.55000000000000004</v>
      </c>
    </row>
    <row r="16" spans="1:9">
      <c r="A16" s="162">
        <v>13</v>
      </c>
      <c r="B16" s="169" t="s">
        <v>8</v>
      </c>
      <c r="C16" s="76">
        <v>1</v>
      </c>
      <c r="D16" s="163">
        <v>0</v>
      </c>
      <c r="E16" s="163">
        <v>1</v>
      </c>
      <c r="F16" s="163">
        <v>0</v>
      </c>
      <c r="G16" s="163">
        <v>1</v>
      </c>
      <c r="H16" s="163">
        <v>0</v>
      </c>
      <c r="I16" s="165">
        <f t="shared" si="0"/>
        <v>0.5</v>
      </c>
    </row>
    <row r="17" spans="1:9">
      <c r="A17" s="162">
        <v>14</v>
      </c>
      <c r="B17" s="159" t="s">
        <v>55</v>
      </c>
      <c r="C17" s="76">
        <v>0</v>
      </c>
      <c r="D17" s="163">
        <v>1</v>
      </c>
      <c r="E17" s="163">
        <v>1</v>
      </c>
      <c r="F17" s="163">
        <v>0</v>
      </c>
      <c r="G17" s="163">
        <v>0</v>
      </c>
      <c r="H17" s="163">
        <v>0</v>
      </c>
      <c r="I17" s="165">
        <f t="shared" si="0"/>
        <v>0.45</v>
      </c>
    </row>
    <row r="18" spans="1:9">
      <c r="A18" s="162">
        <v>15</v>
      </c>
      <c r="B18" s="160" t="s">
        <v>49</v>
      </c>
      <c r="C18" s="76">
        <v>0</v>
      </c>
      <c r="D18" s="163">
        <v>0</v>
      </c>
      <c r="E18" s="163">
        <v>0</v>
      </c>
      <c r="F18" s="163">
        <v>1</v>
      </c>
      <c r="G18" s="163">
        <v>1</v>
      </c>
      <c r="H18" s="163">
        <v>0</v>
      </c>
      <c r="I18" s="165">
        <f t="shared" si="0"/>
        <v>0.25</v>
      </c>
    </row>
  </sheetData>
  <sortState xmlns:xlrd2="http://schemas.microsoft.com/office/spreadsheetml/2017/richdata2" ref="B2:I18">
    <sortCondition descending="1" ref="I2:I18"/>
  </sortState>
  <mergeCells count="1">
    <mergeCell ref="C1:H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A6918-45D7-4128-880B-CC54760EB336}">
  <sheetPr>
    <tabColor theme="9" tint="0.59999389629810485"/>
  </sheetPr>
  <dimension ref="A1:AH250"/>
  <sheetViews>
    <sheetView topLeftCell="P1" workbookViewId="0">
      <selection activeCell="AC20" sqref="AC20"/>
    </sheetView>
  </sheetViews>
  <sheetFormatPr baseColWidth="10" defaultColWidth="8.83203125" defaultRowHeight="15"/>
  <cols>
    <col min="1" max="1" width="10.5" bestFit="1" customWidth="1"/>
    <col min="10" max="10" width="10.5" bestFit="1" customWidth="1"/>
    <col min="28" max="28" width="11.5" bestFit="1" customWidth="1"/>
  </cols>
  <sheetData>
    <row r="1" spans="1:34" s="175" customFormat="1" ht="25.5" customHeight="1">
      <c r="A1" s="396" t="s">
        <v>171</v>
      </c>
      <c r="B1" s="396"/>
      <c r="C1" s="396"/>
      <c r="D1" s="396"/>
      <c r="E1" s="396"/>
      <c r="F1" s="396"/>
      <c r="G1" s="396"/>
      <c r="H1" s="396"/>
      <c r="J1" s="396" t="s">
        <v>176</v>
      </c>
      <c r="K1" s="396"/>
      <c r="L1" s="396"/>
      <c r="M1" s="396"/>
      <c r="N1" s="396"/>
      <c r="O1" s="396"/>
      <c r="P1" s="396"/>
      <c r="Q1" s="396"/>
    </row>
    <row r="2" spans="1:34">
      <c r="A2" s="163"/>
      <c r="B2" s="173" t="s">
        <v>43</v>
      </c>
      <c r="C2" s="173" t="s">
        <v>47</v>
      </c>
      <c r="D2" s="173" t="s">
        <v>12</v>
      </c>
      <c r="E2" s="173" t="s">
        <v>14</v>
      </c>
      <c r="F2" s="173" t="s">
        <v>16</v>
      </c>
      <c r="G2" s="173" t="s">
        <v>37</v>
      </c>
      <c r="H2" s="173" t="s">
        <v>85</v>
      </c>
      <c r="J2" s="173"/>
      <c r="K2" s="173" t="s">
        <v>43</v>
      </c>
      <c r="L2" s="173" t="s">
        <v>47</v>
      </c>
      <c r="M2" s="173" t="s">
        <v>12</v>
      </c>
      <c r="N2" s="173" t="s">
        <v>14</v>
      </c>
      <c r="O2" s="173" t="s">
        <v>16</v>
      </c>
      <c r="P2" s="173" t="s">
        <v>37</v>
      </c>
      <c r="Q2" s="173" t="s">
        <v>85</v>
      </c>
      <c r="S2" s="173"/>
      <c r="T2" s="173" t="s">
        <v>43</v>
      </c>
      <c r="U2" s="173" t="s">
        <v>47</v>
      </c>
      <c r="V2" s="173" t="s">
        <v>12</v>
      </c>
      <c r="W2" s="173" t="s">
        <v>14</v>
      </c>
      <c r="X2" s="173" t="s">
        <v>16</v>
      </c>
      <c r="Y2" s="173" t="s">
        <v>37</v>
      </c>
      <c r="Z2" s="173" t="s">
        <v>85</v>
      </c>
      <c r="AB2" s="331"/>
      <c r="AC2" s="331"/>
      <c r="AD2" s="331"/>
      <c r="AE2" s="331"/>
      <c r="AF2" s="331"/>
      <c r="AG2" s="331"/>
      <c r="AH2" s="140"/>
    </row>
    <row r="3" spans="1:34">
      <c r="A3" s="174">
        <v>43552</v>
      </c>
      <c r="B3" s="96">
        <v>2.0152943582152701E-2</v>
      </c>
      <c r="C3" s="96">
        <v>2.2892055187478333E-2</v>
      </c>
      <c r="D3" s="96">
        <v>2.1681066061323948E-2</v>
      </c>
      <c r="E3" s="96">
        <v>-1.2547216052088528E-2</v>
      </c>
      <c r="F3" s="96">
        <v>9.4192219164915582E-3</v>
      </c>
      <c r="G3" s="96">
        <v>-1.2951152347078006E-2</v>
      </c>
      <c r="H3" s="96">
        <v>0</v>
      </c>
      <c r="J3" s="174">
        <v>43552</v>
      </c>
      <c r="K3" s="96">
        <f>B3-$B$250</f>
        <v>2.1139394117384438E-2</v>
      </c>
      <c r="L3" s="96">
        <f>C3-$C$250</f>
        <v>2.3073126778637116E-2</v>
      </c>
      <c r="M3" s="96">
        <f>D3-$D$250</f>
        <v>2.2441455033435673E-2</v>
      </c>
      <c r="N3" s="96">
        <f>E3-$E$250</f>
        <v>-1.2243298752358071E-2</v>
      </c>
      <c r="O3" s="96">
        <f>F3-$F$250</f>
        <v>1.1832267982177177E-2</v>
      </c>
      <c r="P3" s="96">
        <f>G3-$G$250</f>
        <v>-1.3800625586412983E-2</v>
      </c>
      <c r="Q3" s="96">
        <f>H3-$H$250</f>
        <v>7.7436576025814708E-4</v>
      </c>
      <c r="S3" s="173" t="s">
        <v>43</v>
      </c>
      <c r="T3">
        <f t="array" ref="T3:Z9">MMULT(TRANSPOSE(K3:Q249),K3:Q249)</f>
        <v>0.20225572844796993</v>
      </c>
      <c r="U3">
        <v>8.5378772526912047E-2</v>
      </c>
      <c r="V3">
        <v>0.11966853535357475</v>
      </c>
      <c r="W3">
        <v>0.13896573823794575</v>
      </c>
      <c r="X3">
        <v>9.9763475610880101E-2</v>
      </c>
      <c r="Y3">
        <v>8.7554348059960513E-2</v>
      </c>
      <c r="Z3">
        <v>6.8617755437122743E-2</v>
      </c>
      <c r="AB3" s="149"/>
      <c r="AC3" s="149"/>
      <c r="AD3" s="149"/>
      <c r="AE3" s="149"/>
      <c r="AF3" s="149"/>
      <c r="AG3" s="149"/>
      <c r="AH3" s="140"/>
    </row>
    <row r="4" spans="1:34">
      <c r="A4" s="174">
        <v>43553</v>
      </c>
      <c r="B4" s="96">
        <v>1.8667501560250377E-2</v>
      </c>
      <c r="C4" s="96">
        <v>8.3787185463115568E-4</v>
      </c>
      <c r="D4" s="96">
        <v>-1.3413818242013361E-3</v>
      </c>
      <c r="E4" s="96">
        <v>1.5701007362315708E-2</v>
      </c>
      <c r="F4" s="96">
        <v>3.1201273362436777E-3</v>
      </c>
      <c r="G4" s="96">
        <v>2.2100347000665922E-2</v>
      </c>
      <c r="H4" s="96">
        <v>0</v>
      </c>
      <c r="J4" s="174">
        <v>43553</v>
      </c>
      <c r="K4" s="96">
        <f t="shared" ref="K4:K67" si="0">B4-$B$250</f>
        <v>1.9653952095482114E-2</v>
      </c>
      <c r="L4" s="96">
        <f t="shared" ref="L4:L67" si="1">C4-$C$250</f>
        <v>1.0189434457899371E-3</v>
      </c>
      <c r="M4" s="96">
        <f t="shared" ref="M4:M67" si="2">D4-$D$250</f>
        <v>-5.8099285208961058E-4</v>
      </c>
      <c r="N4" s="96">
        <f t="shared" ref="N4:N67" si="3">E4-$E$250</f>
        <v>1.6004924662046165E-2</v>
      </c>
      <c r="O4" s="96">
        <f t="shared" ref="O4:O67" si="4">F4-$F$250</f>
        <v>5.5331734019292977E-3</v>
      </c>
      <c r="P4" s="96">
        <f t="shared" ref="P4:P67" si="5">G4-$G$250</f>
        <v>2.1250873761330943E-2</v>
      </c>
      <c r="Q4" s="96">
        <f t="shared" ref="Q4:Q67" si="6">H4-$H$250</f>
        <v>7.7436576025814708E-4</v>
      </c>
      <c r="S4" s="173" t="s">
        <v>47</v>
      </c>
      <c r="T4">
        <v>8.5378772526912047E-2</v>
      </c>
      <c r="U4">
        <v>9.5773106663065377E-2</v>
      </c>
      <c r="V4">
        <v>7.0771936522245713E-2</v>
      </c>
      <c r="W4">
        <v>8.1302966637048127E-2</v>
      </c>
      <c r="X4">
        <v>7.2886581558714969E-2</v>
      </c>
      <c r="Y4">
        <v>6.2753059885050269E-2</v>
      </c>
      <c r="Z4">
        <v>4.1841213768256225E-2</v>
      </c>
      <c r="AB4" s="149"/>
      <c r="AC4" s="322"/>
      <c r="AD4" s="322"/>
      <c r="AE4" s="322"/>
      <c r="AF4" s="149"/>
      <c r="AG4" s="149"/>
      <c r="AH4" s="140"/>
    </row>
    <row r="5" spans="1:34">
      <c r="A5" s="174">
        <v>43556</v>
      </c>
      <c r="B5" s="96">
        <v>1.0820274361708076E-2</v>
      </c>
      <c r="C5" s="96">
        <v>5.0125418235444138E-3</v>
      </c>
      <c r="D5" s="96">
        <v>-1.3431835464676259E-3</v>
      </c>
      <c r="E5" s="96">
        <v>2.92337303446875E-2</v>
      </c>
      <c r="F5" s="96">
        <v>1.1357891844409582E-2</v>
      </c>
      <c r="G5" s="96">
        <v>1.0869672236903891E-2</v>
      </c>
      <c r="H5" s="96">
        <v>4.040409537005127E-3</v>
      </c>
      <c r="J5" s="174">
        <v>43556</v>
      </c>
      <c r="K5" s="96">
        <f t="shared" si="0"/>
        <v>1.1806724896939813E-2</v>
      </c>
      <c r="L5" s="96">
        <f t="shared" si="1"/>
        <v>5.1936134147031951E-3</v>
      </c>
      <c r="M5" s="96">
        <f t="shared" si="2"/>
        <v>-5.8279457435590038E-4</v>
      </c>
      <c r="N5" s="96">
        <f t="shared" si="3"/>
        <v>2.9537647644417957E-2</v>
      </c>
      <c r="O5" s="96">
        <f t="shared" si="4"/>
        <v>1.3770937910095201E-2</v>
      </c>
      <c r="P5" s="96">
        <f t="shared" si="5"/>
        <v>1.0020198997568914E-2</v>
      </c>
      <c r="Q5" s="96">
        <f t="shared" si="6"/>
        <v>4.8147752972632742E-3</v>
      </c>
      <c r="S5" s="173" t="s">
        <v>12</v>
      </c>
      <c r="T5">
        <v>0.11966853535357475</v>
      </c>
      <c r="U5">
        <v>7.0771936522245713E-2</v>
      </c>
      <c r="V5">
        <v>0.23248659406229341</v>
      </c>
      <c r="W5">
        <v>0.14356485836680094</v>
      </c>
      <c r="X5">
        <v>9.0162071610257452E-2</v>
      </c>
      <c r="Y5">
        <v>9.5296994837475432E-2</v>
      </c>
      <c r="Z5">
        <v>6.2953256752230985E-2</v>
      </c>
      <c r="AB5" s="331"/>
      <c r="AC5" s="331"/>
      <c r="AD5" s="331"/>
      <c r="AE5" s="331"/>
      <c r="AF5" s="331"/>
      <c r="AG5" s="331"/>
      <c r="AH5" s="140"/>
    </row>
    <row r="6" spans="1:34">
      <c r="A6" s="174">
        <v>43557</v>
      </c>
      <c r="B6" s="96">
        <v>2.1500760809192152E-3</v>
      </c>
      <c r="C6" s="96">
        <v>0</v>
      </c>
      <c r="D6" s="96">
        <v>-4.7154011252384439E-3</v>
      </c>
      <c r="E6" s="96">
        <v>3.0534374868904698E-3</v>
      </c>
      <c r="F6" s="96">
        <v>-4.1152321451066549E-3</v>
      </c>
      <c r="G6" s="96">
        <v>1.9625964456748444E-2</v>
      </c>
      <c r="H6" s="96">
        <v>1.600034134644112E-2</v>
      </c>
      <c r="J6" s="174">
        <v>43557</v>
      </c>
      <c r="K6" s="96">
        <f t="shared" si="0"/>
        <v>3.136526616150952E-3</v>
      </c>
      <c r="L6" s="96">
        <f t="shared" si="1"/>
        <v>1.8107159115878139E-4</v>
      </c>
      <c r="M6" s="96">
        <f t="shared" si="2"/>
        <v>-3.9550121531267187E-3</v>
      </c>
      <c r="N6" s="96">
        <f t="shared" si="3"/>
        <v>3.3573547866209254E-3</v>
      </c>
      <c r="O6" s="96">
        <f t="shared" si="4"/>
        <v>-1.7021860794210354E-3</v>
      </c>
      <c r="P6" s="96">
        <f t="shared" si="5"/>
        <v>1.8776491217413465E-2</v>
      </c>
      <c r="Q6" s="96">
        <f t="shared" si="6"/>
        <v>1.6774707106699267E-2</v>
      </c>
      <c r="S6" s="173" t="s">
        <v>14</v>
      </c>
      <c r="T6">
        <v>0.13896573823794575</v>
      </c>
      <c r="U6">
        <v>8.1302966637048127E-2</v>
      </c>
      <c r="V6">
        <v>0.14356485836680094</v>
      </c>
      <c r="W6">
        <v>0.24040841084529943</v>
      </c>
      <c r="X6">
        <v>0.10707363869886827</v>
      </c>
      <c r="Y6">
        <v>0.10706744406954762</v>
      </c>
      <c r="Z6">
        <v>6.4450684109746262E-2</v>
      </c>
      <c r="AB6" s="149"/>
      <c r="AC6" s="149"/>
      <c r="AD6" s="149"/>
      <c r="AE6" s="149"/>
      <c r="AF6" s="149"/>
      <c r="AG6" s="149"/>
      <c r="AH6" s="140"/>
    </row>
    <row r="7" spans="1:34">
      <c r="A7" s="174">
        <v>43558</v>
      </c>
      <c r="B7" s="96">
        <v>-1.2970350442627404E-2</v>
      </c>
      <c r="C7" s="96">
        <v>1.4888612493750559E-2</v>
      </c>
      <c r="D7" s="96">
        <v>-6.7544750963796684E-4</v>
      </c>
      <c r="E7" s="96">
        <v>8.9457465584582667E-3</v>
      </c>
      <c r="F7" s="96">
        <v>-1.1404996613990245E-2</v>
      </c>
      <c r="G7" s="96">
        <v>1.0544913176614819E-2</v>
      </c>
      <c r="H7" s="96">
        <v>-3.9761483796392945E-3</v>
      </c>
      <c r="J7" s="174">
        <v>43558</v>
      </c>
      <c r="K7" s="96">
        <f t="shared" si="0"/>
        <v>-1.1983899907395667E-2</v>
      </c>
      <c r="L7" s="96">
        <f t="shared" si="1"/>
        <v>1.506968408490934E-2</v>
      </c>
      <c r="M7" s="96">
        <f t="shared" si="2"/>
        <v>8.4941462473758669E-5</v>
      </c>
      <c r="N7" s="96">
        <f t="shared" si="3"/>
        <v>9.2496638581887232E-3</v>
      </c>
      <c r="O7" s="96">
        <f t="shared" si="4"/>
        <v>-8.991950548304626E-3</v>
      </c>
      <c r="P7" s="96">
        <f t="shared" si="5"/>
        <v>9.6954399372798424E-3</v>
      </c>
      <c r="Q7" s="96">
        <f t="shared" si="6"/>
        <v>-3.2017826193811473E-3</v>
      </c>
      <c r="S7" s="173" t="s">
        <v>16</v>
      </c>
      <c r="T7">
        <v>9.9763475610880101E-2</v>
      </c>
      <c r="U7">
        <v>7.2886581558714969E-2</v>
      </c>
      <c r="V7">
        <v>9.0162071610257452E-2</v>
      </c>
      <c r="W7">
        <v>0.10707363869886827</v>
      </c>
      <c r="X7">
        <v>0.18568809227138086</v>
      </c>
      <c r="Y7">
        <v>0.10129664183374683</v>
      </c>
      <c r="Z7">
        <v>7.2215319562118505E-2</v>
      </c>
    </row>
    <row r="8" spans="1:34">
      <c r="A8" s="174">
        <v>43559</v>
      </c>
      <c r="B8" s="96">
        <v>-1.6331867095784843E-3</v>
      </c>
      <c r="C8" s="96">
        <v>-4.9382816405825663E-3</v>
      </c>
      <c r="D8" s="96">
        <v>-4.7409502955304845E-3</v>
      </c>
      <c r="E8" s="96">
        <v>-5.901604177230073E-3</v>
      </c>
      <c r="F8" s="96">
        <v>-5.2274034351517994E-3</v>
      </c>
      <c r="G8" s="96">
        <v>0</v>
      </c>
      <c r="H8" s="96">
        <v>-2.0121403199421063E-2</v>
      </c>
      <c r="J8" s="174">
        <v>43559</v>
      </c>
      <c r="K8" s="96">
        <f t="shared" si="0"/>
        <v>-6.4673617434674729E-4</v>
      </c>
      <c r="L8" s="96">
        <f t="shared" si="1"/>
        <v>-4.7572100494237849E-3</v>
      </c>
      <c r="M8" s="96">
        <f t="shared" si="2"/>
        <v>-3.9805613234187593E-3</v>
      </c>
      <c r="N8" s="96">
        <f t="shared" si="3"/>
        <v>-5.5976868774996174E-3</v>
      </c>
      <c r="O8" s="96">
        <f t="shared" si="4"/>
        <v>-2.8143573694661798E-3</v>
      </c>
      <c r="P8" s="96">
        <f t="shared" si="5"/>
        <v>-8.494732393349773E-4</v>
      </c>
      <c r="Q8" s="96">
        <f t="shared" si="6"/>
        <v>-1.9347037439162915E-2</v>
      </c>
      <c r="S8" s="173" t="s">
        <v>37</v>
      </c>
      <c r="T8">
        <v>8.7554348059960513E-2</v>
      </c>
      <c r="U8">
        <v>6.2753059885050269E-2</v>
      </c>
      <c r="V8">
        <v>9.5296994837475432E-2</v>
      </c>
      <c r="W8">
        <v>0.10706744406954762</v>
      </c>
      <c r="X8">
        <v>0.10129664183374683</v>
      </c>
      <c r="Y8">
        <v>0.13776556165161269</v>
      </c>
      <c r="Z8">
        <v>5.4989390862382234E-2</v>
      </c>
    </row>
    <row r="9" spans="1:34">
      <c r="A9" s="174">
        <v>43560</v>
      </c>
      <c r="B9" s="96">
        <v>1.6331867095785997E-3</v>
      </c>
      <c r="C9" s="96">
        <v>4.9382816405825767E-3</v>
      </c>
      <c r="D9" s="96">
        <v>8.113634774169631E-3</v>
      </c>
      <c r="E9" s="96">
        <v>8.9186767318388104E-3</v>
      </c>
      <c r="F9" s="96">
        <v>-5.2548728383585855E-3</v>
      </c>
      <c r="G9" s="96">
        <v>1.7467253349418002E-3</v>
      </c>
      <c r="H9" s="96">
        <v>1.6129381929883498E-2</v>
      </c>
      <c r="J9" s="174">
        <v>43560</v>
      </c>
      <c r="K9" s="96">
        <f t="shared" si="0"/>
        <v>2.6196372448103367E-3</v>
      </c>
      <c r="L9" s="96">
        <f t="shared" si="1"/>
        <v>5.119353231741358E-3</v>
      </c>
      <c r="M9" s="96">
        <f t="shared" si="2"/>
        <v>8.8740237462813561E-3</v>
      </c>
      <c r="N9" s="96">
        <f t="shared" si="3"/>
        <v>9.2225940315692669E-3</v>
      </c>
      <c r="O9" s="96">
        <f t="shared" si="4"/>
        <v>-2.841826772672966E-3</v>
      </c>
      <c r="P9" s="96">
        <f t="shared" si="5"/>
        <v>8.9725209560682288E-4</v>
      </c>
      <c r="Q9" s="96">
        <f t="shared" si="6"/>
        <v>1.6903747690141645E-2</v>
      </c>
      <c r="S9" s="173" t="s">
        <v>85</v>
      </c>
      <c r="T9">
        <v>6.8617755437122743E-2</v>
      </c>
      <c r="U9">
        <v>4.1841213768256225E-2</v>
      </c>
      <c r="V9">
        <v>6.2953256752230985E-2</v>
      </c>
      <c r="W9">
        <v>6.4450684109746262E-2</v>
      </c>
      <c r="X9">
        <v>7.2215319562118505E-2</v>
      </c>
      <c r="Y9">
        <v>5.4989390862382234E-2</v>
      </c>
      <c r="Z9">
        <v>9.5673735645138022E-2</v>
      </c>
    </row>
    <row r="10" spans="1:34">
      <c r="A10" s="174">
        <v>43563</v>
      </c>
      <c r="B10" s="96">
        <v>1.0820274361708076E-2</v>
      </c>
      <c r="C10" s="96">
        <v>8.2068121142913535E-4</v>
      </c>
      <c r="D10" s="96">
        <v>3.3613477027049274E-3</v>
      </c>
      <c r="E10" s="96">
        <v>0</v>
      </c>
      <c r="F10" s="96">
        <v>-8.4656590245482388E-3</v>
      </c>
      <c r="G10" s="96">
        <v>1.214238682572534E-2</v>
      </c>
      <c r="H10" s="96">
        <v>7.9681696491768813E-3</v>
      </c>
      <c r="J10" s="174">
        <v>43563</v>
      </c>
      <c r="K10" s="96">
        <f t="shared" si="0"/>
        <v>1.1806724896939813E-2</v>
      </c>
      <c r="L10" s="96">
        <f t="shared" si="1"/>
        <v>1.0017528025879168E-3</v>
      </c>
      <c r="M10" s="96">
        <f t="shared" si="2"/>
        <v>4.1217366748166531E-3</v>
      </c>
      <c r="N10" s="96">
        <f t="shared" si="3"/>
        <v>3.039172997304558E-4</v>
      </c>
      <c r="O10" s="96">
        <f t="shared" si="4"/>
        <v>-6.0526129588626193E-3</v>
      </c>
      <c r="P10" s="96">
        <f t="shared" si="5"/>
        <v>1.1292913586390363E-2</v>
      </c>
      <c r="Q10" s="96">
        <f t="shared" si="6"/>
        <v>8.7425354094350285E-3</v>
      </c>
    </row>
    <row r="11" spans="1:34">
      <c r="A11" s="174">
        <v>43564</v>
      </c>
      <c r="B11" s="96">
        <v>1.3893565369686662E-2</v>
      </c>
      <c r="C11" s="96">
        <v>-4.1101578618278753E-3</v>
      </c>
      <c r="D11" s="96">
        <v>0</v>
      </c>
      <c r="E11" s="96">
        <v>2.6442908133874368E-2</v>
      </c>
      <c r="F11" s="96">
        <v>9.5188450092068399E-3</v>
      </c>
      <c r="G11" s="96">
        <v>1.3698844358161927E-2</v>
      </c>
      <c r="H11" s="96">
        <v>3.9604012160969143E-3</v>
      </c>
      <c r="J11" s="174">
        <v>43564</v>
      </c>
      <c r="K11" s="96">
        <f t="shared" si="0"/>
        <v>1.4880015904918399E-2</v>
      </c>
      <c r="L11" s="96">
        <f t="shared" si="1"/>
        <v>-3.9290862706690939E-3</v>
      </c>
      <c r="M11" s="96">
        <f t="shared" si="2"/>
        <v>7.6038897211172551E-4</v>
      </c>
      <c r="N11" s="96">
        <f t="shared" si="3"/>
        <v>2.6746825433604824E-2</v>
      </c>
      <c r="O11" s="96">
        <f t="shared" si="4"/>
        <v>1.193189107489246E-2</v>
      </c>
      <c r="P11" s="96">
        <f t="shared" si="5"/>
        <v>1.284937111882695E-2</v>
      </c>
      <c r="Q11" s="96">
        <f t="shared" si="6"/>
        <v>4.7347669763550615E-3</v>
      </c>
      <c r="S11" s="162" t="s">
        <v>177</v>
      </c>
      <c r="T11" s="178"/>
      <c r="U11" s="178"/>
      <c r="V11">
        <f>COUNT(K3:K249)</f>
        <v>247</v>
      </c>
    </row>
    <row r="12" spans="1:34">
      <c r="A12" s="174">
        <v>43565</v>
      </c>
      <c r="B12" s="96">
        <v>-7.4571561080821634E-3</v>
      </c>
      <c r="C12" s="96">
        <v>1.3093476747019604E-2</v>
      </c>
      <c r="D12" s="96">
        <v>-4.0349752121791056E-3</v>
      </c>
      <c r="E12" s="96">
        <v>-1.0087770810268449E-2</v>
      </c>
      <c r="F12" s="96">
        <v>-8.4567100182235087E-3</v>
      </c>
      <c r="G12" s="96">
        <v>0</v>
      </c>
      <c r="H12" s="96">
        <v>0</v>
      </c>
      <c r="J12" s="174">
        <v>43565</v>
      </c>
      <c r="K12" s="96">
        <f t="shared" si="0"/>
        <v>-6.4707055728504262E-3</v>
      </c>
      <c r="L12" s="96">
        <f t="shared" si="1"/>
        <v>1.3274548338178385E-2</v>
      </c>
      <c r="M12" s="96">
        <f t="shared" si="2"/>
        <v>-3.2745862400673799E-3</v>
      </c>
      <c r="N12" s="96">
        <f t="shared" si="3"/>
        <v>-9.7838535105379924E-3</v>
      </c>
      <c r="O12" s="96">
        <f t="shared" si="4"/>
        <v>-6.0436639525378892E-3</v>
      </c>
      <c r="P12" s="96">
        <f t="shared" si="5"/>
        <v>-8.494732393349773E-4</v>
      </c>
      <c r="Q12" s="96">
        <f t="shared" si="6"/>
        <v>7.7436576025814708E-4</v>
      </c>
    </row>
    <row r="13" spans="1:34">
      <c r="A13" s="174">
        <v>43566</v>
      </c>
      <c r="B13" s="96">
        <v>1.0687187081115956E-3</v>
      </c>
      <c r="C13" s="96">
        <v>1.8526506529604993E-2</v>
      </c>
      <c r="D13" s="96">
        <v>-2.6990569691649467E-3</v>
      </c>
      <c r="E13" s="96">
        <v>1.4028526967496337E-3</v>
      </c>
      <c r="F13" s="96">
        <v>1.1609629077838942E-2</v>
      </c>
      <c r="G13" s="96">
        <v>2.3530497410194036E-2</v>
      </c>
      <c r="H13" s="96">
        <v>0</v>
      </c>
      <c r="J13" s="174">
        <v>43566</v>
      </c>
      <c r="K13" s="96">
        <f t="shared" si="0"/>
        <v>2.0551692433433324E-3</v>
      </c>
      <c r="L13" s="96">
        <f t="shared" si="1"/>
        <v>1.8707578120763776E-2</v>
      </c>
      <c r="M13" s="96">
        <f t="shared" si="2"/>
        <v>-1.9386679970532211E-3</v>
      </c>
      <c r="N13" s="96">
        <f t="shared" si="3"/>
        <v>1.7067699964800895E-3</v>
      </c>
      <c r="O13" s="96">
        <f t="shared" si="4"/>
        <v>1.4022675143524562E-2</v>
      </c>
      <c r="P13" s="96">
        <f t="shared" si="5"/>
        <v>2.2681024170859057E-2</v>
      </c>
      <c r="Q13" s="96">
        <f t="shared" si="6"/>
        <v>7.7436576025814708E-4</v>
      </c>
      <c r="S13" s="397" t="s">
        <v>178</v>
      </c>
      <c r="T13" s="397"/>
      <c r="U13" s="397"/>
      <c r="V13" s="397"/>
      <c r="W13" s="397"/>
      <c r="X13" s="397"/>
      <c r="Y13" s="397"/>
      <c r="Z13" s="397"/>
    </row>
    <row r="14" spans="1:34">
      <c r="A14" s="174">
        <v>43567</v>
      </c>
      <c r="B14" s="96">
        <v>0</v>
      </c>
      <c r="C14" s="96">
        <v>-8.8176924026441943E-3</v>
      </c>
      <c r="D14" s="96">
        <v>1.6750810424815351E-2</v>
      </c>
      <c r="E14" s="96">
        <v>7.2942047625859782E-3</v>
      </c>
      <c r="F14" s="96">
        <v>6.2761712292362043E-3</v>
      </c>
      <c r="G14" s="96">
        <v>-3.3277900926745796E-3</v>
      </c>
      <c r="H14" s="96">
        <v>5.7597491783336542E-2</v>
      </c>
      <c r="J14" s="174">
        <v>43567</v>
      </c>
      <c r="K14" s="96">
        <f t="shared" si="0"/>
        <v>9.8645053523173701E-4</v>
      </c>
      <c r="L14" s="96">
        <f t="shared" si="1"/>
        <v>-8.636620811485413E-3</v>
      </c>
      <c r="M14" s="96">
        <f t="shared" si="2"/>
        <v>1.7511199396927076E-2</v>
      </c>
      <c r="N14" s="96">
        <f t="shared" si="3"/>
        <v>7.5981220623164338E-3</v>
      </c>
      <c r="O14" s="96">
        <f t="shared" si="4"/>
        <v>8.6892172949218239E-3</v>
      </c>
      <c r="P14" s="96">
        <f t="shared" si="5"/>
        <v>-4.1772633320095566E-3</v>
      </c>
      <c r="Q14" s="96">
        <f t="shared" si="6"/>
        <v>5.8371857543594689E-2</v>
      </c>
      <c r="S14" s="173"/>
      <c r="T14" s="173" t="s">
        <v>43</v>
      </c>
      <c r="U14" s="173" t="s">
        <v>47</v>
      </c>
      <c r="V14" s="173" t="s">
        <v>12</v>
      </c>
      <c r="W14" s="173" t="s">
        <v>14</v>
      </c>
      <c r="X14" s="173" t="s">
        <v>16</v>
      </c>
      <c r="Y14" s="173" t="s">
        <v>37</v>
      </c>
      <c r="Z14" s="173" t="s">
        <v>85</v>
      </c>
    </row>
    <row r="15" spans="1:34">
      <c r="A15" s="174">
        <v>43570</v>
      </c>
      <c r="B15" s="96">
        <v>0</v>
      </c>
      <c r="C15" s="96">
        <v>-1.6116038943415328E-3</v>
      </c>
      <c r="D15" s="96">
        <v>5.9622568144180434E-3</v>
      </c>
      <c r="E15" s="96">
        <v>-1.3926501283721847E-3</v>
      </c>
      <c r="F15" s="96">
        <v>5.2002197271074982E-3</v>
      </c>
      <c r="G15" s="96">
        <v>4.9875415110391882E-3</v>
      </c>
      <c r="H15" s="96">
        <v>4.0224801310508797E-2</v>
      </c>
      <c r="J15" s="174">
        <v>43570</v>
      </c>
      <c r="K15" s="96">
        <f t="shared" si="0"/>
        <v>9.8645053523173701E-4</v>
      </c>
      <c r="L15" s="96">
        <f t="shared" si="1"/>
        <v>-1.4305323031827515E-3</v>
      </c>
      <c r="M15" s="96">
        <f t="shared" si="2"/>
        <v>6.7226457865297686E-3</v>
      </c>
      <c r="N15" s="96">
        <f t="shared" si="3"/>
        <v>-1.0887328286417288E-3</v>
      </c>
      <c r="O15" s="96">
        <f t="shared" si="4"/>
        <v>7.6132657927931177E-3</v>
      </c>
      <c r="P15" s="96">
        <f t="shared" si="5"/>
        <v>4.1380682717042112E-3</v>
      </c>
      <c r="Q15" s="96">
        <f t="shared" si="6"/>
        <v>4.0999167070766944E-2</v>
      </c>
      <c r="S15" s="173" t="s">
        <v>43</v>
      </c>
      <c r="T15" s="140" cm="1">
        <f t="array" ref="T15:Z21">T3:Z9/V11</f>
        <v>8.1884910302821841E-4</v>
      </c>
      <c r="U15" s="140">
        <v>3.4566304666766009E-4</v>
      </c>
      <c r="V15" s="140">
        <v>4.8448799738289369E-4</v>
      </c>
      <c r="W15" s="140">
        <v>5.6261432484998276E-4</v>
      </c>
      <c r="X15" s="140">
        <v>4.0390071097522309E-4</v>
      </c>
      <c r="Y15" s="140">
        <v>3.5447104477716806E-4</v>
      </c>
      <c r="Z15" s="183">
        <v>2.7780467788308803E-4</v>
      </c>
    </row>
    <row r="16" spans="1:34">
      <c r="A16" s="174">
        <v>43571</v>
      </c>
      <c r="B16" s="96">
        <v>-2.1385807979624927E-3</v>
      </c>
      <c r="C16" s="96">
        <v>7.2318515264951869E-3</v>
      </c>
      <c r="D16" s="96">
        <v>3.5683318735638396E-2</v>
      </c>
      <c r="E16" s="96">
        <v>-1.1838144480031792E-2</v>
      </c>
      <c r="F16" s="96">
        <v>0</v>
      </c>
      <c r="G16" s="96">
        <v>8.2576852389816373E-3</v>
      </c>
      <c r="H16" s="96">
        <v>2.8270433938255526E-2</v>
      </c>
      <c r="J16" s="174">
        <v>43571</v>
      </c>
      <c r="K16" s="96">
        <f t="shared" si="0"/>
        <v>-1.1521302627307557E-3</v>
      </c>
      <c r="L16" s="96">
        <f t="shared" si="1"/>
        <v>7.4129231176539682E-3</v>
      </c>
      <c r="M16" s="96">
        <f t="shared" si="2"/>
        <v>3.6443707707750121E-2</v>
      </c>
      <c r="N16" s="96">
        <f t="shared" si="3"/>
        <v>-1.1534227180301336E-2</v>
      </c>
      <c r="O16" s="96">
        <f t="shared" si="4"/>
        <v>2.4130460656856196E-3</v>
      </c>
      <c r="P16" s="96">
        <f t="shared" si="5"/>
        <v>7.4082119996466602E-3</v>
      </c>
      <c r="Q16" s="96">
        <f t="shared" si="6"/>
        <v>2.9044799698513674E-2</v>
      </c>
      <c r="S16" s="173" t="s">
        <v>47</v>
      </c>
      <c r="T16" s="140">
        <v>3.4566304666766009E-4</v>
      </c>
      <c r="U16" s="140">
        <v>3.8774537110552787E-4</v>
      </c>
      <c r="V16" s="140">
        <v>2.8652605879451705E-4</v>
      </c>
      <c r="W16" s="140">
        <v>3.291618082471584E-4</v>
      </c>
      <c r="X16" s="140">
        <v>2.9508737473163957E-4</v>
      </c>
      <c r="Y16" s="140">
        <v>2.5406097119453551E-4</v>
      </c>
      <c r="Z16" s="183">
        <v>1.6939762659213045E-4</v>
      </c>
    </row>
    <row r="17" spans="1:26">
      <c r="A17" s="174">
        <v>43572</v>
      </c>
      <c r="B17" s="96">
        <v>1.0698620898509212E-3</v>
      </c>
      <c r="C17" s="96">
        <v>-1.9402387146750365E-2</v>
      </c>
      <c r="D17" s="96">
        <v>2.8896482923724286E-2</v>
      </c>
      <c r="E17" s="96">
        <v>1.4621507959336958E-2</v>
      </c>
      <c r="F17" s="96">
        <v>-1.3577232065155372E-2</v>
      </c>
      <c r="G17" s="96">
        <v>-1.6460909066686805E-3</v>
      </c>
      <c r="H17" s="96">
        <v>3.4782643763247925E-3</v>
      </c>
      <c r="J17" s="174">
        <v>43572</v>
      </c>
      <c r="K17" s="96">
        <f t="shared" si="0"/>
        <v>2.0563126250826582E-3</v>
      </c>
      <c r="L17" s="96">
        <f t="shared" si="1"/>
        <v>-1.9221315555591582E-2</v>
      </c>
      <c r="M17" s="96">
        <f t="shared" si="2"/>
        <v>2.9656871895836011E-2</v>
      </c>
      <c r="N17" s="96">
        <f t="shared" si="3"/>
        <v>1.4925425259067414E-2</v>
      </c>
      <c r="O17" s="96">
        <f t="shared" si="4"/>
        <v>-1.1164185999469754E-2</v>
      </c>
      <c r="P17" s="96">
        <f t="shared" si="5"/>
        <v>-2.4955641460036575E-3</v>
      </c>
      <c r="Q17" s="96">
        <f t="shared" si="6"/>
        <v>4.2526301365829397E-3</v>
      </c>
      <c r="S17" s="173" t="s">
        <v>12</v>
      </c>
      <c r="T17" s="140">
        <v>4.8448799738289369E-4</v>
      </c>
      <c r="U17" s="140">
        <v>2.8652605879451705E-4</v>
      </c>
      <c r="V17" s="140">
        <v>9.4124127150726079E-4</v>
      </c>
      <c r="W17" s="140">
        <v>5.8123424440000384E-4</v>
      </c>
      <c r="X17" s="140">
        <v>3.6502863000104232E-4</v>
      </c>
      <c r="Y17" s="140">
        <v>3.8581779286427298E-4</v>
      </c>
      <c r="Z17" s="183">
        <v>2.5487148482684609E-4</v>
      </c>
    </row>
    <row r="18" spans="1:26">
      <c r="A18" s="174">
        <v>43573</v>
      </c>
      <c r="B18" s="96">
        <v>0</v>
      </c>
      <c r="C18" s="96">
        <v>5.6980211146377959E-3</v>
      </c>
      <c r="D18" s="96">
        <v>-5.5883411500499301E-3</v>
      </c>
      <c r="E18" s="96">
        <v>0</v>
      </c>
      <c r="F18" s="96">
        <v>-1.0520779508037803E-3</v>
      </c>
      <c r="G18" s="96">
        <v>9.8361448767129694E-3</v>
      </c>
      <c r="H18" s="96">
        <v>-1.0471299867295478E-2</v>
      </c>
      <c r="J18" s="174">
        <v>43573</v>
      </c>
      <c r="K18" s="96">
        <f t="shared" si="0"/>
        <v>9.8645053523173701E-4</v>
      </c>
      <c r="L18" s="96">
        <f t="shared" si="1"/>
        <v>5.8790927057965773E-3</v>
      </c>
      <c r="M18" s="96">
        <f t="shared" si="2"/>
        <v>-4.8279521779382049E-3</v>
      </c>
      <c r="N18" s="96">
        <f t="shared" si="3"/>
        <v>3.039172997304558E-4</v>
      </c>
      <c r="O18" s="96">
        <f t="shared" si="4"/>
        <v>1.3609681148818392E-3</v>
      </c>
      <c r="P18" s="96">
        <f t="shared" si="5"/>
        <v>8.9866716373779923E-3</v>
      </c>
      <c r="Q18" s="96">
        <f t="shared" si="6"/>
        <v>-9.6969341070373312E-3</v>
      </c>
      <c r="S18" s="173" t="s">
        <v>14</v>
      </c>
      <c r="T18" s="140">
        <v>5.6261432484998276E-4</v>
      </c>
      <c r="U18" s="140">
        <v>3.291618082471584E-4</v>
      </c>
      <c r="V18" s="140">
        <v>5.8123424440000384E-4</v>
      </c>
      <c r="W18" s="140">
        <v>9.733134042319815E-4</v>
      </c>
      <c r="X18" s="140">
        <v>4.3349651295088366E-4</v>
      </c>
      <c r="Y18" s="140">
        <v>4.3347143347994985E-4</v>
      </c>
      <c r="Z18" s="183">
        <v>2.6093394376415491E-4</v>
      </c>
    </row>
    <row r="19" spans="1:26">
      <c r="A19" s="174">
        <v>43578</v>
      </c>
      <c r="B19" s="96">
        <v>2.1362964757818174E-3</v>
      </c>
      <c r="C19" s="96">
        <v>-6.5146810211937538E-3</v>
      </c>
      <c r="D19" s="96">
        <v>-1.1271252699625771E-2</v>
      </c>
      <c r="E19" s="96">
        <v>-1.3055827351415125E-2</v>
      </c>
      <c r="F19" s="96">
        <v>-2.1074823395646983E-3</v>
      </c>
      <c r="G19" s="96">
        <v>-4.9059787688545183E-3</v>
      </c>
      <c r="H19" s="96">
        <v>0</v>
      </c>
      <c r="J19" s="174">
        <v>43578</v>
      </c>
      <c r="K19" s="96">
        <f t="shared" si="0"/>
        <v>3.1227470110135542E-3</v>
      </c>
      <c r="L19" s="96">
        <f t="shared" si="1"/>
        <v>-6.3336094300349725E-3</v>
      </c>
      <c r="M19" s="96">
        <f t="shared" si="2"/>
        <v>-1.0510863727514046E-2</v>
      </c>
      <c r="N19" s="96">
        <f t="shared" si="3"/>
        <v>-1.2751910051684669E-2</v>
      </c>
      <c r="O19" s="96">
        <f t="shared" si="4"/>
        <v>3.0556372612092122E-4</v>
      </c>
      <c r="P19" s="96">
        <f t="shared" si="5"/>
        <v>-5.7554520081894954E-3</v>
      </c>
      <c r="Q19" s="96">
        <f t="shared" si="6"/>
        <v>7.7436576025814708E-4</v>
      </c>
      <c r="S19" s="173" t="s">
        <v>16</v>
      </c>
      <c r="T19" s="140">
        <v>4.0390071097522309E-4</v>
      </c>
      <c r="U19" s="140">
        <v>2.9508737473163957E-4</v>
      </c>
      <c r="V19" s="140">
        <v>3.6502863000104232E-4</v>
      </c>
      <c r="W19" s="140">
        <v>4.3349651295088366E-4</v>
      </c>
      <c r="X19" s="140">
        <v>7.5177365292057033E-4</v>
      </c>
      <c r="Y19" s="140">
        <v>4.1010786167508837E-4</v>
      </c>
      <c r="Z19" s="183">
        <v>2.9236971482639069E-4</v>
      </c>
    </row>
    <row r="20" spans="1:26">
      <c r="A20" s="174">
        <v>43579</v>
      </c>
      <c r="B20" s="96">
        <v>0</v>
      </c>
      <c r="C20" s="96">
        <v>8.1665990655596524E-4</v>
      </c>
      <c r="D20" s="96">
        <v>1.9950786419348693E-2</v>
      </c>
      <c r="E20" s="96">
        <v>-5.9626726166491948E-3</v>
      </c>
      <c r="F20" s="96">
        <v>1.0542963549059923E-3</v>
      </c>
      <c r="G20" s="96">
        <v>-1.486402263214928E-2</v>
      </c>
      <c r="H20" s="96">
        <v>-1.4134510934904693E-2</v>
      </c>
      <c r="J20" s="174">
        <v>43579</v>
      </c>
      <c r="K20" s="96">
        <f t="shared" si="0"/>
        <v>9.8645053523173701E-4</v>
      </c>
      <c r="L20" s="96">
        <f t="shared" si="1"/>
        <v>9.9773149771474655E-4</v>
      </c>
      <c r="M20" s="96">
        <f t="shared" si="2"/>
        <v>2.0711175391460418E-2</v>
      </c>
      <c r="N20" s="96">
        <f t="shared" si="3"/>
        <v>-5.6587553169187392E-3</v>
      </c>
      <c r="O20" s="96">
        <f t="shared" si="4"/>
        <v>3.4673424205916119E-3</v>
      </c>
      <c r="P20" s="96">
        <f t="shared" si="5"/>
        <v>-1.5713495871484257E-2</v>
      </c>
      <c r="Q20" s="96">
        <f t="shared" si="6"/>
        <v>-1.3360145174646546E-2</v>
      </c>
      <c r="S20" s="173" t="s">
        <v>37</v>
      </c>
      <c r="T20" s="140">
        <v>3.5447104477716806E-4</v>
      </c>
      <c r="U20" s="140">
        <v>2.5406097119453551E-4</v>
      </c>
      <c r="V20" s="140">
        <v>3.8581779286427298E-4</v>
      </c>
      <c r="W20" s="140">
        <v>4.3347143347994985E-4</v>
      </c>
      <c r="X20" s="140">
        <v>4.1010786167508837E-4</v>
      </c>
      <c r="Y20" s="140">
        <v>5.5775531033041572E-4</v>
      </c>
      <c r="Z20" s="183">
        <v>2.2262911280316694E-4</v>
      </c>
    </row>
    <row r="21" spans="1:26">
      <c r="A21" s="174">
        <v>43580</v>
      </c>
      <c r="B21" s="96">
        <v>-3.2061585656328498E-3</v>
      </c>
      <c r="C21" s="96">
        <v>4.0733253876358688E-3</v>
      </c>
      <c r="D21" s="96">
        <v>3.0816665374081144E-3</v>
      </c>
      <c r="E21" s="96">
        <v>5.9626726166492287E-3</v>
      </c>
      <c r="F21" s="96">
        <v>1.1524485851953918E-2</v>
      </c>
      <c r="G21" s="96">
        <v>9.9338565242906747E-3</v>
      </c>
      <c r="H21" s="96">
        <v>3.5524016043677006E-3</v>
      </c>
      <c r="J21" s="174">
        <v>43580</v>
      </c>
      <c r="K21" s="96">
        <f t="shared" si="0"/>
        <v>-2.219708030401113E-3</v>
      </c>
      <c r="L21" s="96">
        <f t="shared" si="1"/>
        <v>4.2543969787946501E-3</v>
      </c>
      <c r="M21" s="96">
        <f t="shared" si="2"/>
        <v>3.84205550951984E-3</v>
      </c>
      <c r="N21" s="96">
        <f t="shared" si="3"/>
        <v>6.2665899163796843E-3</v>
      </c>
      <c r="O21" s="96">
        <f t="shared" si="4"/>
        <v>1.3937531917639537E-2</v>
      </c>
      <c r="P21" s="96">
        <f t="shared" si="5"/>
        <v>9.0843832849556976E-3</v>
      </c>
      <c r="Q21" s="96">
        <f t="shared" si="6"/>
        <v>4.3267673646258473E-3</v>
      </c>
      <c r="S21" s="173" t="s">
        <v>85</v>
      </c>
      <c r="T21" s="184">
        <v>2.7780467788308803E-4</v>
      </c>
      <c r="U21" s="184">
        <v>1.6939762659213045E-4</v>
      </c>
      <c r="V21" s="184">
        <v>2.5487148482684609E-4</v>
      </c>
      <c r="W21" s="184">
        <v>2.6093394376415491E-4</v>
      </c>
      <c r="X21" s="184">
        <v>2.9236971482639069E-4</v>
      </c>
      <c r="Y21" s="184">
        <v>2.2262911280316694E-4</v>
      </c>
      <c r="Z21" s="185">
        <v>3.8734305929205679E-4</v>
      </c>
    </row>
    <row r="22" spans="1:26">
      <c r="A22" s="174">
        <v>43585</v>
      </c>
      <c r="B22" s="96">
        <v>2.6409055645296838E-2</v>
      </c>
      <c r="C22" s="96">
        <v>6.483004878078312E-3</v>
      </c>
      <c r="D22" s="96">
        <v>-3.0816665374081122E-3</v>
      </c>
      <c r="E22" s="96">
        <v>2.9680565411466346E-3</v>
      </c>
      <c r="F22" s="96">
        <v>8.2988028146950641E-3</v>
      </c>
      <c r="G22" s="96">
        <v>-1.9967385513868497E-2</v>
      </c>
      <c r="H22" s="96">
        <v>7.0671672230923528E-3</v>
      </c>
      <c r="J22" s="174">
        <v>43585</v>
      </c>
      <c r="K22" s="96">
        <f t="shared" si="0"/>
        <v>2.7395506180528575E-2</v>
      </c>
      <c r="L22" s="96">
        <f t="shared" si="1"/>
        <v>6.6640764692370933E-3</v>
      </c>
      <c r="M22" s="96">
        <f t="shared" si="2"/>
        <v>-2.3212775652963866E-3</v>
      </c>
      <c r="N22" s="96">
        <f t="shared" si="3"/>
        <v>3.2719738408770902E-3</v>
      </c>
      <c r="O22" s="96">
        <f t="shared" si="4"/>
        <v>1.0711848880380685E-2</v>
      </c>
      <c r="P22" s="96">
        <f t="shared" si="5"/>
        <v>-2.0816858753203476E-2</v>
      </c>
      <c r="Q22" s="96">
        <f t="shared" si="6"/>
        <v>7.8415329833505E-3</v>
      </c>
    </row>
    <row r="23" spans="1:26">
      <c r="A23" s="174">
        <v>43587</v>
      </c>
      <c r="B23" s="96">
        <v>-1.0430792642827065E-3</v>
      </c>
      <c r="C23" s="96">
        <v>-1.0556330265714136E-2</v>
      </c>
      <c r="D23" s="96">
        <v>-9.3023926623134485E-3</v>
      </c>
      <c r="E23" s="96">
        <v>2.8037401544295714E-3</v>
      </c>
      <c r="F23" s="96">
        <v>-3.1039859375909962E-3</v>
      </c>
      <c r="G23" s="96">
        <v>8.3682496705165792E-3</v>
      </c>
      <c r="H23" s="96">
        <v>3.1198370855861333E-2</v>
      </c>
      <c r="J23" s="174">
        <v>43587</v>
      </c>
      <c r="K23" s="96">
        <f t="shared" si="0"/>
        <v>-5.6628729050969525E-5</v>
      </c>
      <c r="L23" s="96">
        <f t="shared" si="1"/>
        <v>-1.0375258674555354E-2</v>
      </c>
      <c r="M23" s="96">
        <f t="shared" si="2"/>
        <v>-8.5420036902017233E-3</v>
      </c>
      <c r="N23" s="96">
        <f t="shared" si="3"/>
        <v>3.1076574541600271E-3</v>
      </c>
      <c r="O23" s="96">
        <f t="shared" si="4"/>
        <v>-6.9093987190537668E-4</v>
      </c>
      <c r="P23" s="96">
        <f t="shared" si="5"/>
        <v>7.5187764311816022E-3</v>
      </c>
      <c r="Q23" s="96">
        <f t="shared" si="6"/>
        <v>3.1972736616119476E-2</v>
      </c>
    </row>
    <row r="24" spans="1:26">
      <c r="A24" s="174">
        <v>43588</v>
      </c>
      <c r="B24" s="96">
        <v>-1.5248205421734563E-2</v>
      </c>
      <c r="C24" s="96">
        <v>-2.0619287202735703E-2</v>
      </c>
      <c r="D24" s="96">
        <v>2.4891114282669258E-3</v>
      </c>
      <c r="E24" s="96">
        <v>-1.315190399319878E-2</v>
      </c>
      <c r="F24" s="96">
        <v>-1.0368067284402492E-3</v>
      </c>
      <c r="G24" s="96">
        <v>1.3245226750020723E-2</v>
      </c>
      <c r="H24" s="96">
        <v>-3.418806748785609E-3</v>
      </c>
      <c r="J24" s="174">
        <v>43588</v>
      </c>
      <c r="K24" s="96">
        <f t="shared" si="0"/>
        <v>-1.4261754886502826E-2</v>
      </c>
      <c r="L24" s="96">
        <f t="shared" si="1"/>
        <v>-2.043821561157692E-2</v>
      </c>
      <c r="M24" s="96">
        <f t="shared" si="2"/>
        <v>3.2495004003786515E-3</v>
      </c>
      <c r="N24" s="96">
        <f t="shared" si="3"/>
        <v>-1.2847986693468323E-2</v>
      </c>
      <c r="O24" s="96">
        <f t="shared" si="4"/>
        <v>1.3762393372453703E-3</v>
      </c>
      <c r="P24" s="96">
        <f t="shared" si="5"/>
        <v>1.2395753510685746E-2</v>
      </c>
      <c r="Q24" s="96">
        <f t="shared" si="6"/>
        <v>-2.6444409885274618E-3</v>
      </c>
    </row>
    <row r="25" spans="1:26">
      <c r="A25" s="174">
        <v>43591</v>
      </c>
      <c r="B25" s="96">
        <v>-2.4674068733486987E-2</v>
      </c>
      <c r="C25" s="96">
        <v>-2.1053409197832381E-2</v>
      </c>
      <c r="D25" s="96">
        <v>-1.1878851778105954E-2</v>
      </c>
      <c r="E25" s="96">
        <v>-1.9575702690905621E-2</v>
      </c>
      <c r="F25" s="96">
        <v>-2.0768439448392282E-3</v>
      </c>
      <c r="G25" s="96">
        <v>-2.1613476420537188E-2</v>
      </c>
      <c r="H25" s="96">
        <v>-4.1964199099032082E-2</v>
      </c>
      <c r="J25" s="174">
        <v>43591</v>
      </c>
      <c r="K25" s="96">
        <f t="shared" si="0"/>
        <v>-2.368761819825525E-2</v>
      </c>
      <c r="L25" s="96">
        <f t="shared" si="1"/>
        <v>-2.0872337606673598E-2</v>
      </c>
      <c r="M25" s="96">
        <f t="shared" si="2"/>
        <v>-1.1118462805994229E-2</v>
      </c>
      <c r="N25" s="96">
        <f t="shared" si="3"/>
        <v>-1.9271785391175165E-2</v>
      </c>
      <c r="O25" s="96">
        <f t="shared" si="4"/>
        <v>3.3620212084639134E-4</v>
      </c>
      <c r="P25" s="96">
        <f t="shared" si="5"/>
        <v>-2.2462949659872167E-2</v>
      </c>
      <c r="Q25" s="96">
        <f t="shared" si="6"/>
        <v>-4.1189833338773935E-2</v>
      </c>
    </row>
    <row r="26" spans="1:26">
      <c r="A26" s="174">
        <v>43592</v>
      </c>
      <c r="B26" s="96">
        <v>1.6278694788049227E-3</v>
      </c>
      <c r="C26" s="96">
        <v>-1.4573768445318783E-2</v>
      </c>
      <c r="D26" s="96">
        <v>1.8692133012152546E-2</v>
      </c>
      <c r="E26" s="96">
        <v>-3.0583524844648153E-3</v>
      </c>
      <c r="F26" s="96">
        <v>-2.0811662038245117E-3</v>
      </c>
      <c r="G26" s="96">
        <v>1.1696039763191236E-2</v>
      </c>
      <c r="H26" s="96">
        <v>0</v>
      </c>
      <c r="J26" s="174">
        <v>43592</v>
      </c>
      <c r="K26" s="96">
        <f t="shared" si="0"/>
        <v>2.6143200140366597E-3</v>
      </c>
      <c r="L26" s="96">
        <f t="shared" si="1"/>
        <v>-1.4392696854160001E-2</v>
      </c>
      <c r="M26" s="96">
        <f t="shared" si="2"/>
        <v>1.9452521984264271E-2</v>
      </c>
      <c r="N26" s="96">
        <f t="shared" si="3"/>
        <v>-2.7544351847343597E-3</v>
      </c>
      <c r="O26" s="96">
        <f t="shared" si="4"/>
        <v>3.3187986186110786E-4</v>
      </c>
      <c r="P26" s="96">
        <f t="shared" si="5"/>
        <v>1.0846566523856259E-2</v>
      </c>
      <c r="Q26" s="96">
        <f t="shared" si="6"/>
        <v>7.7436576025814708E-4</v>
      </c>
    </row>
    <row r="27" spans="1:26">
      <c r="A27" s="174">
        <v>43593</v>
      </c>
      <c r="B27" s="96">
        <v>-1.4197027794216961E-2</v>
      </c>
      <c r="C27" s="96">
        <v>-6.9324367756447907E-3</v>
      </c>
      <c r="D27" s="96">
        <v>-4.1593897298837015E-2</v>
      </c>
      <c r="E27" s="96">
        <v>-9.0688880661080485E-3</v>
      </c>
      <c r="F27" s="96">
        <v>-1.9990144876502271E-2</v>
      </c>
      <c r="G27" s="96">
        <v>-1.0016778243471232E-2</v>
      </c>
      <c r="H27" s="96">
        <v>7.1174677688639549E-3</v>
      </c>
      <c r="J27" s="174">
        <v>43593</v>
      </c>
      <c r="K27" s="96">
        <f t="shared" si="0"/>
        <v>-1.3210577258985223E-2</v>
      </c>
      <c r="L27" s="96">
        <f t="shared" si="1"/>
        <v>-6.7513651844860094E-3</v>
      </c>
      <c r="M27" s="96">
        <f t="shared" si="2"/>
        <v>-4.083350832672529E-2</v>
      </c>
      <c r="N27" s="96">
        <f t="shared" si="3"/>
        <v>-8.764970766377592E-3</v>
      </c>
      <c r="O27" s="96">
        <f t="shared" si="4"/>
        <v>-1.7577098810816653E-2</v>
      </c>
      <c r="P27" s="96">
        <f t="shared" si="5"/>
        <v>-1.0866251482806209E-2</v>
      </c>
      <c r="Q27" s="96">
        <f t="shared" si="6"/>
        <v>7.8918335291221012E-3</v>
      </c>
    </row>
    <row r="28" spans="1:26">
      <c r="A28" s="174">
        <v>43594</v>
      </c>
      <c r="B28" s="96">
        <v>-3.0713229885406833E-2</v>
      </c>
      <c r="C28" s="96">
        <v>-1.5775962594167435E-2</v>
      </c>
      <c r="D28" s="96">
        <v>-1.4258180627056076E-2</v>
      </c>
      <c r="E28" s="96">
        <v>-4.5654734444689603E-3</v>
      </c>
      <c r="F28" s="96">
        <v>-3.3498540074484009E-2</v>
      </c>
      <c r="G28" s="96">
        <v>-3.4133006369458582E-2</v>
      </c>
      <c r="H28" s="96">
        <v>-2.5135973271542274E-2</v>
      </c>
      <c r="J28" s="174">
        <v>43594</v>
      </c>
      <c r="K28" s="96">
        <f t="shared" si="0"/>
        <v>-2.9726779350175096E-2</v>
      </c>
      <c r="L28" s="96">
        <f t="shared" si="1"/>
        <v>-1.5594891003008654E-2</v>
      </c>
      <c r="M28" s="96">
        <f t="shared" si="2"/>
        <v>-1.3497791654944351E-2</v>
      </c>
      <c r="N28" s="96">
        <f t="shared" si="3"/>
        <v>-4.2615561447385047E-3</v>
      </c>
      <c r="O28" s="96">
        <f t="shared" si="4"/>
        <v>-3.1085494008798391E-2</v>
      </c>
      <c r="P28" s="96">
        <f t="shared" si="5"/>
        <v>-3.4982479608793561E-2</v>
      </c>
      <c r="Q28" s="96">
        <f t="shared" si="6"/>
        <v>-2.4361607511284127E-2</v>
      </c>
    </row>
    <row r="29" spans="1:26">
      <c r="A29" s="174">
        <v>43595</v>
      </c>
      <c r="B29" s="96">
        <v>1.07170070800383E-2</v>
      </c>
      <c r="C29" s="96">
        <v>1.7652255245691492E-3</v>
      </c>
      <c r="D29" s="96">
        <v>-1.4464420491566612E-2</v>
      </c>
      <c r="E29" s="96">
        <v>1.4697479578867161E-3</v>
      </c>
      <c r="F29" s="96">
        <v>-1.5504186535965086E-2</v>
      </c>
      <c r="G29" s="96">
        <v>1.7212128881121426E-2</v>
      </c>
      <c r="H29" s="96">
        <v>1.8018505502678212E-2</v>
      </c>
      <c r="J29" s="174">
        <v>43595</v>
      </c>
      <c r="K29" s="96">
        <f t="shared" si="0"/>
        <v>1.1703457615270037E-2</v>
      </c>
      <c r="L29" s="96">
        <f t="shared" si="1"/>
        <v>1.9462971157279305E-3</v>
      </c>
      <c r="M29" s="96">
        <f t="shared" si="2"/>
        <v>-1.3704031519454887E-2</v>
      </c>
      <c r="N29" s="96">
        <f t="shared" si="3"/>
        <v>1.773665257617172E-3</v>
      </c>
      <c r="O29" s="96">
        <f t="shared" si="4"/>
        <v>-1.3091140470279466E-2</v>
      </c>
      <c r="P29" s="96">
        <f t="shared" si="5"/>
        <v>1.6362655641786447E-2</v>
      </c>
      <c r="Q29" s="96">
        <f t="shared" si="6"/>
        <v>1.8792871262936359E-2</v>
      </c>
    </row>
    <row r="30" spans="1:26">
      <c r="A30" s="174">
        <v>43598</v>
      </c>
      <c r="B30" s="96">
        <v>-1.3556466083608075E-2</v>
      </c>
      <c r="C30" s="96">
        <v>0</v>
      </c>
      <c r="D30" s="96">
        <v>-2.0067563050809142E-2</v>
      </c>
      <c r="E30" s="96">
        <v>-1.5458291701420834E-2</v>
      </c>
      <c r="F30" s="96">
        <v>-1.9155515289753716E-2</v>
      </c>
      <c r="G30" s="96">
        <v>-2.0690393257446166E-2</v>
      </c>
      <c r="H30" s="96">
        <v>-3.2670782289548707E-2</v>
      </c>
      <c r="J30" s="174">
        <v>43598</v>
      </c>
      <c r="K30" s="96">
        <f t="shared" si="0"/>
        <v>-1.2570015548376338E-2</v>
      </c>
      <c r="L30" s="96">
        <f t="shared" si="1"/>
        <v>1.8107159115878139E-4</v>
      </c>
      <c r="M30" s="96">
        <f t="shared" si="2"/>
        <v>-1.9307174078697417E-2</v>
      </c>
      <c r="N30" s="96">
        <f t="shared" si="3"/>
        <v>-1.5154374401690377E-2</v>
      </c>
      <c r="O30" s="96">
        <f t="shared" si="4"/>
        <v>-1.6742469224068097E-2</v>
      </c>
      <c r="P30" s="96">
        <f t="shared" si="5"/>
        <v>-2.1539866496781145E-2</v>
      </c>
      <c r="Q30" s="96">
        <f t="shared" si="6"/>
        <v>-3.189641652929056E-2</v>
      </c>
    </row>
    <row r="31" spans="1:26">
      <c r="A31" s="174">
        <v>43599</v>
      </c>
      <c r="B31" s="96">
        <v>-1.9409165131132878E-2</v>
      </c>
      <c r="C31" s="96">
        <v>1.0526412986987603E-2</v>
      </c>
      <c r="D31" s="96">
        <v>-1.29209550074613E-2</v>
      </c>
      <c r="E31" s="96">
        <v>1.0878630442396208E-2</v>
      </c>
      <c r="F31" s="96">
        <v>-2.1852508437623493E-2</v>
      </c>
      <c r="G31" s="96">
        <v>3.4782643763247925E-3</v>
      </c>
      <c r="H31" s="96">
        <v>1.1009285508369175E-2</v>
      </c>
      <c r="J31" s="174">
        <v>43599</v>
      </c>
      <c r="K31" s="96">
        <f t="shared" si="0"/>
        <v>-1.8422714595901141E-2</v>
      </c>
      <c r="L31" s="96">
        <f t="shared" si="1"/>
        <v>1.0707484578146385E-2</v>
      </c>
      <c r="M31" s="96">
        <f t="shared" si="2"/>
        <v>-1.2160566035349575E-2</v>
      </c>
      <c r="N31" s="96">
        <f t="shared" si="3"/>
        <v>1.1182547742126665E-2</v>
      </c>
      <c r="O31" s="96">
        <f t="shared" si="4"/>
        <v>-1.9439462371937874E-2</v>
      </c>
      <c r="P31" s="96">
        <f t="shared" si="5"/>
        <v>2.6287911369898154E-3</v>
      </c>
      <c r="Q31" s="96">
        <f t="shared" si="6"/>
        <v>1.1783651268627323E-2</v>
      </c>
    </row>
    <row r="32" spans="1:26">
      <c r="A32" s="174">
        <v>43600</v>
      </c>
      <c r="B32" s="96">
        <v>-2.9420808747892629E-2</v>
      </c>
      <c r="C32" s="96">
        <v>-9.6449673591819558E-3</v>
      </c>
      <c r="D32" s="96">
        <v>-1.3783815751177337E-2</v>
      </c>
      <c r="E32" s="96">
        <v>-1.5529801618126926E-2</v>
      </c>
      <c r="F32" s="96">
        <v>-1.996543124569793E-2</v>
      </c>
      <c r="G32" s="96">
        <v>1.0362787035546658E-2</v>
      </c>
      <c r="H32" s="96">
        <v>-3.6563112031104319E-3</v>
      </c>
      <c r="J32" s="174">
        <v>43600</v>
      </c>
      <c r="K32" s="96">
        <f t="shared" si="0"/>
        <v>-2.8434358212660892E-2</v>
      </c>
      <c r="L32" s="96">
        <f t="shared" si="1"/>
        <v>-9.4638957680231745E-3</v>
      </c>
      <c r="M32" s="96">
        <f t="shared" si="2"/>
        <v>-1.3023426779065612E-2</v>
      </c>
      <c r="N32" s="96">
        <f t="shared" si="3"/>
        <v>-1.5225884318396469E-2</v>
      </c>
      <c r="O32" s="96">
        <f t="shared" si="4"/>
        <v>-1.7552385180012311E-2</v>
      </c>
      <c r="P32" s="96">
        <f t="shared" si="5"/>
        <v>9.5133137962116806E-3</v>
      </c>
      <c r="Q32" s="96">
        <f t="shared" si="6"/>
        <v>-2.8819454428522847E-3</v>
      </c>
    </row>
    <row r="33" spans="1:17">
      <c r="A33" s="174">
        <v>43601</v>
      </c>
      <c r="B33" s="96">
        <v>-3.5893793023571946E-3</v>
      </c>
      <c r="C33" s="96">
        <v>-1.7636688874967041E-3</v>
      </c>
      <c r="D33" s="96">
        <v>6.2262394150978777E-3</v>
      </c>
      <c r="E33" s="96">
        <v>9.2808090744727831E-3</v>
      </c>
      <c r="F33" s="96">
        <v>1.4134510934904934E-2</v>
      </c>
      <c r="G33" s="96">
        <v>-3.4423441909729015E-3</v>
      </c>
      <c r="H33" s="96">
        <v>0</v>
      </c>
      <c r="J33" s="174">
        <v>43601</v>
      </c>
      <c r="K33" s="96">
        <f t="shared" si="0"/>
        <v>-2.6029287671254578E-3</v>
      </c>
      <c r="L33" s="96">
        <f t="shared" si="1"/>
        <v>-1.5825972963379228E-3</v>
      </c>
      <c r="M33" s="96">
        <f t="shared" si="2"/>
        <v>6.9866283872096029E-3</v>
      </c>
      <c r="N33" s="96">
        <f t="shared" si="3"/>
        <v>9.5847263742032396E-3</v>
      </c>
      <c r="O33" s="96">
        <f t="shared" si="4"/>
        <v>1.6547557000590553E-2</v>
      </c>
      <c r="P33" s="96">
        <f t="shared" si="5"/>
        <v>-4.2918174303078786E-3</v>
      </c>
      <c r="Q33" s="96">
        <f t="shared" si="6"/>
        <v>7.7436576025814708E-4</v>
      </c>
    </row>
    <row r="34" spans="1:17">
      <c r="A34" s="174">
        <v>43602</v>
      </c>
      <c r="B34" s="96">
        <v>7.7607696547124707E-3</v>
      </c>
      <c r="C34" s="96">
        <v>1.7636688874967138E-3</v>
      </c>
      <c r="D34" s="96">
        <v>1.709443335930004E-2</v>
      </c>
      <c r="E34" s="96">
        <v>1.648261457717386E-3</v>
      </c>
      <c r="F34" s="96">
        <v>-5.8651194523981339E-3</v>
      </c>
      <c r="G34" s="96">
        <v>1.722653311446156E-3</v>
      </c>
      <c r="H34" s="96">
        <v>0</v>
      </c>
      <c r="J34" s="174">
        <v>43602</v>
      </c>
      <c r="K34" s="96">
        <f t="shared" si="0"/>
        <v>8.7472201899442079E-3</v>
      </c>
      <c r="L34" s="96">
        <f t="shared" si="1"/>
        <v>1.9447404786554952E-3</v>
      </c>
      <c r="M34" s="96">
        <f t="shared" si="2"/>
        <v>1.7854822331411765E-2</v>
      </c>
      <c r="N34" s="96">
        <f t="shared" si="3"/>
        <v>1.9521787574478418E-3</v>
      </c>
      <c r="O34" s="96">
        <f t="shared" si="4"/>
        <v>-3.4520733867125144E-3</v>
      </c>
      <c r="P34" s="96">
        <f t="shared" si="5"/>
        <v>8.7318007211117867E-4</v>
      </c>
      <c r="Q34" s="96">
        <f t="shared" si="6"/>
        <v>7.7436576025814708E-4</v>
      </c>
    </row>
    <row r="35" spans="1:17">
      <c r="A35" s="174">
        <v>43605</v>
      </c>
      <c r="B35" s="96">
        <v>-2.3815205349764271E-3</v>
      </c>
      <c r="C35" s="96">
        <v>1.7605638350329589E-3</v>
      </c>
      <c r="D35" s="96">
        <v>-2.7493140580198732E-2</v>
      </c>
      <c r="E35" s="96">
        <v>-1.409758815011382E-2</v>
      </c>
      <c r="F35" s="96">
        <v>-8.2693914825067421E-3</v>
      </c>
      <c r="G35" s="96">
        <v>3.4364294985813186E-3</v>
      </c>
      <c r="H35" s="96">
        <v>7.2993024816115351E-3</v>
      </c>
      <c r="J35" s="174">
        <v>43605</v>
      </c>
      <c r="K35" s="96">
        <f t="shared" si="0"/>
        <v>-1.3950699997446901E-3</v>
      </c>
      <c r="L35" s="96">
        <f t="shared" si="1"/>
        <v>1.9416354261917403E-3</v>
      </c>
      <c r="M35" s="96">
        <f t="shared" si="2"/>
        <v>-2.6732751608087007E-2</v>
      </c>
      <c r="N35" s="96">
        <f t="shared" si="3"/>
        <v>-1.3793670850383364E-2</v>
      </c>
      <c r="O35" s="96">
        <f t="shared" si="4"/>
        <v>-5.8563454168211225E-3</v>
      </c>
      <c r="P35" s="96">
        <f t="shared" si="5"/>
        <v>2.586956259246341E-3</v>
      </c>
      <c r="Q35" s="96">
        <f t="shared" si="6"/>
        <v>8.0736682418696814E-3</v>
      </c>
    </row>
    <row r="36" spans="1:17">
      <c r="A36" s="174">
        <v>43606</v>
      </c>
      <c r="B36" s="96">
        <v>5.9591206101707484E-4</v>
      </c>
      <c r="C36" s="96">
        <v>7.0114222378040826E-3</v>
      </c>
      <c r="D36" s="96">
        <v>4.895607043277405E-2</v>
      </c>
      <c r="E36" s="96">
        <v>4.0106856625232216E-2</v>
      </c>
      <c r="F36" s="96">
        <v>2.3447733081572632E-2</v>
      </c>
      <c r="G36" s="96">
        <v>1.0238997301094286E-2</v>
      </c>
      <c r="H36" s="96">
        <v>0</v>
      </c>
      <c r="J36" s="174">
        <v>43606</v>
      </c>
      <c r="K36" s="96">
        <f t="shared" si="0"/>
        <v>1.582362596248812E-3</v>
      </c>
      <c r="L36" s="96">
        <f t="shared" si="1"/>
        <v>7.192493828962864E-3</v>
      </c>
      <c r="M36" s="96">
        <f t="shared" si="2"/>
        <v>4.9716459404885775E-2</v>
      </c>
      <c r="N36" s="96">
        <f t="shared" si="3"/>
        <v>4.0410773924962673E-2</v>
      </c>
      <c r="O36" s="96">
        <f t="shared" si="4"/>
        <v>2.5860779147258251E-2</v>
      </c>
      <c r="P36" s="96">
        <f t="shared" si="5"/>
        <v>9.3895240617593093E-3</v>
      </c>
      <c r="Q36" s="96">
        <f t="shared" si="6"/>
        <v>7.7436576025814708E-4</v>
      </c>
    </row>
    <row r="37" spans="1:17">
      <c r="A37" s="174">
        <v>43607</v>
      </c>
      <c r="B37" s="96">
        <v>0</v>
      </c>
      <c r="C37" s="96">
        <v>-2.4758116919139237E-2</v>
      </c>
      <c r="D37" s="96">
        <v>-1.3360252166340493E-2</v>
      </c>
      <c r="E37" s="96">
        <v>-3.0534374868903431E-3</v>
      </c>
      <c r="F37" s="96">
        <v>-2.8203984616221735E-2</v>
      </c>
      <c r="G37" s="96">
        <v>-6.8143364197301654E-3</v>
      </c>
      <c r="H37" s="96">
        <v>-1.4652276786870375E-2</v>
      </c>
      <c r="J37" s="174">
        <v>43607</v>
      </c>
      <c r="K37" s="96">
        <f t="shared" si="0"/>
        <v>9.8645053523173701E-4</v>
      </c>
      <c r="L37" s="96">
        <f t="shared" si="1"/>
        <v>-2.4577045327980454E-2</v>
      </c>
      <c r="M37" s="96">
        <f t="shared" si="2"/>
        <v>-1.2599863194228768E-2</v>
      </c>
      <c r="N37" s="96">
        <f t="shared" si="3"/>
        <v>-2.7495201871598875E-3</v>
      </c>
      <c r="O37" s="96">
        <f t="shared" si="4"/>
        <v>-2.5790938550536116E-2</v>
      </c>
      <c r="P37" s="96">
        <f t="shared" si="5"/>
        <v>-7.6638096590651425E-3</v>
      </c>
      <c r="Q37" s="96">
        <f t="shared" si="6"/>
        <v>-1.3877911026612228E-2</v>
      </c>
    </row>
    <row r="38" spans="1:17">
      <c r="A38" s="174">
        <v>43608</v>
      </c>
      <c r="B38" s="96">
        <v>1.6542974453757221E-2</v>
      </c>
      <c r="C38" s="96">
        <v>1.0685765080461316E-2</v>
      </c>
      <c r="D38" s="96">
        <v>-1.1498266687373134E-2</v>
      </c>
      <c r="E38" s="96">
        <v>-1.3775438643266602E-2</v>
      </c>
      <c r="F38" s="96">
        <v>3.2828270313335649E-2</v>
      </c>
      <c r="G38" s="96">
        <v>1.7079423451563376E-3</v>
      </c>
      <c r="H38" s="96">
        <v>1.4652276786870415E-2</v>
      </c>
      <c r="J38" s="174">
        <v>43608</v>
      </c>
      <c r="K38" s="96">
        <f t="shared" si="0"/>
        <v>1.7529424988988958E-2</v>
      </c>
      <c r="L38" s="96">
        <f t="shared" si="1"/>
        <v>1.0866836671620098E-2</v>
      </c>
      <c r="M38" s="96">
        <f t="shared" si="2"/>
        <v>-1.0737877715261409E-2</v>
      </c>
      <c r="N38" s="96">
        <f t="shared" si="3"/>
        <v>-1.3471521343536146E-2</v>
      </c>
      <c r="O38" s="96">
        <f t="shared" si="4"/>
        <v>3.5241316379021267E-2</v>
      </c>
      <c r="P38" s="96">
        <f t="shared" si="5"/>
        <v>8.584691058213603E-4</v>
      </c>
      <c r="Q38" s="96">
        <f t="shared" si="6"/>
        <v>1.5426642547128562E-2</v>
      </c>
    </row>
    <row r="39" spans="1:17">
      <c r="A39" s="174">
        <v>43609</v>
      </c>
      <c r="B39" s="96">
        <v>7.0069187766383422E-3</v>
      </c>
      <c r="C39" s="96">
        <v>1.4072351838678037E-2</v>
      </c>
      <c r="D39" s="96">
        <v>2.0202707317519469E-2</v>
      </c>
      <c r="E39" s="96">
        <v>9.2585734061609061E-3</v>
      </c>
      <c r="F39" s="96">
        <v>-4.6242856971137917E-3</v>
      </c>
      <c r="G39" s="96">
        <v>5.1063940745740555E-3</v>
      </c>
      <c r="H39" s="96">
        <v>-7.299302481611496E-3</v>
      </c>
      <c r="J39" s="174">
        <v>43609</v>
      </c>
      <c r="K39" s="96">
        <f t="shared" si="0"/>
        <v>7.9933693118700785E-3</v>
      </c>
      <c r="L39" s="96">
        <f t="shared" si="1"/>
        <v>1.4253423429836818E-2</v>
      </c>
      <c r="M39" s="96">
        <f t="shared" si="2"/>
        <v>2.0963096289631195E-2</v>
      </c>
      <c r="N39" s="96">
        <f t="shared" si="3"/>
        <v>9.5624907058913626E-3</v>
      </c>
      <c r="O39" s="96">
        <f t="shared" si="4"/>
        <v>-2.2112396314281722E-3</v>
      </c>
      <c r="P39" s="96">
        <f t="shared" si="5"/>
        <v>4.2569208352390784E-3</v>
      </c>
      <c r="Q39" s="96">
        <f t="shared" si="6"/>
        <v>-6.5249367213533489E-3</v>
      </c>
    </row>
    <row r="40" spans="1:17">
      <c r="A40" s="174">
        <v>43612</v>
      </c>
      <c r="B40" s="96">
        <v>5.6446987659210822E-2</v>
      </c>
      <c r="C40" s="96">
        <v>3.8548670117235243E-2</v>
      </c>
      <c r="D40" s="96">
        <v>4.8790164169432049E-2</v>
      </c>
      <c r="E40" s="96">
        <v>0.10808920653061971</v>
      </c>
      <c r="F40" s="96">
        <v>2.8557051908742061E-2</v>
      </c>
      <c r="G40" s="96">
        <v>4.4820779881933163E-2</v>
      </c>
      <c r="H40" s="96">
        <v>3.9502442976246173E-2</v>
      </c>
      <c r="J40" s="174">
        <v>43612</v>
      </c>
      <c r="K40" s="96">
        <f t="shared" si="0"/>
        <v>5.7433438194442556E-2</v>
      </c>
      <c r="L40" s="96">
        <f t="shared" si="1"/>
        <v>3.8729741708394022E-2</v>
      </c>
      <c r="M40" s="96">
        <f t="shared" si="2"/>
        <v>4.9550553141543774E-2</v>
      </c>
      <c r="N40" s="96">
        <f t="shared" si="3"/>
        <v>0.10839312383035016</v>
      </c>
      <c r="O40" s="96">
        <f t="shared" si="4"/>
        <v>3.0970097974427679E-2</v>
      </c>
      <c r="P40" s="96">
        <f t="shared" si="5"/>
        <v>4.3971306642598185E-2</v>
      </c>
      <c r="Q40" s="96">
        <f t="shared" si="6"/>
        <v>4.027680873650432E-2</v>
      </c>
    </row>
    <row r="41" spans="1:17">
      <c r="A41" s="174">
        <v>43613</v>
      </c>
      <c r="B41" s="96">
        <v>8.7604590053613381E-3</v>
      </c>
      <c r="C41" s="96">
        <v>-2.1232220105774167E-2</v>
      </c>
      <c r="D41" s="96">
        <v>1.7621601349819629E-2</v>
      </c>
      <c r="E41" s="96">
        <v>1.0824959568738612E-2</v>
      </c>
      <c r="F41" s="96">
        <v>-1.7036187152567852E-2</v>
      </c>
      <c r="G41" s="96">
        <v>5.0643732818754936E-2</v>
      </c>
      <c r="H41" s="96">
        <v>3.5149421074445919E-3</v>
      </c>
      <c r="J41" s="174">
        <v>43613</v>
      </c>
      <c r="K41" s="96">
        <f t="shared" si="0"/>
        <v>9.7469095405930753E-3</v>
      </c>
      <c r="L41" s="96">
        <f t="shared" si="1"/>
        <v>-2.1051148514615384E-2</v>
      </c>
      <c r="M41" s="96">
        <f t="shared" si="2"/>
        <v>1.8381990321931354E-2</v>
      </c>
      <c r="N41" s="96">
        <f t="shared" si="3"/>
        <v>1.1128876868469069E-2</v>
      </c>
      <c r="O41" s="96">
        <f t="shared" si="4"/>
        <v>-1.4623141086882233E-2</v>
      </c>
      <c r="P41" s="96">
        <f t="shared" si="5"/>
        <v>4.9794259579419957E-2</v>
      </c>
      <c r="Q41" s="96">
        <f t="shared" si="6"/>
        <v>4.2893078677027387E-3</v>
      </c>
    </row>
    <row r="42" spans="1:17">
      <c r="A42" s="174">
        <v>43614</v>
      </c>
      <c r="B42" s="96">
        <v>-3.2761850861054852E-3</v>
      </c>
      <c r="C42" s="96">
        <v>3.789927259098573E-2</v>
      </c>
      <c r="D42" s="96">
        <v>-1.4452026588540452E-2</v>
      </c>
      <c r="E42" s="96">
        <v>-1.2928250023051934E-3</v>
      </c>
      <c r="F42" s="96">
        <v>7.9863516326499229E-3</v>
      </c>
      <c r="G42" s="96">
        <v>-2.500130220541727E-2</v>
      </c>
      <c r="H42" s="96">
        <v>-1.7699577099400975E-2</v>
      </c>
      <c r="J42" s="174">
        <v>43614</v>
      </c>
      <c r="K42" s="96">
        <f t="shared" si="0"/>
        <v>-2.2897345508737484E-3</v>
      </c>
      <c r="L42" s="96">
        <f t="shared" si="1"/>
        <v>3.808034418214451E-2</v>
      </c>
      <c r="M42" s="96">
        <f t="shared" si="2"/>
        <v>-1.3691637616428727E-2</v>
      </c>
      <c r="N42" s="96">
        <f t="shared" si="3"/>
        <v>-9.8890770257473756E-4</v>
      </c>
      <c r="O42" s="96">
        <f t="shared" si="4"/>
        <v>1.0399397698335543E-2</v>
      </c>
      <c r="P42" s="96">
        <f t="shared" si="5"/>
        <v>-2.5850775444752248E-2</v>
      </c>
      <c r="Q42" s="96">
        <f t="shared" si="6"/>
        <v>-1.6925211339142827E-2</v>
      </c>
    </row>
    <row r="43" spans="1:17">
      <c r="A43" s="174">
        <v>43615</v>
      </c>
      <c r="B43" s="96">
        <v>1.5197860909431522E-2</v>
      </c>
      <c r="C43" s="96">
        <v>1.3136477905369981E-2</v>
      </c>
      <c r="D43" s="96">
        <v>1.2578782206859965E-2</v>
      </c>
      <c r="E43" s="96">
        <v>2.5839807659250678E-3</v>
      </c>
      <c r="F43" s="96">
        <v>2.2701485345390775E-3</v>
      </c>
      <c r="G43" s="96">
        <v>1.4140062773812693E-2</v>
      </c>
      <c r="H43" s="96">
        <v>3.1637084943182445E-2</v>
      </c>
      <c r="J43" s="174">
        <v>43615</v>
      </c>
      <c r="K43" s="96">
        <f t="shared" si="0"/>
        <v>1.6184311444663257E-2</v>
      </c>
      <c r="L43" s="96">
        <f t="shared" si="1"/>
        <v>1.3317549496528762E-2</v>
      </c>
      <c r="M43" s="96">
        <f t="shared" si="2"/>
        <v>1.333917117897169E-2</v>
      </c>
      <c r="N43" s="96">
        <f t="shared" si="3"/>
        <v>2.8878980656555234E-3</v>
      </c>
      <c r="O43" s="96">
        <f t="shared" si="4"/>
        <v>4.6831946002246971E-3</v>
      </c>
      <c r="P43" s="96">
        <f t="shared" si="5"/>
        <v>1.3290589534477716E-2</v>
      </c>
      <c r="Q43" s="96">
        <f t="shared" si="6"/>
        <v>3.2411450703440592E-2</v>
      </c>
    </row>
    <row r="44" spans="1:17">
      <c r="A44" s="174">
        <v>43616</v>
      </c>
      <c r="B44" s="96">
        <v>9.1158334080096333E-3</v>
      </c>
      <c r="C44" s="96">
        <v>-8.1599351732930254E-4</v>
      </c>
      <c r="D44" s="96">
        <v>-6.2696130135953742E-3</v>
      </c>
      <c r="E44" s="96">
        <v>1.2112723797721475E-2</v>
      </c>
      <c r="F44" s="96">
        <v>3.1252543504104315E-2</v>
      </c>
      <c r="G44" s="96">
        <v>2.465456156394058E-2</v>
      </c>
      <c r="H44" s="96">
        <v>0</v>
      </c>
      <c r="J44" s="174">
        <v>43616</v>
      </c>
      <c r="K44" s="96">
        <f t="shared" si="0"/>
        <v>1.0102283943241371E-2</v>
      </c>
      <c r="L44" s="96">
        <f t="shared" si="1"/>
        <v>-6.3492192617052112E-4</v>
      </c>
      <c r="M44" s="96">
        <f t="shared" si="2"/>
        <v>-5.509224041483649E-3</v>
      </c>
      <c r="N44" s="96">
        <f t="shared" si="3"/>
        <v>1.2416641097451931E-2</v>
      </c>
      <c r="O44" s="96">
        <f t="shared" si="4"/>
        <v>3.3665589569789933E-2</v>
      </c>
      <c r="P44" s="96">
        <f t="shared" si="5"/>
        <v>2.3805088324605601E-2</v>
      </c>
      <c r="Q44" s="96">
        <f t="shared" si="6"/>
        <v>7.7436576025814708E-4</v>
      </c>
    </row>
    <row r="45" spans="1:17">
      <c r="A45" s="174">
        <v>43619</v>
      </c>
      <c r="B45" s="96">
        <v>1.6936998497648716E-2</v>
      </c>
      <c r="C45" s="96">
        <v>1.6997576368571077E-2</v>
      </c>
      <c r="D45" s="96">
        <v>3.096222560396689E-2</v>
      </c>
      <c r="E45" s="96">
        <v>6.6351623396074593E-3</v>
      </c>
      <c r="F45" s="96">
        <v>-1.1049836186584935E-2</v>
      </c>
      <c r="G45" s="96">
        <v>1.5106027431013096E-2</v>
      </c>
      <c r="H45" s="96">
        <v>1.3745920904635136E-2</v>
      </c>
      <c r="J45" s="174">
        <v>43619</v>
      </c>
      <c r="K45" s="96">
        <f t="shared" si="0"/>
        <v>1.7923449032880453E-2</v>
      </c>
      <c r="L45" s="96">
        <f t="shared" si="1"/>
        <v>1.717864795972986E-2</v>
      </c>
      <c r="M45" s="96">
        <f t="shared" si="2"/>
        <v>3.1722614576078619E-2</v>
      </c>
      <c r="N45" s="96">
        <f t="shared" si="3"/>
        <v>6.939079639337915E-3</v>
      </c>
      <c r="O45" s="96">
        <f t="shared" si="4"/>
        <v>-8.6367901208993167E-3</v>
      </c>
      <c r="P45" s="96">
        <f t="shared" si="5"/>
        <v>1.4256554191678119E-2</v>
      </c>
      <c r="Q45" s="96">
        <f t="shared" si="6"/>
        <v>1.4520286664893283E-2</v>
      </c>
    </row>
    <row r="46" spans="1:17">
      <c r="A46" s="174">
        <v>43620</v>
      </c>
      <c r="B46" s="96">
        <v>-2.4976057816479592E-2</v>
      </c>
      <c r="C46" s="96">
        <v>-3.2154368539744657E-3</v>
      </c>
      <c r="D46" s="96">
        <v>-1.3505423199807007E-2</v>
      </c>
      <c r="E46" s="96">
        <v>-6.6351623396075071E-3</v>
      </c>
      <c r="F46" s="96">
        <v>1.1104942840271153E-3</v>
      </c>
      <c r="G46" s="96">
        <v>-4.5078964391899283E-3</v>
      </c>
      <c r="H46" s="96">
        <v>-3.418806748785609E-3</v>
      </c>
      <c r="J46" s="174">
        <v>43620</v>
      </c>
      <c r="K46" s="96">
        <f t="shared" si="0"/>
        <v>-2.3989607281247854E-2</v>
      </c>
      <c r="L46" s="96">
        <f t="shared" si="1"/>
        <v>-3.0343652628156844E-3</v>
      </c>
      <c r="M46" s="96">
        <f t="shared" si="2"/>
        <v>-1.2745034227695282E-2</v>
      </c>
      <c r="N46" s="96">
        <f t="shared" si="3"/>
        <v>-6.3312450398770514E-3</v>
      </c>
      <c r="O46" s="96">
        <f t="shared" si="4"/>
        <v>3.5235403497127348E-3</v>
      </c>
      <c r="P46" s="96">
        <f t="shared" si="5"/>
        <v>-5.3573696785249054E-3</v>
      </c>
      <c r="Q46" s="96">
        <f t="shared" si="6"/>
        <v>-2.6444409885274618E-3</v>
      </c>
    </row>
    <row r="47" spans="1:17">
      <c r="A47" s="174">
        <v>43621</v>
      </c>
      <c r="B47" s="96">
        <v>0</v>
      </c>
      <c r="C47" s="96">
        <v>-3.2258092488825657E-3</v>
      </c>
      <c r="D47" s="96">
        <v>1.8978224941161873E-2</v>
      </c>
      <c r="E47" s="96">
        <v>-1.2756007682470716E-3</v>
      </c>
      <c r="F47" s="96">
        <v>-1.1104942840271764E-3</v>
      </c>
      <c r="G47" s="96">
        <v>-1.5071592905713629E-3</v>
      </c>
      <c r="H47" s="96">
        <v>6.8259650703998906E-3</v>
      </c>
      <c r="J47" s="174">
        <v>43621</v>
      </c>
      <c r="K47" s="96">
        <f t="shared" si="0"/>
        <v>9.8645053523173701E-4</v>
      </c>
      <c r="L47" s="96">
        <f t="shared" si="1"/>
        <v>-3.0447376577237843E-3</v>
      </c>
      <c r="M47" s="96">
        <f t="shared" si="2"/>
        <v>1.9738613913273598E-2</v>
      </c>
      <c r="N47" s="96">
        <f t="shared" si="3"/>
        <v>-9.7168346851661579E-4</v>
      </c>
      <c r="O47" s="96">
        <f t="shared" si="4"/>
        <v>1.3025517816584431E-3</v>
      </c>
      <c r="P47" s="96">
        <f t="shared" si="5"/>
        <v>-2.3566325299063402E-3</v>
      </c>
      <c r="Q47" s="96">
        <f t="shared" si="6"/>
        <v>7.6003308306580378E-3</v>
      </c>
    </row>
    <row r="48" spans="1:17">
      <c r="A48" s="174">
        <v>43622</v>
      </c>
      <c r="B48" s="96">
        <v>1.7072544416498681E-2</v>
      </c>
      <c r="C48" s="96">
        <v>-2.0400544300491302E-2</v>
      </c>
      <c r="D48" s="96">
        <v>-2.4286593601266274E-3</v>
      </c>
      <c r="E48" s="96">
        <v>0</v>
      </c>
      <c r="F48" s="96">
        <v>0</v>
      </c>
      <c r="G48" s="96">
        <v>-3.2186686495901333E-2</v>
      </c>
      <c r="H48" s="96">
        <v>-3.4071583216141975E-3</v>
      </c>
      <c r="J48" s="174">
        <v>43622</v>
      </c>
      <c r="K48" s="96">
        <f t="shared" si="0"/>
        <v>1.8058994951730419E-2</v>
      </c>
      <c r="L48" s="96">
        <f t="shared" si="1"/>
        <v>-2.0219472709332519E-2</v>
      </c>
      <c r="M48" s="96">
        <f t="shared" si="2"/>
        <v>-1.6682703880149018E-3</v>
      </c>
      <c r="N48" s="96">
        <f t="shared" si="3"/>
        <v>3.039172997304558E-4</v>
      </c>
      <c r="O48" s="96">
        <f t="shared" si="4"/>
        <v>2.4130460656856196E-3</v>
      </c>
      <c r="P48" s="96">
        <f t="shared" si="5"/>
        <v>-3.3036159735236312E-2</v>
      </c>
      <c r="Q48" s="96">
        <f t="shared" si="6"/>
        <v>-2.6327925613560503E-3</v>
      </c>
    </row>
    <row r="49" spans="1:17">
      <c r="A49" s="174">
        <v>43623</v>
      </c>
      <c r="B49" s="96">
        <v>6.3278000638193809E-3</v>
      </c>
      <c r="C49" s="96">
        <v>-8.2474231479049472E-4</v>
      </c>
      <c r="D49" s="96">
        <v>-1.6549565581035274E-2</v>
      </c>
      <c r="E49" s="96">
        <v>-6.6880363132982394E-3</v>
      </c>
      <c r="F49" s="96">
        <v>-1.5677812719229904E-2</v>
      </c>
      <c r="G49" s="96">
        <v>1.0844413014128876E-2</v>
      </c>
      <c r="H49" s="96">
        <v>6.8027473227523999E-3</v>
      </c>
      <c r="J49" s="174">
        <v>43623</v>
      </c>
      <c r="K49" s="96">
        <f t="shared" si="0"/>
        <v>7.3142505990511182E-3</v>
      </c>
      <c r="L49" s="96">
        <f t="shared" si="1"/>
        <v>-6.436707236317133E-4</v>
      </c>
      <c r="M49" s="96">
        <f t="shared" si="2"/>
        <v>-1.5789176608923549E-2</v>
      </c>
      <c r="N49" s="96">
        <f t="shared" si="3"/>
        <v>-6.3841190135677838E-3</v>
      </c>
      <c r="O49" s="96">
        <f t="shared" si="4"/>
        <v>-1.3264766653544285E-2</v>
      </c>
      <c r="P49" s="96">
        <f t="shared" si="5"/>
        <v>9.9949397747938987E-3</v>
      </c>
      <c r="Q49" s="96">
        <f t="shared" si="6"/>
        <v>7.5771130830105471E-3</v>
      </c>
    </row>
    <row r="50" spans="1:17">
      <c r="A50" s="174">
        <v>43626</v>
      </c>
      <c r="B50" s="96">
        <v>3.805956182434498E-2</v>
      </c>
      <c r="C50" s="96">
        <v>2.6060106669865087E-2</v>
      </c>
      <c r="D50" s="96">
        <v>1.9584469276189394E-2</v>
      </c>
      <c r="E50" s="96">
        <v>2.9126223511017124E-2</v>
      </c>
      <c r="F50" s="96">
        <v>1.3453117697118676E-2</v>
      </c>
      <c r="G50" s="96">
        <v>4.0760359338873974E-2</v>
      </c>
      <c r="H50" s="96">
        <v>0</v>
      </c>
      <c r="J50" s="174">
        <v>43626</v>
      </c>
      <c r="K50" s="96">
        <f t="shared" si="0"/>
        <v>3.9046012359576714E-2</v>
      </c>
      <c r="L50" s="96">
        <f t="shared" si="1"/>
        <v>2.624117826102387E-2</v>
      </c>
      <c r="M50" s="96">
        <f t="shared" si="2"/>
        <v>2.034485824830112E-2</v>
      </c>
      <c r="N50" s="96">
        <f t="shared" si="3"/>
        <v>2.9430140810747581E-2</v>
      </c>
      <c r="O50" s="96">
        <f t="shared" si="4"/>
        <v>1.5866163762804295E-2</v>
      </c>
      <c r="P50" s="96">
        <f t="shared" si="5"/>
        <v>3.9910886099538995E-2</v>
      </c>
      <c r="Q50" s="96">
        <f t="shared" si="6"/>
        <v>7.7436576025814708E-4</v>
      </c>
    </row>
    <row r="51" spans="1:17">
      <c r="A51" s="174">
        <v>43627</v>
      </c>
      <c r="B51" s="96">
        <v>6.0538980171823418E-3</v>
      </c>
      <c r="C51" s="96">
        <v>3.2102756302481894E-3</v>
      </c>
      <c r="D51" s="96">
        <v>-9.7442914746781635E-3</v>
      </c>
      <c r="E51" s="96">
        <v>4.8321193814954574E-2</v>
      </c>
      <c r="F51" s="96">
        <v>-6.7039357221903295E-3</v>
      </c>
      <c r="G51" s="96">
        <v>0</v>
      </c>
      <c r="H51" s="96">
        <v>0</v>
      </c>
      <c r="J51" s="174">
        <v>43627</v>
      </c>
      <c r="K51" s="96">
        <f t="shared" si="0"/>
        <v>7.040348552414079E-3</v>
      </c>
      <c r="L51" s="96">
        <f t="shared" si="1"/>
        <v>3.3913472214069707E-3</v>
      </c>
      <c r="M51" s="96">
        <f t="shared" si="2"/>
        <v>-8.9839025025664383E-3</v>
      </c>
      <c r="N51" s="96">
        <f t="shared" si="3"/>
        <v>4.8625111114685031E-2</v>
      </c>
      <c r="O51" s="96">
        <f t="shared" si="4"/>
        <v>-4.29088965650471E-3</v>
      </c>
      <c r="P51" s="96">
        <f t="shared" si="5"/>
        <v>-8.494732393349773E-4</v>
      </c>
      <c r="Q51" s="96">
        <f t="shared" si="6"/>
        <v>7.7436576025814708E-4</v>
      </c>
    </row>
    <row r="52" spans="1:17">
      <c r="A52" s="174">
        <v>43628</v>
      </c>
      <c r="B52" s="96">
        <v>-1.5101893460037928E-2</v>
      </c>
      <c r="C52" s="96">
        <v>-9.6619109117369716E-3</v>
      </c>
      <c r="D52" s="96">
        <v>-1.6661909682435534E-2</v>
      </c>
      <c r="E52" s="96">
        <v>-7.4270898436153412E-3</v>
      </c>
      <c r="F52" s="96">
        <v>-1.3544225107757149E-2</v>
      </c>
      <c r="G52" s="96">
        <v>5.899722127188322E-3</v>
      </c>
      <c r="H52" s="96">
        <v>-6.8027473227525231E-3</v>
      </c>
      <c r="J52" s="174">
        <v>43628</v>
      </c>
      <c r="K52" s="96">
        <f t="shared" si="0"/>
        <v>-1.4115442924806191E-2</v>
      </c>
      <c r="L52" s="96">
        <f t="shared" si="1"/>
        <v>-9.4808393205781903E-3</v>
      </c>
      <c r="M52" s="96">
        <f t="shared" si="2"/>
        <v>-1.5901520710323809E-2</v>
      </c>
      <c r="N52" s="96">
        <f t="shared" si="3"/>
        <v>-7.1231725438848856E-3</v>
      </c>
      <c r="O52" s="96">
        <f t="shared" si="4"/>
        <v>-1.1131179042071528E-2</v>
      </c>
      <c r="P52" s="96">
        <f t="shared" si="5"/>
        <v>5.0502488878533449E-3</v>
      </c>
      <c r="Q52" s="96">
        <f t="shared" si="6"/>
        <v>-6.0283815624943759E-3</v>
      </c>
    </row>
    <row r="53" spans="1:17">
      <c r="A53" s="174">
        <v>43629</v>
      </c>
      <c r="B53" s="96">
        <v>1.5604734522576588E-2</v>
      </c>
      <c r="C53" s="96">
        <v>2.0024697947283433E-2</v>
      </c>
      <c r="D53" s="96">
        <v>-2.2656727481891417E-2</v>
      </c>
      <c r="E53" s="96">
        <v>9.9345144499760618E-3</v>
      </c>
      <c r="F53" s="96">
        <v>-2.2989518224698833E-2</v>
      </c>
      <c r="G53" s="96">
        <v>1.8937201019750782E-2</v>
      </c>
      <c r="H53" s="96">
        <v>6.8027473227523999E-3</v>
      </c>
      <c r="J53" s="174">
        <v>43629</v>
      </c>
      <c r="K53" s="96">
        <f t="shared" si="0"/>
        <v>1.6591185057808325E-2</v>
      </c>
      <c r="L53" s="96">
        <f t="shared" si="1"/>
        <v>2.0205769538442216E-2</v>
      </c>
      <c r="M53" s="96">
        <f t="shared" si="2"/>
        <v>-2.1896338509779692E-2</v>
      </c>
      <c r="N53" s="96">
        <f t="shared" si="3"/>
        <v>1.0238431749706518E-2</v>
      </c>
      <c r="O53" s="96">
        <f t="shared" si="4"/>
        <v>-2.0576472159013214E-2</v>
      </c>
      <c r="P53" s="96">
        <f t="shared" si="5"/>
        <v>1.8087727780415803E-2</v>
      </c>
      <c r="Q53" s="96">
        <f t="shared" si="6"/>
        <v>7.5771130830105471E-3</v>
      </c>
    </row>
    <row r="54" spans="1:17">
      <c r="A54" s="174">
        <v>43630</v>
      </c>
      <c r="B54" s="96">
        <v>-1.152808802881298E-2</v>
      </c>
      <c r="C54" s="96">
        <v>-4.7694843990351687E-3</v>
      </c>
      <c r="D54" s="96">
        <v>-1.5394787682555021E-2</v>
      </c>
      <c r="E54" s="96">
        <v>4.9960661375374679E-3</v>
      </c>
      <c r="F54" s="96">
        <v>-1.1696039763191187E-2</v>
      </c>
      <c r="G54" s="96">
        <v>2.8818463748889502E-3</v>
      </c>
      <c r="H54" s="96">
        <v>0</v>
      </c>
      <c r="J54" s="174">
        <v>43630</v>
      </c>
      <c r="K54" s="96">
        <f t="shared" si="0"/>
        <v>-1.0541637493581243E-2</v>
      </c>
      <c r="L54" s="96">
        <f t="shared" si="1"/>
        <v>-4.5884128078763874E-3</v>
      </c>
      <c r="M54" s="96">
        <f t="shared" si="2"/>
        <v>-1.4634398710443296E-2</v>
      </c>
      <c r="N54" s="96">
        <f t="shared" si="3"/>
        <v>5.2999834372679236E-3</v>
      </c>
      <c r="O54" s="96">
        <f t="shared" si="4"/>
        <v>-9.282993697505567E-3</v>
      </c>
      <c r="P54" s="96">
        <f t="shared" si="5"/>
        <v>2.0323731355539731E-3</v>
      </c>
      <c r="Q54" s="96">
        <f t="shared" si="6"/>
        <v>7.7436576025814708E-4</v>
      </c>
    </row>
    <row r="55" spans="1:17">
      <c r="A55" s="174">
        <v>43634</v>
      </c>
      <c r="B55" s="96">
        <v>1.3035095899294899E-2</v>
      </c>
      <c r="C55" s="96">
        <v>1.1093616148503259E-2</v>
      </c>
      <c r="D55" s="96">
        <v>4.980543953468982E-2</v>
      </c>
      <c r="E55" s="96">
        <v>1.4710933784845902E-2</v>
      </c>
      <c r="F55" s="96">
        <v>-2.3557136924590365E-3</v>
      </c>
      <c r="G55" s="96">
        <v>7.168489478612497E-3</v>
      </c>
      <c r="H55" s="96">
        <v>0</v>
      </c>
      <c r="J55" s="174">
        <v>43634</v>
      </c>
      <c r="K55" s="96">
        <f t="shared" si="0"/>
        <v>1.4021546434526636E-2</v>
      </c>
      <c r="L55" s="96">
        <f t="shared" si="1"/>
        <v>1.127468773966204E-2</v>
      </c>
      <c r="M55" s="96">
        <f t="shared" si="2"/>
        <v>5.0565828506801545E-2</v>
      </c>
      <c r="N55" s="96">
        <f t="shared" si="3"/>
        <v>1.5014851084576359E-2</v>
      </c>
      <c r="O55" s="96">
        <f t="shared" si="4"/>
        <v>5.7332373226583102E-5</v>
      </c>
      <c r="P55" s="96">
        <f t="shared" si="5"/>
        <v>6.3190162392775199E-3</v>
      </c>
      <c r="Q55" s="96">
        <f t="shared" si="6"/>
        <v>7.7436576025814708E-4</v>
      </c>
    </row>
    <row r="56" spans="1:17">
      <c r="A56" s="174">
        <v>43635</v>
      </c>
      <c r="B56" s="96">
        <v>-1.7622493719346159E-2</v>
      </c>
      <c r="C56" s="96">
        <v>-7.1174677688639896E-3</v>
      </c>
      <c r="D56" s="96">
        <v>-1.8467225931647741E-3</v>
      </c>
      <c r="E56" s="96">
        <v>-6.092442203404512E-3</v>
      </c>
      <c r="F56" s="96">
        <v>3.9311420214888142E-2</v>
      </c>
      <c r="G56" s="96">
        <v>-2.0202707317519355E-2</v>
      </c>
      <c r="H56" s="96">
        <v>0</v>
      </c>
      <c r="J56" s="174">
        <v>43635</v>
      </c>
      <c r="K56" s="96">
        <f t="shared" si="0"/>
        <v>-1.6636043184114421E-2</v>
      </c>
      <c r="L56" s="96">
        <f t="shared" si="1"/>
        <v>-6.9363961777052082E-3</v>
      </c>
      <c r="M56" s="96">
        <f t="shared" si="2"/>
        <v>-1.0863336210530485E-3</v>
      </c>
      <c r="N56" s="96">
        <f t="shared" si="3"/>
        <v>-5.7885249036740563E-3</v>
      </c>
      <c r="O56" s="96">
        <f t="shared" si="4"/>
        <v>4.172446628057376E-2</v>
      </c>
      <c r="P56" s="96">
        <f t="shared" si="5"/>
        <v>-2.1052180556854334E-2</v>
      </c>
      <c r="Q56" s="96">
        <f t="shared" si="6"/>
        <v>7.7436576025814708E-4</v>
      </c>
    </row>
    <row r="57" spans="1:17">
      <c r="A57" s="174">
        <v>43636</v>
      </c>
      <c r="B57" s="96">
        <v>-2.557676978726746E-3</v>
      </c>
      <c r="C57" s="96">
        <v>-7.9681696491768449E-3</v>
      </c>
      <c r="D57" s="96">
        <v>1.9524720296572162E-2</v>
      </c>
      <c r="E57" s="96">
        <v>2.4673735003214159E-3</v>
      </c>
      <c r="F57" s="96">
        <v>-7.9681696491769576E-3</v>
      </c>
      <c r="G57" s="96">
        <v>1.4566644964641641E-3</v>
      </c>
      <c r="H57" s="96">
        <v>-1.7094433359300068E-2</v>
      </c>
      <c r="J57" s="174">
        <v>43636</v>
      </c>
      <c r="K57" s="96">
        <f t="shared" si="0"/>
        <v>-1.5712264434950089E-3</v>
      </c>
      <c r="L57" s="96">
        <f t="shared" si="1"/>
        <v>-7.7870980580180636E-3</v>
      </c>
      <c r="M57" s="96">
        <f t="shared" si="2"/>
        <v>2.0285109268683887E-2</v>
      </c>
      <c r="N57" s="96">
        <f t="shared" si="3"/>
        <v>2.7712908000518716E-3</v>
      </c>
      <c r="O57" s="96">
        <f t="shared" si="4"/>
        <v>-5.5551235834913381E-3</v>
      </c>
      <c r="P57" s="96">
        <f t="shared" si="5"/>
        <v>6.0719125712918685E-4</v>
      </c>
      <c r="Q57" s="96">
        <f t="shared" si="6"/>
        <v>-1.6320067599041921E-2</v>
      </c>
    </row>
    <row r="58" spans="1:17">
      <c r="A58" s="174">
        <v>43637</v>
      </c>
      <c r="B58" s="96">
        <v>2.2686814613461885E-2</v>
      </c>
      <c r="C58" s="96">
        <v>-2.6754737308819613E-2</v>
      </c>
      <c r="D58" s="96">
        <v>1.3801599215988294E-2</v>
      </c>
      <c r="E58" s="96">
        <v>6.0774739334963869E-3</v>
      </c>
      <c r="F58" s="96">
        <v>-4.6792161506758939E-2</v>
      </c>
      <c r="G58" s="96">
        <v>1.8746042821055412E-2</v>
      </c>
      <c r="H58" s="96">
        <v>1.0291686036547724E-2</v>
      </c>
      <c r="J58" s="174">
        <v>43637</v>
      </c>
      <c r="K58" s="96">
        <f t="shared" si="0"/>
        <v>2.3673265148693622E-2</v>
      </c>
      <c r="L58" s="96">
        <f t="shared" si="1"/>
        <v>-2.657366571766083E-2</v>
      </c>
      <c r="M58" s="96">
        <f t="shared" si="2"/>
        <v>1.456198818810002E-2</v>
      </c>
      <c r="N58" s="96">
        <f t="shared" si="3"/>
        <v>6.3813912332268425E-3</v>
      </c>
      <c r="O58" s="96">
        <f t="shared" si="4"/>
        <v>-4.437911544107332E-2</v>
      </c>
      <c r="P58" s="96">
        <f t="shared" si="5"/>
        <v>1.7896569581720433E-2</v>
      </c>
      <c r="Q58" s="96">
        <f t="shared" si="6"/>
        <v>1.1066051796805872E-2</v>
      </c>
    </row>
    <row r="59" spans="1:17">
      <c r="A59" s="174">
        <v>43640</v>
      </c>
      <c r="B59" s="96">
        <v>2.4238214818385256E-2</v>
      </c>
      <c r="C59" s="96">
        <v>1.8722565611555362E-2</v>
      </c>
      <c r="D59" s="96">
        <v>-7.7774846126074468E-3</v>
      </c>
      <c r="E59" s="96">
        <v>6.040761252130409E-3</v>
      </c>
      <c r="F59" s="96">
        <v>2.9500664396697841E-2</v>
      </c>
      <c r="G59" s="96">
        <v>1.4184634991956381E-2</v>
      </c>
      <c r="H59" s="96">
        <v>0</v>
      </c>
      <c r="J59" s="174">
        <v>43640</v>
      </c>
      <c r="K59" s="96">
        <f t="shared" si="0"/>
        <v>2.5224665353616994E-2</v>
      </c>
      <c r="L59" s="96">
        <f t="shared" si="1"/>
        <v>1.8903637202714145E-2</v>
      </c>
      <c r="M59" s="96">
        <f t="shared" si="2"/>
        <v>-7.0170956404957217E-3</v>
      </c>
      <c r="N59" s="96">
        <f t="shared" si="3"/>
        <v>6.3446785518608646E-3</v>
      </c>
      <c r="O59" s="96">
        <f t="shared" si="4"/>
        <v>3.1913710462383463E-2</v>
      </c>
      <c r="P59" s="96">
        <f t="shared" si="5"/>
        <v>1.3335161752621404E-2</v>
      </c>
      <c r="Q59" s="96">
        <f t="shared" si="6"/>
        <v>7.7436576025814708E-4</v>
      </c>
    </row>
    <row r="60" spans="1:17">
      <c r="A60" s="174">
        <v>43641</v>
      </c>
      <c r="B60" s="96">
        <v>-1.5762320230795344E-2</v>
      </c>
      <c r="C60" s="96">
        <v>8.0321716972642527E-3</v>
      </c>
      <c r="D60" s="96">
        <v>-9.0498355199178145E-3</v>
      </c>
      <c r="E60" s="96">
        <v>6.0044894552537297E-3</v>
      </c>
      <c r="F60" s="96">
        <v>0</v>
      </c>
      <c r="G60" s="96">
        <v>-1.4094435032336043E-3</v>
      </c>
      <c r="H60" s="96">
        <v>3.4071583216141346E-3</v>
      </c>
      <c r="J60" s="174">
        <v>43641</v>
      </c>
      <c r="K60" s="96">
        <f t="shared" si="0"/>
        <v>-1.4775869695563607E-2</v>
      </c>
      <c r="L60" s="96">
        <f t="shared" si="1"/>
        <v>8.213243288423034E-3</v>
      </c>
      <c r="M60" s="96">
        <f t="shared" si="2"/>
        <v>-8.2894465478060893E-3</v>
      </c>
      <c r="N60" s="96">
        <f t="shared" si="3"/>
        <v>6.3084067549841853E-3</v>
      </c>
      <c r="O60" s="96">
        <f t="shared" si="4"/>
        <v>2.4130460656856196E-3</v>
      </c>
      <c r="P60" s="96">
        <f t="shared" si="5"/>
        <v>-2.2589167425685818E-3</v>
      </c>
      <c r="Q60" s="96">
        <f t="shared" si="6"/>
        <v>4.1815240818722814E-3</v>
      </c>
    </row>
    <row r="61" spans="1:17">
      <c r="A61" s="174">
        <v>43642</v>
      </c>
      <c r="B61" s="96">
        <v>-5.8157703901277939E-2</v>
      </c>
      <c r="C61" s="96">
        <v>7.9681696491768813E-3</v>
      </c>
      <c r="D61" s="96">
        <v>1.2048338516174355E-2</v>
      </c>
      <c r="E61" s="96">
        <v>3.295005256813717E-2</v>
      </c>
      <c r="F61" s="96">
        <v>-1.1634672632980698E-3</v>
      </c>
      <c r="G61" s="96">
        <v>2.2316128322547243E-2</v>
      </c>
      <c r="H61" s="96">
        <v>0</v>
      </c>
      <c r="J61" s="174">
        <v>43642</v>
      </c>
      <c r="K61" s="96">
        <f t="shared" si="0"/>
        <v>-5.7171253366046206E-2</v>
      </c>
      <c r="L61" s="96">
        <f t="shared" si="1"/>
        <v>8.1492412403356626E-3</v>
      </c>
      <c r="M61" s="96">
        <f t="shared" si="2"/>
        <v>1.2808727488286081E-2</v>
      </c>
      <c r="N61" s="96">
        <f t="shared" si="3"/>
        <v>3.3253969867867626E-2</v>
      </c>
      <c r="O61" s="96">
        <f t="shared" si="4"/>
        <v>1.2495788023875497E-3</v>
      </c>
      <c r="P61" s="96">
        <f t="shared" si="5"/>
        <v>2.1466655083212265E-2</v>
      </c>
      <c r="Q61" s="96">
        <f t="shared" si="6"/>
        <v>7.7436576025814708E-4</v>
      </c>
    </row>
    <row r="62" spans="1:17">
      <c r="A62" s="174">
        <v>43643</v>
      </c>
      <c r="B62" s="96">
        <v>3.0063423005240654E-2</v>
      </c>
      <c r="C62" s="96">
        <v>2.0424904852040942E-2</v>
      </c>
      <c r="D62" s="96">
        <v>0</v>
      </c>
      <c r="E62" s="96">
        <v>3.201825774058762E-2</v>
      </c>
      <c r="F62" s="96">
        <v>-1.0532572499893268E-2</v>
      </c>
      <c r="G62" s="96">
        <v>2.317758831270559E-2</v>
      </c>
      <c r="H62" s="96">
        <v>3.3955890011383287E-3</v>
      </c>
      <c r="J62" s="174">
        <v>43643</v>
      </c>
      <c r="K62" s="96">
        <f t="shared" si="0"/>
        <v>3.1049873540472391E-2</v>
      </c>
      <c r="L62" s="96">
        <f t="shared" si="1"/>
        <v>2.0605976443199725E-2</v>
      </c>
      <c r="M62" s="96">
        <f t="shared" si="2"/>
        <v>7.6038897211172551E-4</v>
      </c>
      <c r="N62" s="96">
        <f t="shared" si="3"/>
        <v>3.2322175040318077E-2</v>
      </c>
      <c r="O62" s="96">
        <f t="shared" si="4"/>
        <v>-8.1195264342076474E-3</v>
      </c>
      <c r="P62" s="96">
        <f t="shared" si="5"/>
        <v>2.2328115073370611E-2</v>
      </c>
      <c r="Q62" s="96">
        <f t="shared" si="6"/>
        <v>4.1699547613964754E-3</v>
      </c>
    </row>
    <row r="63" spans="1:17">
      <c r="A63" s="174">
        <v>43644</v>
      </c>
      <c r="B63" s="96">
        <v>5.0932166738162921E-3</v>
      </c>
      <c r="C63" s="96">
        <v>1.0827638652063393E-2</v>
      </c>
      <c r="D63" s="96">
        <v>1.7804624633506686E-2</v>
      </c>
      <c r="E63" s="96">
        <v>1.2219144854719796E-2</v>
      </c>
      <c r="F63" s="96">
        <v>9.367750003600241E-3</v>
      </c>
      <c r="G63" s="96">
        <v>-1.220354128072889E-2</v>
      </c>
      <c r="H63" s="96">
        <v>1.3468217050866611E-2</v>
      </c>
      <c r="J63" s="174">
        <v>43644</v>
      </c>
      <c r="K63" s="96">
        <f t="shared" si="0"/>
        <v>6.0796672090480293E-3</v>
      </c>
      <c r="L63" s="96">
        <f t="shared" si="1"/>
        <v>1.1008710243222175E-2</v>
      </c>
      <c r="M63" s="96">
        <f t="shared" si="2"/>
        <v>1.8565013605618411E-2</v>
      </c>
      <c r="N63" s="96">
        <f t="shared" si="3"/>
        <v>1.2523062154450253E-2</v>
      </c>
      <c r="O63" s="96">
        <f t="shared" si="4"/>
        <v>1.1780796069285861E-2</v>
      </c>
      <c r="P63" s="96">
        <f t="shared" si="5"/>
        <v>-1.3053014520063867E-2</v>
      </c>
      <c r="Q63" s="96">
        <f t="shared" si="6"/>
        <v>1.4242582811124758E-2</v>
      </c>
    </row>
    <row r="64" spans="1:17">
      <c r="A64" s="174">
        <v>43647</v>
      </c>
      <c r="B64" s="96">
        <v>-5.0932166738163242E-3</v>
      </c>
      <c r="C64" s="96">
        <v>-8.4975405104406633E-3</v>
      </c>
      <c r="D64" s="96">
        <v>1.4598799421152631E-2</v>
      </c>
      <c r="E64" s="96">
        <v>4.4508153018307059E-2</v>
      </c>
      <c r="F64" s="96">
        <v>2.5317807984290001E-2</v>
      </c>
      <c r="G64" s="96">
        <v>5.4421903026850363E-3</v>
      </c>
      <c r="H64" s="96">
        <v>6.6666913581892974E-3</v>
      </c>
      <c r="J64" s="174">
        <v>43647</v>
      </c>
      <c r="K64" s="96">
        <f t="shared" si="0"/>
        <v>-4.1067661385845869E-3</v>
      </c>
      <c r="L64" s="96">
        <f t="shared" si="1"/>
        <v>-8.316468919281882E-3</v>
      </c>
      <c r="M64" s="96">
        <f t="shared" si="2"/>
        <v>1.5359188393264356E-2</v>
      </c>
      <c r="N64" s="96">
        <f t="shared" si="3"/>
        <v>4.4812070318037515E-2</v>
      </c>
      <c r="O64" s="96">
        <f t="shared" si="4"/>
        <v>2.773085404997562E-2</v>
      </c>
      <c r="P64" s="96">
        <f t="shared" si="5"/>
        <v>4.5927170633500592E-3</v>
      </c>
      <c r="Q64" s="96">
        <f t="shared" si="6"/>
        <v>7.4410571184474446E-3</v>
      </c>
    </row>
    <row r="65" spans="1:17">
      <c r="A65" s="174">
        <v>43648</v>
      </c>
      <c r="B65" s="96">
        <v>5.0932166738162921E-3</v>
      </c>
      <c r="C65" s="96">
        <v>5.4158739730326378E-3</v>
      </c>
      <c r="D65" s="96">
        <v>0</v>
      </c>
      <c r="E65" s="96">
        <v>-3.1627723190590855E-3</v>
      </c>
      <c r="F65" s="96">
        <v>1.1357184639274286E-3</v>
      </c>
      <c r="G65" s="96">
        <v>-2.7173929765000266E-3</v>
      </c>
      <c r="H65" s="96">
        <v>2.9462032730316067E-2</v>
      </c>
      <c r="J65" s="174">
        <v>43648</v>
      </c>
      <c r="K65" s="96">
        <f t="shared" si="0"/>
        <v>6.0796672090480293E-3</v>
      </c>
      <c r="L65" s="96">
        <f t="shared" si="1"/>
        <v>5.5969455641914191E-3</v>
      </c>
      <c r="M65" s="96">
        <f t="shared" si="2"/>
        <v>7.6038897211172551E-4</v>
      </c>
      <c r="N65" s="96">
        <f t="shared" si="3"/>
        <v>-2.8588550193286298E-3</v>
      </c>
      <c r="O65" s="96">
        <f t="shared" si="4"/>
        <v>3.5487645296130481E-3</v>
      </c>
      <c r="P65" s="96">
        <f t="shared" si="5"/>
        <v>-3.5668662158350036E-3</v>
      </c>
      <c r="Q65" s="96">
        <f t="shared" si="6"/>
        <v>3.0236398490574214E-2</v>
      </c>
    </row>
    <row r="66" spans="1:17">
      <c r="A66" s="174">
        <v>43649</v>
      </c>
      <c r="B66" s="96">
        <v>1.5025745307095039E-2</v>
      </c>
      <c r="C66" s="96">
        <v>7.7130740422382677E-4</v>
      </c>
      <c r="D66" s="96">
        <v>2.0086758566737511E-2</v>
      </c>
      <c r="E66" s="96">
        <v>-1.0187334629423242E-3</v>
      </c>
      <c r="F66" s="96">
        <v>2.7981680106799849E-2</v>
      </c>
      <c r="G66" s="96">
        <v>3.3447934067540125E-2</v>
      </c>
      <c r="H66" s="96">
        <v>-6.4725145056174788E-3</v>
      </c>
      <c r="J66" s="174">
        <v>43649</v>
      </c>
      <c r="K66" s="96">
        <f t="shared" si="0"/>
        <v>1.6012195842326774E-2</v>
      </c>
      <c r="L66" s="96">
        <f t="shared" si="1"/>
        <v>9.5237899538260819E-4</v>
      </c>
      <c r="M66" s="96">
        <f t="shared" si="2"/>
        <v>2.0847147538849236E-2</v>
      </c>
      <c r="N66" s="96">
        <f t="shared" si="3"/>
        <v>-7.1481616321186834E-4</v>
      </c>
      <c r="O66" s="96">
        <f t="shared" si="4"/>
        <v>3.0394726172485467E-2</v>
      </c>
      <c r="P66" s="96">
        <f t="shared" si="5"/>
        <v>3.2598460828205146E-2</v>
      </c>
      <c r="Q66" s="96">
        <f t="shared" si="6"/>
        <v>-5.6981487453593316E-3</v>
      </c>
    </row>
    <row r="67" spans="1:17">
      <c r="A67" s="174">
        <v>43650</v>
      </c>
      <c r="B67" s="96">
        <v>-1.0059434993177827E-2</v>
      </c>
      <c r="C67" s="96">
        <v>-1.0073700066537508E-2</v>
      </c>
      <c r="D67" s="96">
        <v>2.3583350136085597E-2</v>
      </c>
      <c r="E67" s="96">
        <v>2.8359609627443307E-2</v>
      </c>
      <c r="F67" s="96">
        <v>6.6006840313518724E-3</v>
      </c>
      <c r="G67" s="96">
        <v>0</v>
      </c>
      <c r="H67" s="96">
        <v>-2.6317308317373417E-2</v>
      </c>
      <c r="J67" s="174">
        <v>43650</v>
      </c>
      <c r="K67" s="96">
        <f t="shared" si="0"/>
        <v>-9.07298445794609E-3</v>
      </c>
      <c r="L67" s="96">
        <f t="shared" si="1"/>
        <v>-9.8926284753787265E-3</v>
      </c>
      <c r="M67" s="96">
        <f t="shared" si="2"/>
        <v>2.4343739108197322E-2</v>
      </c>
      <c r="N67" s="96">
        <f t="shared" si="3"/>
        <v>2.8663526927173763E-2</v>
      </c>
      <c r="O67" s="96">
        <f t="shared" si="4"/>
        <v>9.0137300970374919E-3</v>
      </c>
      <c r="P67" s="96">
        <f t="shared" si="5"/>
        <v>-8.494732393349773E-4</v>
      </c>
      <c r="Q67" s="96">
        <f t="shared" si="6"/>
        <v>-2.554294255711527E-2</v>
      </c>
    </row>
    <row r="68" spans="1:17">
      <c r="A68" s="174">
        <v>43651</v>
      </c>
      <c r="B68" s="96">
        <v>1.5051458139595646E-2</v>
      </c>
      <c r="C68" s="96">
        <v>-1.4117881545784932E-2</v>
      </c>
      <c r="D68" s="96">
        <v>4.2374617655711717E-2</v>
      </c>
      <c r="E68" s="96">
        <v>2.3499775915898382E-2</v>
      </c>
      <c r="F68" s="96">
        <v>5.4674821821336156E-3</v>
      </c>
      <c r="G68" s="96">
        <v>-1.0582109330536972E-2</v>
      </c>
      <c r="H68" s="96">
        <v>-1.6807118316381289E-2</v>
      </c>
      <c r="J68" s="174">
        <v>43651</v>
      </c>
      <c r="K68" s="96">
        <f t="shared" ref="K68:K131" si="7">B68-$B$250</f>
        <v>1.6037908674827381E-2</v>
      </c>
      <c r="L68" s="96">
        <f t="shared" ref="L68:L131" si="8">C68-$C$250</f>
        <v>-1.393680995462615E-2</v>
      </c>
      <c r="M68" s="96">
        <f t="shared" ref="M68:M131" si="9">D68-$D$250</f>
        <v>4.3135006627823443E-2</v>
      </c>
      <c r="N68" s="96">
        <f t="shared" ref="N68:N131" si="10">E68-$E$250</f>
        <v>2.3803693215628838E-2</v>
      </c>
      <c r="O68" s="96">
        <f t="shared" ref="O68:O131" si="11">F68-$F$250</f>
        <v>7.8805282478192351E-3</v>
      </c>
      <c r="P68" s="96">
        <f t="shared" ref="P68:P131" si="12">G68-$G$250</f>
        <v>-1.1431582569871949E-2</v>
      </c>
      <c r="Q68" s="96">
        <f t="shared" ref="Q68:Q131" si="13">H68-$H$250</f>
        <v>-1.6032752556123141E-2</v>
      </c>
    </row>
    <row r="69" spans="1:17">
      <c r="A69" s="174">
        <v>43654</v>
      </c>
      <c r="B69" s="96">
        <v>0</v>
      </c>
      <c r="C69" s="96">
        <v>7.8957761701758207E-4</v>
      </c>
      <c r="D69" s="96">
        <v>-2.969178980740304E-2</v>
      </c>
      <c r="E69" s="96">
        <v>-1.320508418656844E-2</v>
      </c>
      <c r="F69" s="96">
        <v>-1.9824437784844544E-2</v>
      </c>
      <c r="G69" s="96">
        <v>-1.3306721857050613E-3</v>
      </c>
      <c r="H69" s="96">
        <v>0</v>
      </c>
      <c r="J69" s="174">
        <v>43654</v>
      </c>
      <c r="K69" s="96">
        <f t="shared" si="7"/>
        <v>9.8645053523173701E-4</v>
      </c>
      <c r="L69" s="96">
        <f t="shared" si="8"/>
        <v>9.7064920817636349E-4</v>
      </c>
      <c r="M69" s="96">
        <f t="shared" si="9"/>
        <v>-2.8931400835291315E-2</v>
      </c>
      <c r="N69" s="96">
        <f t="shared" si="10"/>
        <v>-1.2901166886837984E-2</v>
      </c>
      <c r="O69" s="96">
        <f t="shared" si="11"/>
        <v>-1.7411391719158925E-2</v>
      </c>
      <c r="P69" s="96">
        <f t="shared" si="12"/>
        <v>-2.1801454250400384E-3</v>
      </c>
      <c r="Q69" s="96">
        <f t="shared" si="13"/>
        <v>7.7436576025814708E-4</v>
      </c>
    </row>
    <row r="70" spans="1:17">
      <c r="A70" s="174">
        <v>43655</v>
      </c>
      <c r="B70" s="96">
        <v>-4.1066854028148858E-2</v>
      </c>
      <c r="C70" s="96">
        <v>-2.6390975855805909E-2</v>
      </c>
      <c r="D70" s="96">
        <v>-5.8093581028915854E-2</v>
      </c>
      <c r="E70" s="96">
        <v>-7.2282527636871485E-2</v>
      </c>
      <c r="F70" s="96">
        <v>-3.0493610562640629E-2</v>
      </c>
      <c r="G70" s="96">
        <v>-3.6614259378418314E-2</v>
      </c>
      <c r="H70" s="96">
        <v>-3.3955890011382718E-3</v>
      </c>
      <c r="J70" s="174">
        <v>43655</v>
      </c>
      <c r="K70" s="96">
        <f t="shared" si="7"/>
        <v>-4.0080403492917124E-2</v>
      </c>
      <c r="L70" s="96">
        <f t="shared" si="8"/>
        <v>-2.6209904264647126E-2</v>
      </c>
      <c r="M70" s="96">
        <f t="shared" si="9"/>
        <v>-5.7333192056804129E-2</v>
      </c>
      <c r="N70" s="96">
        <f t="shared" si="10"/>
        <v>-7.1978610337141036E-2</v>
      </c>
      <c r="O70" s="96">
        <f t="shared" si="11"/>
        <v>-2.8080564496955011E-2</v>
      </c>
      <c r="P70" s="96">
        <f t="shared" si="12"/>
        <v>-3.7463732617753293E-2</v>
      </c>
      <c r="Q70" s="96">
        <f t="shared" si="13"/>
        <v>-2.6212232408801247E-3</v>
      </c>
    </row>
    <row r="71" spans="1:17">
      <c r="A71" s="174">
        <v>43656</v>
      </c>
      <c r="B71" s="96">
        <v>8.7815017541132689E-3</v>
      </c>
      <c r="C71" s="96">
        <v>9.6774948820654381E-3</v>
      </c>
      <c r="D71" s="96">
        <v>1.2694919481248944E-2</v>
      </c>
      <c r="E71" s="96">
        <v>3.0452180053129167E-2</v>
      </c>
      <c r="F71" s="96">
        <v>2.4916351264534418E-2</v>
      </c>
      <c r="G71" s="96">
        <v>2.1858793812499017E-2</v>
      </c>
      <c r="H71" s="96">
        <v>0</v>
      </c>
      <c r="J71" s="174">
        <v>43656</v>
      </c>
      <c r="K71" s="96">
        <f t="shared" si="7"/>
        <v>9.7679522893450062E-3</v>
      </c>
      <c r="L71" s="96">
        <f t="shared" si="8"/>
        <v>9.8585664732242194E-3</v>
      </c>
      <c r="M71" s="96">
        <f t="shared" si="9"/>
        <v>1.3455308453360669E-2</v>
      </c>
      <c r="N71" s="96">
        <f t="shared" si="10"/>
        <v>3.0756097352859623E-2</v>
      </c>
      <c r="O71" s="96">
        <f t="shared" si="11"/>
        <v>2.7329397330220037E-2</v>
      </c>
      <c r="P71" s="96">
        <f t="shared" si="12"/>
        <v>2.1009320573164039E-2</v>
      </c>
      <c r="Q71" s="96">
        <f t="shared" si="13"/>
        <v>7.7436576025814708E-4</v>
      </c>
    </row>
    <row r="72" spans="1:17">
      <c r="A72" s="174">
        <v>43657</v>
      </c>
      <c r="B72" s="96">
        <v>-1.7640801973017428E-2</v>
      </c>
      <c r="C72" s="96">
        <v>4.0048111195124915E-3</v>
      </c>
      <c r="D72" s="96">
        <v>2.9380644393219961E-2</v>
      </c>
      <c r="E72" s="96">
        <v>3.176046226968929E-3</v>
      </c>
      <c r="F72" s="96">
        <v>7.7994824348238895E-3</v>
      </c>
      <c r="G72" s="96">
        <v>1.6086137751624225E-2</v>
      </c>
      <c r="H72" s="96">
        <v>-3.4071583216141975E-3</v>
      </c>
      <c r="J72" s="174">
        <v>43657</v>
      </c>
      <c r="K72" s="96">
        <f t="shared" si="7"/>
        <v>-1.6654351437785691E-2</v>
      </c>
      <c r="L72" s="96">
        <f t="shared" si="8"/>
        <v>4.1858827106712728E-3</v>
      </c>
      <c r="M72" s="96">
        <f t="shared" si="9"/>
        <v>3.0141033365331686E-2</v>
      </c>
      <c r="N72" s="96">
        <f t="shared" si="10"/>
        <v>3.4799635266993846E-3</v>
      </c>
      <c r="O72" s="96">
        <f t="shared" si="11"/>
        <v>1.0212528500509509E-2</v>
      </c>
      <c r="P72" s="96">
        <f t="shared" si="12"/>
        <v>1.5236664512289248E-2</v>
      </c>
      <c r="Q72" s="96">
        <f t="shared" si="13"/>
        <v>-2.6327925613560503E-3</v>
      </c>
    </row>
    <row r="73" spans="1:17">
      <c r="A73" s="174">
        <v>43658</v>
      </c>
      <c r="B73" s="96">
        <v>1.4034223794001554E-2</v>
      </c>
      <c r="C73" s="96">
        <v>-7.9968017056429011E-4</v>
      </c>
      <c r="D73" s="96">
        <v>-1.4017611079311347E-2</v>
      </c>
      <c r="E73" s="96">
        <v>0</v>
      </c>
      <c r="F73" s="96">
        <v>8.839836569141021E-3</v>
      </c>
      <c r="G73" s="96">
        <v>1.0582109330537008E-2</v>
      </c>
      <c r="H73" s="96">
        <v>2.0270964373618985E-2</v>
      </c>
      <c r="J73" s="174">
        <v>43658</v>
      </c>
      <c r="K73" s="96">
        <f t="shared" si="7"/>
        <v>1.5020674329233291E-2</v>
      </c>
      <c r="L73" s="96">
        <f t="shared" si="8"/>
        <v>-6.1860857940550869E-4</v>
      </c>
      <c r="M73" s="96">
        <f t="shared" si="9"/>
        <v>-1.3257222107199622E-2</v>
      </c>
      <c r="N73" s="96">
        <f t="shared" si="10"/>
        <v>3.039172997304558E-4</v>
      </c>
      <c r="O73" s="96">
        <f t="shared" si="11"/>
        <v>1.1252882634826641E-2</v>
      </c>
      <c r="P73" s="96">
        <f t="shared" si="12"/>
        <v>9.7326360912020314E-3</v>
      </c>
      <c r="Q73" s="96">
        <f t="shared" si="13"/>
        <v>2.1045330133877133E-2</v>
      </c>
    </row>
    <row r="74" spans="1:17">
      <c r="A74" s="174">
        <v>43661</v>
      </c>
      <c r="B74" s="96">
        <v>2.5774538728946632E-3</v>
      </c>
      <c r="C74" s="96">
        <v>0</v>
      </c>
      <c r="D74" s="96">
        <v>1.1787955752042393E-2</v>
      </c>
      <c r="E74" s="96">
        <v>1.2716088748175411E-2</v>
      </c>
      <c r="F74" s="96">
        <v>-4.5001968912086847E-2</v>
      </c>
      <c r="G74" s="96">
        <v>-2.6350476380050023E-3</v>
      </c>
      <c r="H74" s="96">
        <v>-6.7114345879868038E-3</v>
      </c>
      <c r="J74" s="174">
        <v>43661</v>
      </c>
      <c r="K74" s="96">
        <f t="shared" si="7"/>
        <v>3.5639044081264004E-3</v>
      </c>
      <c r="L74" s="96">
        <f t="shared" si="8"/>
        <v>1.8107159115878139E-4</v>
      </c>
      <c r="M74" s="96">
        <f t="shared" si="9"/>
        <v>1.2548344724154118E-2</v>
      </c>
      <c r="N74" s="96">
        <f t="shared" si="10"/>
        <v>1.3020006047905867E-2</v>
      </c>
      <c r="O74" s="96">
        <f t="shared" si="11"/>
        <v>-4.2588922846401228E-2</v>
      </c>
      <c r="P74" s="96">
        <f t="shared" si="12"/>
        <v>-3.4845208773399798E-3</v>
      </c>
      <c r="Q74" s="96">
        <f t="shared" si="13"/>
        <v>-5.9370688277286567E-3</v>
      </c>
    </row>
    <row r="75" spans="1:17">
      <c r="A75" s="174">
        <v>43662</v>
      </c>
      <c r="B75" s="96">
        <v>-3.0937427996398075E-3</v>
      </c>
      <c r="C75" s="96">
        <v>0</v>
      </c>
      <c r="D75" s="96">
        <v>1.6727073875033088E-3</v>
      </c>
      <c r="E75" s="96">
        <v>-5.2693658558174402E-3</v>
      </c>
      <c r="F75" s="96">
        <v>5.2673239408738332E-2</v>
      </c>
      <c r="G75" s="96">
        <v>6.5746456420853853E-3</v>
      </c>
      <c r="H75" s="96">
        <v>3.3613477027049274E-3</v>
      </c>
      <c r="J75" s="174">
        <v>43662</v>
      </c>
      <c r="K75" s="96">
        <f t="shared" si="7"/>
        <v>-2.1072922644080703E-3</v>
      </c>
      <c r="L75" s="96">
        <f t="shared" si="8"/>
        <v>1.8107159115878139E-4</v>
      </c>
      <c r="M75" s="96">
        <f t="shared" si="9"/>
        <v>2.4330963596150344E-3</v>
      </c>
      <c r="N75" s="96">
        <f t="shared" si="10"/>
        <v>-4.9654485560869845E-3</v>
      </c>
      <c r="O75" s="96">
        <f t="shared" si="11"/>
        <v>5.508628547442395E-2</v>
      </c>
      <c r="P75" s="96">
        <f t="shared" si="12"/>
        <v>5.7251724027504083E-3</v>
      </c>
      <c r="Q75" s="96">
        <f t="shared" si="13"/>
        <v>4.1357134629630742E-3</v>
      </c>
    </row>
    <row r="76" spans="1:17">
      <c r="A76" s="174">
        <v>43663</v>
      </c>
      <c r="B76" s="96">
        <v>2.3376759907068806E-2</v>
      </c>
      <c r="C76" s="96">
        <v>-3.2051309489483358E-3</v>
      </c>
      <c r="D76" s="96">
        <v>2.7816429618767705E-3</v>
      </c>
      <c r="E76" s="96">
        <v>1.9921642642687778E-2</v>
      </c>
      <c r="F76" s="96">
        <v>-2.1857932199802082E-3</v>
      </c>
      <c r="G76" s="96">
        <v>-3.9395980040803141E-3</v>
      </c>
      <c r="H76" s="96">
        <v>0</v>
      </c>
      <c r="J76" s="174">
        <v>43663</v>
      </c>
      <c r="K76" s="96">
        <f t="shared" si="7"/>
        <v>2.4363210442300543E-2</v>
      </c>
      <c r="L76" s="96">
        <f t="shared" si="8"/>
        <v>-3.0240593577895544E-3</v>
      </c>
      <c r="M76" s="96">
        <f t="shared" si="9"/>
        <v>3.5420319339884961E-3</v>
      </c>
      <c r="N76" s="96">
        <f t="shared" si="10"/>
        <v>2.0225559942418234E-2</v>
      </c>
      <c r="O76" s="96">
        <f t="shared" si="11"/>
        <v>2.2725284570541135E-4</v>
      </c>
      <c r="P76" s="96">
        <f t="shared" si="12"/>
        <v>-4.7890712434152912E-3</v>
      </c>
      <c r="Q76" s="96">
        <f t="shared" si="13"/>
        <v>7.7436576025814708E-4</v>
      </c>
    </row>
    <row r="77" spans="1:17">
      <c r="A77" s="174">
        <v>43664</v>
      </c>
      <c r="B77" s="96">
        <v>-7.4944648939505405E-3</v>
      </c>
      <c r="C77" s="96">
        <v>2.4048107781791494E-3</v>
      </c>
      <c r="D77" s="96">
        <v>-2.7816429618768026E-3</v>
      </c>
      <c r="E77" s="96">
        <v>-9.4105316673855095E-3</v>
      </c>
      <c r="F77" s="96">
        <v>5.8434040436616201E-2</v>
      </c>
      <c r="G77" s="96">
        <v>-1.3166558847467851E-3</v>
      </c>
      <c r="H77" s="96">
        <v>-3.3613477027048832E-3</v>
      </c>
      <c r="J77" s="174">
        <v>43664</v>
      </c>
      <c r="K77" s="96">
        <f t="shared" si="7"/>
        <v>-6.5080143587188033E-3</v>
      </c>
      <c r="L77" s="96">
        <f t="shared" si="8"/>
        <v>2.5858823693379307E-3</v>
      </c>
      <c r="M77" s="96">
        <f t="shared" si="9"/>
        <v>-2.021253989765077E-3</v>
      </c>
      <c r="N77" s="96">
        <f t="shared" si="10"/>
        <v>-9.106614367655053E-3</v>
      </c>
      <c r="O77" s="96">
        <f t="shared" si="11"/>
        <v>6.084708650230182E-2</v>
      </c>
      <c r="P77" s="96">
        <f t="shared" si="12"/>
        <v>-2.1661291240817624E-3</v>
      </c>
      <c r="Q77" s="96">
        <f t="shared" si="13"/>
        <v>-2.586981942446736E-3</v>
      </c>
    </row>
    <row r="78" spans="1:17">
      <c r="A78" s="174">
        <v>43665</v>
      </c>
      <c r="B78" s="96">
        <v>8.5029361371444061E-3</v>
      </c>
      <c r="C78" s="96">
        <v>-7.2318515264950889E-3</v>
      </c>
      <c r="D78" s="96">
        <v>-8.3916576362482887E-3</v>
      </c>
      <c r="E78" s="96">
        <v>-1.264918639734651E-2</v>
      </c>
      <c r="F78" s="96">
        <v>1.3326696463699736E-2</v>
      </c>
      <c r="G78" s="96">
        <v>1.3166558847469028E-3</v>
      </c>
      <c r="H78" s="96">
        <v>6.7114345879867778E-3</v>
      </c>
      <c r="J78" s="174">
        <v>43665</v>
      </c>
      <c r="K78" s="96">
        <f t="shared" si="7"/>
        <v>9.4893866723761433E-3</v>
      </c>
      <c r="L78" s="96">
        <f t="shared" si="8"/>
        <v>-7.0507799353363076E-3</v>
      </c>
      <c r="M78" s="96">
        <f t="shared" si="9"/>
        <v>-7.6312686641365635E-3</v>
      </c>
      <c r="N78" s="96">
        <f t="shared" si="10"/>
        <v>-1.2345269097616053E-2</v>
      </c>
      <c r="O78" s="96">
        <f t="shared" si="11"/>
        <v>1.5739742529385356E-2</v>
      </c>
      <c r="P78" s="96">
        <f t="shared" si="12"/>
        <v>4.6718264541192552E-4</v>
      </c>
      <c r="Q78" s="96">
        <f t="shared" si="13"/>
        <v>7.485800348244925E-3</v>
      </c>
    </row>
    <row r="79" spans="1:17">
      <c r="A79" s="174">
        <v>43668</v>
      </c>
      <c r="B79" s="96">
        <v>2.013896562242894E-3</v>
      </c>
      <c r="C79" s="96">
        <v>-1.6142053545411135E-3</v>
      </c>
      <c r="D79" s="96">
        <v>-3.9403372119229405E-3</v>
      </c>
      <c r="E79" s="96">
        <v>-3.1592038009691827E-3</v>
      </c>
      <c r="F79" s="96">
        <v>0</v>
      </c>
      <c r="G79" s="96">
        <v>1.6960615307045197E-2</v>
      </c>
      <c r="H79" s="96">
        <v>-3.350086885281863E-3</v>
      </c>
      <c r="J79" s="174">
        <v>43668</v>
      </c>
      <c r="K79" s="96">
        <f t="shared" si="7"/>
        <v>3.0003470974746312E-3</v>
      </c>
      <c r="L79" s="96">
        <f t="shared" si="8"/>
        <v>-1.4331337633823322E-3</v>
      </c>
      <c r="M79" s="96">
        <f t="shared" si="9"/>
        <v>-3.1799482398112149E-3</v>
      </c>
      <c r="N79" s="96">
        <f t="shared" si="10"/>
        <v>-2.855286501238727E-3</v>
      </c>
      <c r="O79" s="96">
        <f t="shared" si="11"/>
        <v>2.4130460656856196E-3</v>
      </c>
      <c r="P79" s="96">
        <f t="shared" si="12"/>
        <v>1.6111142067710218E-2</v>
      </c>
      <c r="Q79" s="96">
        <f t="shared" si="13"/>
        <v>-2.5757211250237158E-3</v>
      </c>
    </row>
    <row r="80" spans="1:17">
      <c r="A80" s="174">
        <v>43669</v>
      </c>
      <c r="B80" s="96">
        <v>4.5164928484094351E-3</v>
      </c>
      <c r="C80" s="96">
        <v>-6.483004878078266E-3</v>
      </c>
      <c r="D80" s="96">
        <v>-3.9559249103025664E-3</v>
      </c>
      <c r="E80" s="96">
        <v>-2.3786141425950889E-2</v>
      </c>
      <c r="F80" s="96">
        <v>-1.5910009706080471E-2</v>
      </c>
      <c r="G80" s="96">
        <v>0</v>
      </c>
      <c r="H80" s="96">
        <v>-1.6920877488337177E-2</v>
      </c>
      <c r="J80" s="174">
        <v>43669</v>
      </c>
      <c r="K80" s="96">
        <f t="shared" si="7"/>
        <v>5.5029433836411724E-3</v>
      </c>
      <c r="L80" s="96">
        <f t="shared" si="8"/>
        <v>-6.3019332869194847E-3</v>
      </c>
      <c r="M80" s="96">
        <f t="shared" si="9"/>
        <v>-3.1955359381908408E-3</v>
      </c>
      <c r="N80" s="96">
        <f t="shared" si="10"/>
        <v>-2.3482224126220433E-2</v>
      </c>
      <c r="O80" s="96">
        <f t="shared" si="11"/>
        <v>-1.3496963640394852E-2</v>
      </c>
      <c r="P80" s="96">
        <f t="shared" si="12"/>
        <v>-8.494732393349773E-4</v>
      </c>
      <c r="Q80" s="96">
        <f t="shared" si="13"/>
        <v>-1.614651172807903E-2</v>
      </c>
    </row>
    <row r="81" spans="1:17">
      <c r="A81" s="174">
        <v>43670</v>
      </c>
      <c r="B81" s="96">
        <v>-4.5164928484095089E-3</v>
      </c>
      <c r="C81" s="96">
        <v>1.1317824932661437E-2</v>
      </c>
      <c r="D81" s="96">
        <v>-1.6557614922800293E-2</v>
      </c>
      <c r="E81" s="96">
        <v>9.7887578421556737E-3</v>
      </c>
      <c r="F81" s="96">
        <v>-1.5531973093995486E-3</v>
      </c>
      <c r="G81" s="96">
        <v>3.8734715957966189E-3</v>
      </c>
      <c r="H81" s="96">
        <v>1.3559529785632294E-2</v>
      </c>
      <c r="J81" s="174">
        <v>43670</v>
      </c>
      <c r="K81" s="96">
        <f t="shared" si="7"/>
        <v>-3.5300423131777716E-3</v>
      </c>
      <c r="L81" s="96">
        <f t="shared" si="8"/>
        <v>1.1498896523820218E-2</v>
      </c>
      <c r="M81" s="96">
        <f t="shared" si="9"/>
        <v>-1.5797225950688568E-2</v>
      </c>
      <c r="N81" s="96">
        <f t="shared" si="10"/>
        <v>1.009267514188613E-2</v>
      </c>
      <c r="O81" s="96">
        <f t="shared" si="11"/>
        <v>8.5984875628607096E-4</v>
      </c>
      <c r="P81" s="96">
        <f t="shared" si="12"/>
        <v>3.0239983564616414E-3</v>
      </c>
      <c r="Q81" s="96">
        <f t="shared" si="13"/>
        <v>1.4333895545890442E-2</v>
      </c>
    </row>
    <row r="82" spans="1:17">
      <c r="A82" s="174">
        <v>43671</v>
      </c>
      <c r="B82" s="96">
        <v>1.2992387435999333E-2</v>
      </c>
      <c r="C82" s="96">
        <v>-2.414488094517464E-3</v>
      </c>
      <c r="D82" s="96">
        <v>3.5071467709428053E-2</v>
      </c>
      <c r="E82" s="96">
        <v>3.6015596354233452E-2</v>
      </c>
      <c r="F82" s="96">
        <v>3.0614635819606734E-2</v>
      </c>
      <c r="G82" s="96">
        <v>1.6613800662655432E-2</v>
      </c>
      <c r="H82" s="96">
        <v>6.7114345879867778E-3</v>
      </c>
      <c r="J82" s="174">
        <v>43671</v>
      </c>
      <c r="K82" s="96">
        <f t="shared" si="7"/>
        <v>1.397883797123107E-2</v>
      </c>
      <c r="L82" s="96">
        <f t="shared" si="8"/>
        <v>-2.2334165033586826E-3</v>
      </c>
      <c r="M82" s="96">
        <f t="shared" si="9"/>
        <v>3.5831856681539778E-2</v>
      </c>
      <c r="N82" s="96">
        <f t="shared" si="10"/>
        <v>3.6319513653963909E-2</v>
      </c>
      <c r="O82" s="96">
        <f t="shared" si="11"/>
        <v>3.3027681885292356E-2</v>
      </c>
      <c r="P82" s="96">
        <f t="shared" si="12"/>
        <v>1.5764327423320453E-2</v>
      </c>
      <c r="Q82" s="96">
        <f t="shared" si="13"/>
        <v>7.485800348244925E-3</v>
      </c>
    </row>
    <row r="83" spans="1:17">
      <c r="A83" s="174">
        <v>43672</v>
      </c>
      <c r="B83" s="96">
        <v>2.2580971235548801E-2</v>
      </c>
      <c r="C83" s="96">
        <v>2.4144880945175533E-3</v>
      </c>
      <c r="D83" s="96">
        <v>-1.1123471669740592E-3</v>
      </c>
      <c r="E83" s="96">
        <v>1.0337714410407347E-2</v>
      </c>
      <c r="F83" s="96">
        <v>-2.0120731134201197E-3</v>
      </c>
      <c r="G83" s="96">
        <v>1.2594624920400458E-2</v>
      </c>
      <c r="H83" s="96">
        <v>0</v>
      </c>
      <c r="J83" s="174">
        <v>43672</v>
      </c>
      <c r="K83" s="96">
        <f t="shared" si="7"/>
        <v>2.3567421770780538E-2</v>
      </c>
      <c r="L83" s="96">
        <f t="shared" si="8"/>
        <v>2.5955596856763346E-3</v>
      </c>
      <c r="M83" s="96">
        <f t="shared" si="9"/>
        <v>-3.5195819486233371E-4</v>
      </c>
      <c r="N83" s="96">
        <f t="shared" si="10"/>
        <v>1.0641631710137803E-2</v>
      </c>
      <c r="O83" s="96">
        <f t="shared" si="11"/>
        <v>4.0097295226549983E-4</v>
      </c>
      <c r="P83" s="96">
        <f t="shared" si="12"/>
        <v>1.1745151681065481E-2</v>
      </c>
      <c r="Q83" s="96">
        <f t="shared" si="13"/>
        <v>7.7436576025814708E-4</v>
      </c>
    </row>
    <row r="84" spans="1:17">
      <c r="A84" s="174">
        <v>43675</v>
      </c>
      <c r="B84" s="96">
        <v>-1.3684115397812006E-2</v>
      </c>
      <c r="C84" s="96">
        <v>0</v>
      </c>
      <c r="D84" s="96">
        <v>-2.2284131784261162E-3</v>
      </c>
      <c r="E84" s="96">
        <v>-2.2908100746356738E-2</v>
      </c>
      <c r="F84" s="96">
        <v>0</v>
      </c>
      <c r="G84" s="96">
        <v>9.962722503674068E-3</v>
      </c>
      <c r="H84" s="96">
        <v>-3.350086885281863E-3</v>
      </c>
      <c r="J84" s="174">
        <v>43675</v>
      </c>
      <c r="K84" s="96">
        <f t="shared" si="7"/>
        <v>-1.2697664862580268E-2</v>
      </c>
      <c r="L84" s="96">
        <f t="shared" si="8"/>
        <v>1.8107159115878139E-4</v>
      </c>
      <c r="M84" s="96">
        <f t="shared" si="9"/>
        <v>-1.4680242063143905E-3</v>
      </c>
      <c r="N84" s="96">
        <f t="shared" si="10"/>
        <v>-2.2604183446626281E-2</v>
      </c>
      <c r="O84" s="96">
        <f t="shared" si="11"/>
        <v>2.4130460656856196E-3</v>
      </c>
      <c r="P84" s="96">
        <f t="shared" si="12"/>
        <v>9.1132492643390909E-3</v>
      </c>
      <c r="Q84" s="96">
        <f t="shared" si="13"/>
        <v>-2.5757211250237158E-3</v>
      </c>
    </row>
    <row r="85" spans="1:17">
      <c r="A85" s="174">
        <v>43676</v>
      </c>
      <c r="B85" s="96">
        <v>-4.9329223944822699E-3</v>
      </c>
      <c r="C85" s="96">
        <v>-1.1317824932661461E-2</v>
      </c>
      <c r="D85" s="96">
        <v>-2.792517871673522E-3</v>
      </c>
      <c r="E85" s="96">
        <v>-1.2730414701002012E-2</v>
      </c>
      <c r="F85" s="96">
        <v>-7.0743094425371536E-3</v>
      </c>
      <c r="G85" s="96">
        <v>-2.4813908513853979E-3</v>
      </c>
      <c r="H85" s="96">
        <v>6.6889881507964889E-3</v>
      </c>
      <c r="J85" s="174">
        <v>43676</v>
      </c>
      <c r="K85" s="96">
        <f t="shared" si="7"/>
        <v>-3.9464718592505327E-3</v>
      </c>
      <c r="L85" s="96">
        <f t="shared" si="8"/>
        <v>-1.113675334150268E-2</v>
      </c>
      <c r="M85" s="96">
        <f t="shared" si="9"/>
        <v>-2.0321288995617964E-3</v>
      </c>
      <c r="N85" s="96">
        <f t="shared" si="10"/>
        <v>-1.2426497401271556E-2</v>
      </c>
      <c r="O85" s="96">
        <f t="shared" si="11"/>
        <v>-4.661263376851534E-3</v>
      </c>
      <c r="P85" s="96">
        <f t="shared" si="12"/>
        <v>-3.330864090720375E-3</v>
      </c>
      <c r="Q85" s="96">
        <f t="shared" si="13"/>
        <v>7.4633539110546361E-3</v>
      </c>
    </row>
    <row r="86" spans="1:17">
      <c r="A86" s="174">
        <v>43677</v>
      </c>
      <c r="B86" s="96">
        <v>5.9165935341970385E-3</v>
      </c>
      <c r="C86" s="96">
        <v>1.1317824932661437E-2</v>
      </c>
      <c r="D86" s="96">
        <v>-1.2946986366062282E-2</v>
      </c>
      <c r="E86" s="96">
        <v>3.2825882665132476E-3</v>
      </c>
      <c r="F86" s="96">
        <v>-5.0838950372721729E-3</v>
      </c>
      <c r="G86" s="96">
        <v>2.6962417605127822E-2</v>
      </c>
      <c r="H86" s="96">
        <v>0</v>
      </c>
      <c r="J86" s="174">
        <v>43677</v>
      </c>
      <c r="K86" s="96">
        <f t="shared" si="7"/>
        <v>6.9030440694287758E-3</v>
      </c>
      <c r="L86" s="96">
        <f t="shared" si="8"/>
        <v>1.1498896523820218E-2</v>
      </c>
      <c r="M86" s="96">
        <f t="shared" si="9"/>
        <v>-1.2186597393950557E-2</v>
      </c>
      <c r="N86" s="96">
        <f t="shared" si="10"/>
        <v>3.5865055662437032E-3</v>
      </c>
      <c r="O86" s="96">
        <f t="shared" si="11"/>
        <v>-2.6708489715865534E-3</v>
      </c>
      <c r="P86" s="96">
        <f t="shared" si="12"/>
        <v>2.6112944365792843E-2</v>
      </c>
      <c r="Q86" s="96">
        <f t="shared" si="13"/>
        <v>7.7436576025814708E-4</v>
      </c>
    </row>
    <row r="87" spans="1:17">
      <c r="A87" s="174">
        <v>43678</v>
      </c>
      <c r="B87" s="96">
        <v>-1.2863822746159839E-2</v>
      </c>
      <c r="C87" s="96">
        <v>-1.0505147114671194E-2</v>
      </c>
      <c r="D87" s="96">
        <v>-5.1121951723351964E-3</v>
      </c>
      <c r="E87" s="96">
        <v>1.0566645078830822E-2</v>
      </c>
      <c r="F87" s="96">
        <v>-8.188377379358033E-3</v>
      </c>
      <c r="G87" s="96">
        <v>6.0277457975174663E-3</v>
      </c>
      <c r="H87" s="96">
        <v>-1.0050335853501451E-2</v>
      </c>
      <c r="J87" s="174">
        <v>43678</v>
      </c>
      <c r="K87" s="96">
        <f t="shared" si="7"/>
        <v>-1.1877372210928102E-2</v>
      </c>
      <c r="L87" s="96">
        <f t="shared" si="8"/>
        <v>-1.0324075523512413E-2</v>
      </c>
      <c r="M87" s="96">
        <f t="shared" si="9"/>
        <v>-4.3518062002234712E-3</v>
      </c>
      <c r="N87" s="96">
        <f t="shared" si="10"/>
        <v>1.0870562378561278E-2</v>
      </c>
      <c r="O87" s="96">
        <f t="shared" si="11"/>
        <v>-5.7753313136724134E-3</v>
      </c>
      <c r="P87" s="96">
        <f t="shared" si="12"/>
        <v>5.1782725581824892E-3</v>
      </c>
      <c r="Q87" s="96">
        <f t="shared" si="13"/>
        <v>-9.2759700932433034E-3</v>
      </c>
    </row>
    <row r="88" spans="1:17">
      <c r="A88" s="174">
        <v>43679</v>
      </c>
      <c r="B88" s="96">
        <v>-4.9920231464177798E-3</v>
      </c>
      <c r="C88" s="96">
        <v>-4.8860032056262086E-3</v>
      </c>
      <c r="D88" s="96">
        <v>-1.4917086703237267E-2</v>
      </c>
      <c r="E88" s="96">
        <v>-1.2716088748175368E-2</v>
      </c>
      <c r="F88" s="96">
        <v>-2.057613894680154E-3</v>
      </c>
      <c r="G88" s="96">
        <v>1.2012013456341492E-3</v>
      </c>
      <c r="H88" s="96">
        <v>0</v>
      </c>
      <c r="J88" s="174">
        <v>43679</v>
      </c>
      <c r="K88" s="96">
        <f t="shared" si="7"/>
        <v>-4.0055726111860425E-3</v>
      </c>
      <c r="L88" s="96">
        <f t="shared" si="8"/>
        <v>-4.7049316144674273E-3</v>
      </c>
      <c r="M88" s="96">
        <f t="shared" si="9"/>
        <v>-1.4156697731125541E-2</v>
      </c>
      <c r="N88" s="96">
        <f t="shared" si="10"/>
        <v>-1.2412171448444911E-2</v>
      </c>
      <c r="O88" s="96">
        <f t="shared" si="11"/>
        <v>3.5543217100546557E-4</v>
      </c>
      <c r="P88" s="96">
        <f t="shared" si="12"/>
        <v>3.5172810629917188E-4</v>
      </c>
      <c r="Q88" s="96">
        <f t="shared" si="13"/>
        <v>7.7436576025814708E-4</v>
      </c>
    </row>
    <row r="89" spans="1:17">
      <c r="A89" s="174">
        <v>43682</v>
      </c>
      <c r="B89" s="96">
        <v>-9.0489256105038985E-3</v>
      </c>
      <c r="C89" s="96">
        <v>2.4459857282604423E-3</v>
      </c>
      <c r="D89" s="96">
        <v>-4.0099712076431107E-2</v>
      </c>
      <c r="E89" s="96">
        <v>-4.3633606669078166E-2</v>
      </c>
      <c r="F89" s="96">
        <v>-2.2917669681397058E-2</v>
      </c>
      <c r="G89" s="96">
        <v>-5.3000696705775473E-2</v>
      </c>
      <c r="H89" s="96">
        <v>-3.3726844786391187E-3</v>
      </c>
      <c r="J89" s="174">
        <v>43682</v>
      </c>
      <c r="K89" s="96">
        <f t="shared" si="7"/>
        <v>-8.0624750752721613E-3</v>
      </c>
      <c r="L89" s="96">
        <f t="shared" si="8"/>
        <v>2.6270573194192236E-3</v>
      </c>
      <c r="M89" s="96">
        <f t="shared" si="9"/>
        <v>-3.9339323104319382E-2</v>
      </c>
      <c r="N89" s="96">
        <f t="shared" si="10"/>
        <v>-4.332968936934771E-2</v>
      </c>
      <c r="O89" s="96">
        <f t="shared" si="11"/>
        <v>-2.050462361571144E-2</v>
      </c>
      <c r="P89" s="96">
        <f t="shared" si="12"/>
        <v>-5.3850169945110452E-2</v>
      </c>
      <c r="Q89" s="96">
        <f t="shared" si="13"/>
        <v>-2.5983187183809715E-3</v>
      </c>
    </row>
    <row r="90" spans="1:17">
      <c r="A90" s="174">
        <v>43683</v>
      </c>
      <c r="B90" s="96">
        <v>-1.516336996140707E-2</v>
      </c>
      <c r="C90" s="96">
        <v>1.6273396593754076E-3</v>
      </c>
      <c r="D90" s="96">
        <v>-6.0186580209867343E-4</v>
      </c>
      <c r="E90" s="96">
        <v>-2.5885207987678849E-2</v>
      </c>
      <c r="F90" s="96">
        <v>-4.2238711161851714E-3</v>
      </c>
      <c r="G90" s="96">
        <v>6.3091691932647556E-3</v>
      </c>
      <c r="H90" s="96">
        <v>0</v>
      </c>
      <c r="J90" s="174">
        <v>43683</v>
      </c>
      <c r="K90" s="96">
        <f t="shared" si="7"/>
        <v>-1.4176919426175333E-2</v>
      </c>
      <c r="L90" s="96">
        <f t="shared" si="8"/>
        <v>1.8084112505341889E-3</v>
      </c>
      <c r="M90" s="96">
        <f t="shared" si="9"/>
        <v>1.5852317001305207E-4</v>
      </c>
      <c r="N90" s="96">
        <f t="shared" si="10"/>
        <v>-2.5581290687948392E-2</v>
      </c>
      <c r="O90" s="96">
        <f t="shared" si="11"/>
        <v>-1.8108250504995519E-3</v>
      </c>
      <c r="P90" s="96">
        <f t="shared" si="12"/>
        <v>5.4596959539297786E-3</v>
      </c>
      <c r="Q90" s="96">
        <f t="shared" si="13"/>
        <v>7.7436576025814708E-4</v>
      </c>
    </row>
    <row r="91" spans="1:17">
      <c r="A91" s="174">
        <v>43684</v>
      </c>
      <c r="B91" s="96">
        <v>-5.6558328565613509E-3</v>
      </c>
      <c r="C91" s="96">
        <v>-5.7073126792908666E-3</v>
      </c>
      <c r="D91" s="96">
        <v>5.4037957975058056E-3</v>
      </c>
      <c r="E91" s="96">
        <v>-1.7266087414001954E-2</v>
      </c>
      <c r="F91" s="96">
        <v>-1.0638398205055754E-2</v>
      </c>
      <c r="G91" s="96">
        <v>-1.011386623692867E-2</v>
      </c>
      <c r="H91" s="96">
        <v>0</v>
      </c>
      <c r="J91" s="174">
        <v>43684</v>
      </c>
      <c r="K91" s="96">
        <f t="shared" si="7"/>
        <v>-4.6693823213296137E-3</v>
      </c>
      <c r="L91" s="96">
        <f t="shared" si="8"/>
        <v>-5.5262410881320853E-3</v>
      </c>
      <c r="M91" s="96">
        <f t="shared" si="9"/>
        <v>6.1641847696175308E-3</v>
      </c>
      <c r="N91" s="96">
        <f t="shared" si="10"/>
        <v>-1.6962170114271497E-2</v>
      </c>
      <c r="O91" s="96">
        <f t="shared" si="11"/>
        <v>-8.2253521393701352E-3</v>
      </c>
      <c r="P91" s="96">
        <f t="shared" si="12"/>
        <v>-1.0963339476263647E-2</v>
      </c>
      <c r="Q91" s="96">
        <f t="shared" si="13"/>
        <v>7.7436576025814708E-4</v>
      </c>
    </row>
    <row r="92" spans="1:17">
      <c r="A92" s="174">
        <v>43685</v>
      </c>
      <c r="B92" s="96">
        <v>-5.1575636812981767E-4</v>
      </c>
      <c r="C92" s="96">
        <v>9.7641133749051413E-3</v>
      </c>
      <c r="D92" s="96">
        <v>0</v>
      </c>
      <c r="E92" s="96">
        <v>2.1747955494109933E-2</v>
      </c>
      <c r="F92" s="96">
        <v>3.7779939002637972E-2</v>
      </c>
      <c r="G92" s="96">
        <v>1.6383479250524125E-2</v>
      </c>
      <c r="H92" s="96">
        <v>0</v>
      </c>
      <c r="J92" s="174">
        <v>43685</v>
      </c>
      <c r="K92" s="96">
        <f t="shared" si="7"/>
        <v>4.7069416710191934E-4</v>
      </c>
      <c r="L92" s="96">
        <f t="shared" si="8"/>
        <v>9.9451849660639226E-3</v>
      </c>
      <c r="M92" s="96">
        <f t="shared" si="9"/>
        <v>7.6038897211172551E-4</v>
      </c>
      <c r="N92" s="96">
        <f t="shared" si="10"/>
        <v>2.2051872793840389E-2</v>
      </c>
      <c r="O92" s="96">
        <f t="shared" si="11"/>
        <v>4.019298506832359E-2</v>
      </c>
      <c r="P92" s="96">
        <f t="shared" si="12"/>
        <v>1.5534006011189148E-2</v>
      </c>
      <c r="Q92" s="96">
        <f t="shared" si="13"/>
        <v>7.7436576025814708E-4</v>
      </c>
    </row>
    <row r="93" spans="1:17">
      <c r="A93" s="174">
        <v>43686</v>
      </c>
      <c r="B93" s="96">
        <v>1.2305323441963426E-2</v>
      </c>
      <c r="C93" s="96">
        <v>-1.3040119580806035E-2</v>
      </c>
      <c r="D93" s="96">
        <v>-8.4185704655957896E-3</v>
      </c>
      <c r="E93" s="96">
        <v>1.2491154485623542E-2</v>
      </c>
      <c r="F93" s="96">
        <v>6.1601837514576414E-3</v>
      </c>
      <c r="G93" s="96">
        <v>-1.6383479250524056E-2</v>
      </c>
      <c r="H93" s="96">
        <v>1.0084119066626008E-2</v>
      </c>
      <c r="J93" s="174">
        <v>43686</v>
      </c>
      <c r="K93" s="96">
        <f t="shared" si="7"/>
        <v>1.3291773977195163E-2</v>
      </c>
      <c r="L93" s="96">
        <f t="shared" si="8"/>
        <v>-1.2859047989647253E-2</v>
      </c>
      <c r="M93" s="96">
        <f t="shared" si="9"/>
        <v>-7.6581814934840644E-3</v>
      </c>
      <c r="N93" s="96">
        <f t="shared" si="10"/>
        <v>1.2795071785353999E-2</v>
      </c>
      <c r="O93" s="96">
        <f t="shared" si="11"/>
        <v>8.573229817143261E-3</v>
      </c>
      <c r="P93" s="96">
        <f t="shared" si="12"/>
        <v>-1.7232952489859035E-2</v>
      </c>
      <c r="Q93" s="96">
        <f t="shared" si="13"/>
        <v>1.0858484826884155E-2</v>
      </c>
    </row>
    <row r="94" spans="1:17">
      <c r="A94" s="174">
        <v>43689</v>
      </c>
      <c r="B94" s="96">
        <v>-5.6211502704298479E-3</v>
      </c>
      <c r="C94" s="96">
        <v>8.2000824603074601E-4</v>
      </c>
      <c r="D94" s="96">
        <v>-7.2727593290795849E-3</v>
      </c>
      <c r="E94" s="96">
        <v>1.0094498163125649E-2</v>
      </c>
      <c r="F94" s="96">
        <v>1.0183387390698871E-2</v>
      </c>
      <c r="G94" s="96">
        <v>1.6383479250524125E-2</v>
      </c>
      <c r="H94" s="96">
        <v>-1.0084119066625935E-2</v>
      </c>
      <c r="J94" s="174">
        <v>43689</v>
      </c>
      <c r="K94" s="96">
        <f t="shared" si="7"/>
        <v>-4.6346997351981107E-3</v>
      </c>
      <c r="L94" s="96">
        <f t="shared" si="8"/>
        <v>1.0010798371895273E-3</v>
      </c>
      <c r="M94" s="96">
        <f t="shared" si="9"/>
        <v>-6.5123703569678597E-3</v>
      </c>
      <c r="N94" s="96">
        <f t="shared" si="10"/>
        <v>1.0398415462856105E-2</v>
      </c>
      <c r="O94" s="96">
        <f t="shared" si="11"/>
        <v>1.259643345638449E-2</v>
      </c>
      <c r="P94" s="96">
        <f t="shared" si="12"/>
        <v>1.5534006011189148E-2</v>
      </c>
      <c r="Q94" s="96">
        <f t="shared" si="13"/>
        <v>-9.3097533063677875E-3</v>
      </c>
    </row>
    <row r="95" spans="1:17">
      <c r="A95" s="174">
        <v>43690</v>
      </c>
      <c r="B95" s="96">
        <v>-6.6841731715336613E-3</v>
      </c>
      <c r="C95" s="96">
        <v>-1.486402263214928E-2</v>
      </c>
      <c r="D95" s="96">
        <v>-2.7128667388252699E-2</v>
      </c>
      <c r="E95" s="96">
        <v>-2.7067520728857122E-2</v>
      </c>
      <c r="F95" s="96">
        <v>-1.7373967936053069E-2</v>
      </c>
      <c r="G95" s="96">
        <v>-1.765493523872071E-2</v>
      </c>
      <c r="H95" s="96">
        <v>0</v>
      </c>
      <c r="J95" s="174">
        <v>43690</v>
      </c>
      <c r="K95" s="96">
        <f t="shared" si="7"/>
        <v>-5.697722636301924E-3</v>
      </c>
      <c r="L95" s="96">
        <f t="shared" si="8"/>
        <v>-1.4682951040990499E-2</v>
      </c>
      <c r="M95" s="96">
        <f t="shared" si="9"/>
        <v>-2.6368278416140974E-2</v>
      </c>
      <c r="N95" s="96">
        <f t="shared" si="10"/>
        <v>-2.6763603429126665E-2</v>
      </c>
      <c r="O95" s="96">
        <f t="shared" si="11"/>
        <v>-1.496092187036745E-2</v>
      </c>
      <c r="P95" s="96">
        <f t="shared" si="12"/>
        <v>-1.8504408478055689E-2</v>
      </c>
      <c r="Q95" s="96">
        <f t="shared" si="13"/>
        <v>7.7436576025814708E-4</v>
      </c>
    </row>
    <row r="96" spans="1:17">
      <c r="A96" s="174">
        <v>43691</v>
      </c>
      <c r="B96" s="96">
        <v>-1.5597695860364016E-2</v>
      </c>
      <c r="C96" s="96">
        <v>-1.0033528989577697E-2</v>
      </c>
      <c r="D96" s="96">
        <v>-2.4036577828241382E-2</v>
      </c>
      <c r="E96" s="96">
        <v>-3.3704813757161819E-2</v>
      </c>
      <c r="F96" s="96">
        <v>-1.7681167843226445E-2</v>
      </c>
      <c r="G96" s="96">
        <v>-2.0566277581477083E-2</v>
      </c>
      <c r="H96" s="96">
        <v>-2.3932766211628362E-2</v>
      </c>
      <c r="J96" s="174">
        <v>43691</v>
      </c>
      <c r="K96" s="96">
        <f t="shared" si="7"/>
        <v>-1.4611245325132279E-2</v>
      </c>
      <c r="L96" s="96">
        <f t="shared" si="8"/>
        <v>-9.8524573984189161E-3</v>
      </c>
      <c r="M96" s="96">
        <f t="shared" si="9"/>
        <v>-2.3276188856129656E-2</v>
      </c>
      <c r="N96" s="96">
        <f t="shared" si="10"/>
        <v>-3.3400896457431363E-2</v>
      </c>
      <c r="O96" s="96">
        <f t="shared" si="11"/>
        <v>-1.5268121777540826E-2</v>
      </c>
      <c r="P96" s="96">
        <f t="shared" si="12"/>
        <v>-2.1415750820812061E-2</v>
      </c>
      <c r="Q96" s="96">
        <f t="shared" si="13"/>
        <v>-2.3158400451370215E-2</v>
      </c>
    </row>
    <row r="97" spans="1:17">
      <c r="A97" s="174">
        <v>43693</v>
      </c>
      <c r="B97" s="96">
        <v>-2.547367629201007E-2</v>
      </c>
      <c r="C97" s="96">
        <v>0</v>
      </c>
      <c r="D97" s="96">
        <v>-4.1836166322466402E-2</v>
      </c>
      <c r="E97" s="96">
        <v>-7.1829431131599508E-3</v>
      </c>
      <c r="F97" s="96">
        <v>-2.1008411088117279E-3</v>
      </c>
      <c r="G97" s="96">
        <v>1.0336009330662073E-2</v>
      </c>
      <c r="H97" s="96">
        <v>-3.4662079764861725E-3</v>
      </c>
      <c r="J97" s="174">
        <v>43693</v>
      </c>
      <c r="K97" s="96">
        <f t="shared" si="7"/>
        <v>-2.4487225756778332E-2</v>
      </c>
      <c r="L97" s="96">
        <f t="shared" si="8"/>
        <v>1.8107159115878139E-4</v>
      </c>
      <c r="M97" s="96">
        <f t="shared" si="9"/>
        <v>-4.1075777350354677E-2</v>
      </c>
      <c r="N97" s="96">
        <f t="shared" si="10"/>
        <v>-6.8790258134294952E-3</v>
      </c>
      <c r="O97" s="96">
        <f t="shared" si="11"/>
        <v>3.1220495687389171E-4</v>
      </c>
      <c r="P97" s="96">
        <f t="shared" si="12"/>
        <v>9.4865360913270955E-3</v>
      </c>
      <c r="Q97" s="96">
        <f t="shared" si="13"/>
        <v>-2.6918422162280253E-3</v>
      </c>
    </row>
    <row r="98" spans="1:17">
      <c r="A98" s="174">
        <v>43696</v>
      </c>
      <c r="B98" s="96">
        <v>3.2262568625696077E-2</v>
      </c>
      <c r="C98" s="96">
        <v>1.0033528989577784E-2</v>
      </c>
      <c r="D98" s="96">
        <v>6.4621962249055101E-2</v>
      </c>
      <c r="E98" s="96">
        <v>4.886845219110357E-2</v>
      </c>
      <c r="F98" s="96">
        <v>2.4923408452456934E-2</v>
      </c>
      <c r="G98" s="96">
        <v>3.2872745000574549E-2</v>
      </c>
      <c r="H98" s="96">
        <v>6.920442844573757E-3</v>
      </c>
      <c r="J98" s="174">
        <v>43696</v>
      </c>
      <c r="K98" s="96">
        <f t="shared" si="7"/>
        <v>3.324901916092781E-2</v>
      </c>
      <c r="L98" s="96">
        <f t="shared" si="8"/>
        <v>1.0214600580736566E-2</v>
      </c>
      <c r="M98" s="96">
        <f t="shared" si="9"/>
        <v>6.5382351221166826E-2</v>
      </c>
      <c r="N98" s="96">
        <f t="shared" si="10"/>
        <v>4.9172369490834027E-2</v>
      </c>
      <c r="O98" s="96">
        <f t="shared" si="11"/>
        <v>2.7336454518142553E-2</v>
      </c>
      <c r="P98" s="96">
        <f t="shared" si="12"/>
        <v>3.202327176123957E-2</v>
      </c>
      <c r="Q98" s="96">
        <f t="shared" si="13"/>
        <v>7.6948086048319042E-3</v>
      </c>
    </row>
    <row r="99" spans="1:17">
      <c r="A99" s="174">
        <v>43697</v>
      </c>
      <c r="B99" s="96">
        <v>-5.2181291435587571E-3</v>
      </c>
      <c r="C99" s="96">
        <v>5.8067355196397795E-3</v>
      </c>
      <c r="D99" s="96">
        <v>2.4112451044914857E-2</v>
      </c>
      <c r="E99" s="96">
        <v>-2.2909517465558244E-3</v>
      </c>
      <c r="F99" s="96">
        <v>-2.5975486403260677E-2</v>
      </c>
      <c r="G99" s="96">
        <v>2.4844733276621869E-3</v>
      </c>
      <c r="H99" s="96">
        <v>1.709443335930004E-2</v>
      </c>
      <c r="J99" s="174">
        <v>43697</v>
      </c>
      <c r="K99" s="96">
        <f t="shared" si="7"/>
        <v>-4.2316786083270198E-3</v>
      </c>
      <c r="L99" s="96">
        <f t="shared" si="8"/>
        <v>5.9878071107985608E-3</v>
      </c>
      <c r="M99" s="96">
        <f t="shared" si="9"/>
        <v>2.4872840017026582E-2</v>
      </c>
      <c r="N99" s="96">
        <f t="shared" si="10"/>
        <v>-1.9870344468253687E-3</v>
      </c>
      <c r="O99" s="96">
        <f t="shared" si="11"/>
        <v>-2.3562440337575059E-2</v>
      </c>
      <c r="P99" s="96">
        <f t="shared" si="12"/>
        <v>1.6350000883272096E-3</v>
      </c>
      <c r="Q99" s="96">
        <f t="shared" si="13"/>
        <v>1.7868799119558187E-2</v>
      </c>
    </row>
    <row r="100" spans="1:17">
      <c r="A100" s="174">
        <v>43698</v>
      </c>
      <c r="B100" s="96">
        <v>-5.771567519312959E-3</v>
      </c>
      <c r="C100" s="96">
        <v>-7.4720148387009541E-3</v>
      </c>
      <c r="D100" s="96">
        <v>-2.2861669143262351E-2</v>
      </c>
      <c r="E100" s="96">
        <v>4.3348977664899438E-2</v>
      </c>
      <c r="F100" s="96">
        <v>-5.2770571008438931E-3</v>
      </c>
      <c r="G100" s="96">
        <v>-2.8951046515825297E-2</v>
      </c>
      <c r="H100" s="96">
        <v>0</v>
      </c>
      <c r="J100" s="174">
        <v>43698</v>
      </c>
      <c r="K100" s="96">
        <f t="shared" si="7"/>
        <v>-4.7851169840812217E-3</v>
      </c>
      <c r="L100" s="96">
        <f t="shared" si="8"/>
        <v>-7.2909432475421728E-3</v>
      </c>
      <c r="M100" s="96">
        <f t="shared" si="9"/>
        <v>-2.2101280171150626E-2</v>
      </c>
      <c r="N100" s="96">
        <f t="shared" si="10"/>
        <v>4.3652894964629894E-2</v>
      </c>
      <c r="O100" s="96">
        <f t="shared" si="11"/>
        <v>-2.8640110351582735E-3</v>
      </c>
      <c r="P100" s="96">
        <f t="shared" si="12"/>
        <v>-2.9800519755160276E-2</v>
      </c>
      <c r="Q100" s="96">
        <f t="shared" si="13"/>
        <v>7.7436576025814708E-4</v>
      </c>
    </row>
    <row r="101" spans="1:17">
      <c r="A101" s="174">
        <v>43699</v>
      </c>
      <c r="B101" s="96">
        <v>-6.3344806406346252E-3</v>
      </c>
      <c r="C101" s="96">
        <v>0</v>
      </c>
      <c r="D101" s="96">
        <v>1.3039613507803549E-2</v>
      </c>
      <c r="E101" s="96">
        <v>9.7774978043121321E-3</v>
      </c>
      <c r="F101" s="96">
        <v>1.9906367116802937E-2</v>
      </c>
      <c r="G101" s="96">
        <v>5.0955524266000952E-3</v>
      </c>
      <c r="H101" s="96">
        <v>-3.3955890011382718E-3</v>
      </c>
      <c r="J101" s="174">
        <v>43699</v>
      </c>
      <c r="K101" s="96">
        <f t="shared" si="7"/>
        <v>-5.348030105402888E-3</v>
      </c>
      <c r="L101" s="96">
        <f t="shared" si="8"/>
        <v>1.8107159115878139E-4</v>
      </c>
      <c r="M101" s="96">
        <f t="shared" si="9"/>
        <v>1.3800002479915275E-2</v>
      </c>
      <c r="N101" s="96">
        <f t="shared" si="10"/>
        <v>1.0081415104042589E-2</v>
      </c>
      <c r="O101" s="96">
        <f t="shared" si="11"/>
        <v>2.2319413182488555E-2</v>
      </c>
      <c r="P101" s="96">
        <f t="shared" si="12"/>
        <v>4.2460791872651182E-3</v>
      </c>
      <c r="Q101" s="96">
        <f t="shared" si="13"/>
        <v>-2.6212232408801247E-3</v>
      </c>
    </row>
    <row r="102" spans="1:17">
      <c r="A102" s="174">
        <v>43700</v>
      </c>
      <c r="B102" s="96">
        <v>-8.5088792462161261E-3</v>
      </c>
      <c r="C102" s="96">
        <v>0</v>
      </c>
      <c r="D102" s="96">
        <v>-3.8357421492093424E-2</v>
      </c>
      <c r="E102" s="96">
        <v>-1.7435924653110311E-2</v>
      </c>
      <c r="F102" s="96">
        <v>-1.4629310015959155E-2</v>
      </c>
      <c r="G102" s="96">
        <v>-2.5445306349948728E-3</v>
      </c>
      <c r="H102" s="96">
        <v>-1.7153079226249469E-2</v>
      </c>
      <c r="J102" s="174">
        <v>43700</v>
      </c>
      <c r="K102" s="96">
        <f t="shared" si="7"/>
        <v>-7.5224287109843888E-3</v>
      </c>
      <c r="L102" s="96">
        <f t="shared" si="8"/>
        <v>1.8107159115878139E-4</v>
      </c>
      <c r="M102" s="96">
        <f t="shared" si="9"/>
        <v>-3.7597032519981699E-2</v>
      </c>
      <c r="N102" s="96">
        <f t="shared" si="10"/>
        <v>-1.7132007353379854E-2</v>
      </c>
      <c r="O102" s="96">
        <f t="shared" si="11"/>
        <v>-1.2216263950273535E-2</v>
      </c>
      <c r="P102" s="96">
        <f t="shared" si="12"/>
        <v>-3.3940038743298503E-3</v>
      </c>
      <c r="Q102" s="96">
        <f t="shared" si="13"/>
        <v>-1.6378713465991322E-2</v>
      </c>
    </row>
    <row r="103" spans="1:17">
      <c r="A103" s="174">
        <v>43703</v>
      </c>
      <c r="B103" s="96">
        <v>-1.2900630429804161E-2</v>
      </c>
      <c r="C103" s="96">
        <v>-5.8504136781755891E-3</v>
      </c>
      <c r="D103" s="96">
        <v>-1.160554612030789E-2</v>
      </c>
      <c r="E103" s="96">
        <v>-2.2156151562596135E-3</v>
      </c>
      <c r="F103" s="96">
        <v>-1.6985546365743884E-2</v>
      </c>
      <c r="G103" s="96">
        <v>-1.6699167757632256E-2</v>
      </c>
      <c r="H103" s="96">
        <v>1.0327114155849524E-2</v>
      </c>
      <c r="J103" s="174">
        <v>43703</v>
      </c>
      <c r="K103" s="96">
        <f t="shared" si="7"/>
        <v>-1.1914179894572424E-2</v>
      </c>
      <c r="L103" s="96">
        <f t="shared" si="8"/>
        <v>-5.6693420870168078E-3</v>
      </c>
      <c r="M103" s="96">
        <f t="shared" si="9"/>
        <v>-1.0845157148196165E-2</v>
      </c>
      <c r="N103" s="96">
        <f t="shared" si="10"/>
        <v>-1.9116978565291577E-3</v>
      </c>
      <c r="O103" s="96">
        <f t="shared" si="11"/>
        <v>-1.4572500300058265E-2</v>
      </c>
      <c r="P103" s="96">
        <f t="shared" si="12"/>
        <v>-1.7548640996967235E-2</v>
      </c>
      <c r="Q103" s="96">
        <f t="shared" si="13"/>
        <v>1.1101479916107672E-2</v>
      </c>
    </row>
    <row r="104" spans="1:17">
      <c r="A104" s="174">
        <v>43704</v>
      </c>
      <c r="B104" s="96">
        <v>-5.4247719016202013E-3</v>
      </c>
      <c r="C104" s="96">
        <v>1.6750422676948956E-3</v>
      </c>
      <c r="D104" s="96">
        <v>2.2444032839763504E-2</v>
      </c>
      <c r="E104" s="96">
        <v>2.1709859575524321E-2</v>
      </c>
      <c r="F104" s="96">
        <v>-2.6031838717946867E-2</v>
      </c>
      <c r="G104" s="96">
        <v>-7.8023802841847871E-3</v>
      </c>
      <c r="H104" s="96">
        <v>-3.4305350967891368E-3</v>
      </c>
      <c r="J104" s="174">
        <v>43704</v>
      </c>
      <c r="K104" s="96">
        <f t="shared" si="7"/>
        <v>-4.4383213663884641E-3</v>
      </c>
      <c r="L104" s="96">
        <f t="shared" si="8"/>
        <v>1.8561138588536769E-3</v>
      </c>
      <c r="M104" s="96">
        <f t="shared" si="9"/>
        <v>2.320442181187523E-2</v>
      </c>
      <c r="N104" s="96">
        <f t="shared" si="10"/>
        <v>2.2013776875254777E-2</v>
      </c>
      <c r="O104" s="96">
        <f t="shared" si="11"/>
        <v>-2.3618792652261248E-2</v>
      </c>
      <c r="P104" s="96">
        <f t="shared" si="12"/>
        <v>-8.651853523519765E-3</v>
      </c>
      <c r="Q104" s="96">
        <f t="shared" si="13"/>
        <v>-2.6561693365309896E-3</v>
      </c>
    </row>
    <row r="105" spans="1:17">
      <c r="A105" s="174">
        <v>43705</v>
      </c>
      <c r="B105" s="96">
        <v>1.0820274361708076E-2</v>
      </c>
      <c r="C105" s="96">
        <v>4.175371410480592E-3</v>
      </c>
      <c r="D105" s="96">
        <v>4.0390703049335314E-2</v>
      </c>
      <c r="E105" s="96">
        <v>-1.0796016194359786E-2</v>
      </c>
      <c r="F105" s="96">
        <v>-6.6152391187193167E-3</v>
      </c>
      <c r="G105" s="96">
        <v>-2.6143805740708207E-3</v>
      </c>
      <c r="H105" s="96">
        <v>-6.8965790590604405E-3</v>
      </c>
      <c r="J105" s="174">
        <v>43705</v>
      </c>
      <c r="K105" s="96">
        <f t="shared" si="7"/>
        <v>1.1806724896939813E-2</v>
      </c>
      <c r="L105" s="96">
        <f t="shared" si="8"/>
        <v>4.3564430016393733E-3</v>
      </c>
      <c r="M105" s="96">
        <f t="shared" si="9"/>
        <v>4.1151092021447039E-2</v>
      </c>
      <c r="N105" s="96">
        <f t="shared" si="10"/>
        <v>-1.0492098894629329E-2</v>
      </c>
      <c r="O105" s="96">
        <f t="shared" si="11"/>
        <v>-4.2021930530336971E-3</v>
      </c>
      <c r="P105" s="96">
        <f t="shared" si="12"/>
        <v>-3.4638538134057978E-3</v>
      </c>
      <c r="Q105" s="96">
        <f t="shared" si="13"/>
        <v>-6.1222132988022933E-3</v>
      </c>
    </row>
    <row r="106" spans="1:17">
      <c r="A106" s="174">
        <v>43706</v>
      </c>
      <c r="B106" s="96">
        <v>2.7596741742083569E-2</v>
      </c>
      <c r="C106" s="96">
        <v>9.950330853168092E-3</v>
      </c>
      <c r="D106" s="96">
        <v>3.7063417376887342E-2</v>
      </c>
      <c r="E106" s="96">
        <v>5.4125772721348182E-3</v>
      </c>
      <c r="F106" s="96">
        <v>1.31870042819539E-2</v>
      </c>
      <c r="G106" s="96">
        <v>9.1205843968090762E-3</v>
      </c>
      <c r="H106" s="96">
        <v>1.0327114155849524E-2</v>
      </c>
      <c r="J106" s="174">
        <v>43706</v>
      </c>
      <c r="K106" s="96">
        <f t="shared" si="7"/>
        <v>2.8583192277315306E-2</v>
      </c>
      <c r="L106" s="96">
        <f t="shared" si="8"/>
        <v>1.0131402444326873E-2</v>
      </c>
      <c r="M106" s="96">
        <f t="shared" si="9"/>
        <v>3.7823806348999067E-2</v>
      </c>
      <c r="N106" s="96">
        <f t="shared" si="10"/>
        <v>5.7164945718652738E-3</v>
      </c>
      <c r="O106" s="96">
        <f t="shared" si="11"/>
        <v>1.5600050347639519E-2</v>
      </c>
      <c r="P106" s="96">
        <f t="shared" si="12"/>
        <v>8.2711111574740991E-3</v>
      </c>
      <c r="Q106" s="96">
        <f t="shared" si="13"/>
        <v>1.1101479916107672E-2</v>
      </c>
    </row>
    <row r="107" spans="1:17">
      <c r="A107" s="174">
        <v>43707</v>
      </c>
      <c r="B107" s="96">
        <v>3.135781810684276E-3</v>
      </c>
      <c r="C107" s="96">
        <v>1.6488049901838859E-3</v>
      </c>
      <c r="D107" s="96">
        <v>2.5493848826219766E-2</v>
      </c>
      <c r="E107" s="96">
        <v>1.1478421829604205E-3</v>
      </c>
      <c r="F107" s="96">
        <v>1.5168221473171444E-2</v>
      </c>
      <c r="G107" s="96">
        <v>1.160554612030789E-2</v>
      </c>
      <c r="H107" s="96">
        <v>-6.8728792877620643E-3</v>
      </c>
      <c r="J107" s="174">
        <v>43707</v>
      </c>
      <c r="K107" s="96">
        <f t="shared" si="7"/>
        <v>4.1222323459160128E-3</v>
      </c>
      <c r="L107" s="96">
        <f t="shared" si="8"/>
        <v>1.8298765813426672E-3</v>
      </c>
      <c r="M107" s="96">
        <f t="shared" si="9"/>
        <v>2.6254237798331491E-2</v>
      </c>
      <c r="N107" s="96">
        <f t="shared" si="10"/>
        <v>1.4517594826908764E-3</v>
      </c>
      <c r="O107" s="96">
        <f t="shared" si="11"/>
        <v>1.7581267538857064E-2</v>
      </c>
      <c r="P107" s="96">
        <f t="shared" si="12"/>
        <v>1.0756072880972913E-2</v>
      </c>
      <c r="Q107" s="96">
        <f t="shared" si="13"/>
        <v>-6.0985135275039171E-3</v>
      </c>
    </row>
    <row r="108" spans="1:17">
      <c r="A108" s="174">
        <v>43710</v>
      </c>
      <c r="B108" s="96">
        <v>1.0430792642827941E-3</v>
      </c>
      <c r="C108" s="96">
        <v>-8.2713457506773062E-3</v>
      </c>
      <c r="D108" s="96">
        <v>-1.4405319687551129E-2</v>
      </c>
      <c r="E108" s="96">
        <v>-9.7989140736055944E-3</v>
      </c>
      <c r="F108" s="96">
        <v>-1.081091610421573E-2</v>
      </c>
      <c r="G108" s="96">
        <v>-1.9418085857101513E-2</v>
      </c>
      <c r="H108" s="96">
        <v>3.4423441909729197E-3</v>
      </c>
      <c r="J108" s="174">
        <v>43710</v>
      </c>
      <c r="K108" s="96">
        <f t="shared" si="7"/>
        <v>2.0295297995145314E-3</v>
      </c>
      <c r="L108" s="96">
        <f t="shared" si="8"/>
        <v>-8.0902741595185249E-3</v>
      </c>
      <c r="M108" s="96">
        <f t="shared" si="9"/>
        <v>-1.3644930715439403E-2</v>
      </c>
      <c r="N108" s="96">
        <f t="shared" si="10"/>
        <v>-9.4949967738751379E-3</v>
      </c>
      <c r="O108" s="96">
        <f t="shared" si="11"/>
        <v>-8.3978700385301114E-3</v>
      </c>
      <c r="P108" s="96">
        <f t="shared" si="12"/>
        <v>-2.0267559096436492E-2</v>
      </c>
      <c r="Q108" s="96">
        <f t="shared" si="13"/>
        <v>4.2167099512310669E-3</v>
      </c>
    </row>
    <row r="109" spans="1:17">
      <c r="A109" s="174">
        <v>43711</v>
      </c>
      <c r="B109" s="96">
        <v>-2.2136457818946954E-2</v>
      </c>
      <c r="C109" s="96">
        <v>-1.0856056513466118E-2</v>
      </c>
      <c r="D109" s="96">
        <v>-3.4883756304540086E-3</v>
      </c>
      <c r="E109" s="96">
        <v>-3.2490165503499427E-3</v>
      </c>
      <c r="F109" s="96">
        <v>5.4200674693393345E-3</v>
      </c>
      <c r="G109" s="96">
        <v>-1.5810606026642315E-2</v>
      </c>
      <c r="H109" s="96">
        <v>0</v>
      </c>
      <c r="J109" s="174">
        <v>43711</v>
      </c>
      <c r="K109" s="96">
        <f t="shared" si="7"/>
        <v>-2.1150007283715216E-2</v>
      </c>
      <c r="L109" s="96">
        <f t="shared" si="8"/>
        <v>-1.0674984922307337E-2</v>
      </c>
      <c r="M109" s="96">
        <f t="shared" si="9"/>
        <v>-2.727986658342283E-3</v>
      </c>
      <c r="N109" s="96">
        <f t="shared" si="10"/>
        <v>-2.945099250619487E-3</v>
      </c>
      <c r="O109" s="96">
        <f t="shared" si="11"/>
        <v>7.8331135350249541E-3</v>
      </c>
      <c r="P109" s="96">
        <f t="shared" si="12"/>
        <v>-1.6660079265977294E-2</v>
      </c>
      <c r="Q109" s="96">
        <f t="shared" si="13"/>
        <v>7.7436576025814708E-4</v>
      </c>
    </row>
    <row r="110" spans="1:17">
      <c r="A110" s="174">
        <v>43712</v>
      </c>
      <c r="B110" s="96">
        <v>7.4333994183950628E-3</v>
      </c>
      <c r="C110" s="96">
        <v>7.5282664207915878E-3</v>
      </c>
      <c r="D110" s="96">
        <v>-3.9803294002849349E-2</v>
      </c>
      <c r="E110" s="96">
        <v>-1.2161047909212803E-2</v>
      </c>
      <c r="F110" s="96">
        <v>-6.5076151567381888E-3</v>
      </c>
      <c r="G110" s="96">
        <v>1.4502561366626901E-2</v>
      </c>
      <c r="H110" s="96">
        <v>6.8493418455747683E-3</v>
      </c>
      <c r="J110" s="174">
        <v>43712</v>
      </c>
      <c r="K110" s="96">
        <f t="shared" si="7"/>
        <v>8.4198499536267991E-3</v>
      </c>
      <c r="L110" s="96">
        <f t="shared" si="8"/>
        <v>7.7093380119503691E-3</v>
      </c>
      <c r="M110" s="96">
        <f t="shared" si="9"/>
        <v>-3.9042905030737624E-2</v>
      </c>
      <c r="N110" s="96">
        <f t="shared" si="10"/>
        <v>-1.1857130609482347E-2</v>
      </c>
      <c r="O110" s="96">
        <f t="shared" si="11"/>
        <v>-4.0945690910525693E-3</v>
      </c>
      <c r="P110" s="96">
        <f t="shared" si="12"/>
        <v>1.3653088127291924E-2</v>
      </c>
      <c r="Q110" s="96">
        <f t="shared" si="13"/>
        <v>7.6237076058329155E-3</v>
      </c>
    </row>
    <row r="111" spans="1:17">
      <c r="A111" s="174">
        <v>43713</v>
      </c>
      <c r="B111" s="96">
        <v>3.5339366445308863E-2</v>
      </c>
      <c r="C111" s="96">
        <v>3.6010437523033033E-2</v>
      </c>
      <c r="D111" s="96">
        <v>1.9208273638267191E-2</v>
      </c>
      <c r="E111" s="96">
        <v>1.0998121856532617E-2</v>
      </c>
      <c r="F111" s="96">
        <v>2.173913899619967E-3</v>
      </c>
      <c r="G111" s="96">
        <v>2.0726130517116952E-2</v>
      </c>
      <c r="H111" s="96">
        <v>3.4071583216141346E-3</v>
      </c>
      <c r="J111" s="174">
        <v>43713</v>
      </c>
      <c r="K111" s="96">
        <f t="shared" si="7"/>
        <v>3.6325816980540597E-2</v>
      </c>
      <c r="L111" s="96">
        <f t="shared" si="8"/>
        <v>3.6191509114191812E-2</v>
      </c>
      <c r="M111" s="96">
        <f t="shared" si="9"/>
        <v>1.9968662610378916E-2</v>
      </c>
      <c r="N111" s="96">
        <f t="shared" si="10"/>
        <v>1.1302039156263073E-2</v>
      </c>
      <c r="O111" s="96">
        <f t="shared" si="11"/>
        <v>4.586959965305587E-3</v>
      </c>
      <c r="P111" s="96">
        <f t="shared" si="12"/>
        <v>1.9876657277781973E-2</v>
      </c>
      <c r="Q111" s="96">
        <f t="shared" si="13"/>
        <v>4.1815240818722814E-3</v>
      </c>
    </row>
    <row r="112" spans="1:17">
      <c r="A112" s="174">
        <v>43714</v>
      </c>
      <c r="B112" s="96">
        <v>6.1087544883211909E-3</v>
      </c>
      <c r="C112" s="96">
        <v>-8.8817701347804218E-3</v>
      </c>
      <c r="D112" s="96">
        <v>-8.9579577820992212E-3</v>
      </c>
      <c r="E112" s="96">
        <v>-4.3146239168855294E-3</v>
      </c>
      <c r="F112" s="96">
        <v>3.2520353863773159E-3</v>
      </c>
      <c r="G112" s="96">
        <v>2.5608208616736505E-3</v>
      </c>
      <c r="H112" s="96">
        <v>0</v>
      </c>
      <c r="J112" s="174">
        <v>43714</v>
      </c>
      <c r="K112" s="96">
        <f t="shared" si="7"/>
        <v>7.0952050235529281E-3</v>
      </c>
      <c r="L112" s="96">
        <f t="shared" si="8"/>
        <v>-8.7006985436216405E-3</v>
      </c>
      <c r="M112" s="96">
        <f t="shared" si="9"/>
        <v>-8.197568809987496E-3</v>
      </c>
      <c r="N112" s="96">
        <f t="shared" si="10"/>
        <v>-4.0107066171550737E-3</v>
      </c>
      <c r="O112" s="96">
        <f t="shared" si="11"/>
        <v>5.6650814520629355E-3</v>
      </c>
      <c r="P112" s="96">
        <f t="shared" si="12"/>
        <v>1.7113476223386732E-3</v>
      </c>
      <c r="Q112" s="96">
        <f t="shared" si="13"/>
        <v>7.7436576025814708E-4</v>
      </c>
    </row>
    <row r="113" spans="1:17">
      <c r="A113" s="174">
        <v>43717</v>
      </c>
      <c r="B113" s="96">
        <v>1.4200225532549149E-3</v>
      </c>
      <c r="C113" s="96">
        <v>-4.8780584534328549E-3</v>
      </c>
      <c r="D113" s="96">
        <v>1.1333255811006537E-2</v>
      </c>
      <c r="E113" s="96">
        <v>-3.0132766156024126E-2</v>
      </c>
      <c r="F113" s="96">
        <v>-2.166848085090314E-3</v>
      </c>
      <c r="G113" s="96">
        <v>-3.843694674562827E-3</v>
      </c>
      <c r="H113" s="96">
        <v>-1.0256500167188997E-2</v>
      </c>
      <c r="J113" s="174">
        <v>43717</v>
      </c>
      <c r="K113" s="96">
        <f t="shared" si="7"/>
        <v>2.4064730884866522E-3</v>
      </c>
      <c r="L113" s="96">
        <f t="shared" si="8"/>
        <v>-4.6969868622740735E-3</v>
      </c>
      <c r="M113" s="96">
        <f t="shared" si="9"/>
        <v>1.2093644783118262E-2</v>
      </c>
      <c r="N113" s="96">
        <f t="shared" si="10"/>
        <v>-2.9828848856293669E-2</v>
      </c>
      <c r="O113" s="96">
        <f t="shared" si="11"/>
        <v>2.4619798059530556E-4</v>
      </c>
      <c r="P113" s="96">
        <f t="shared" si="12"/>
        <v>-4.6931679138978045E-3</v>
      </c>
      <c r="Q113" s="96">
        <f t="shared" si="13"/>
        <v>-9.4821344069308498E-3</v>
      </c>
    </row>
    <row r="114" spans="1:17">
      <c r="A114" s="174">
        <v>43718</v>
      </c>
      <c r="B114" s="96">
        <v>-7.5287770415761865E-3</v>
      </c>
      <c r="C114" s="96">
        <v>-1.6313217320840852E-3</v>
      </c>
      <c r="D114" s="96">
        <v>-1.253373614725658E-2</v>
      </c>
      <c r="E114" s="96">
        <v>-9.2688063530316542E-2</v>
      </c>
      <c r="F114" s="96">
        <v>-1.3100624045698206E-2</v>
      </c>
      <c r="G114" s="96">
        <v>-1.8135212044212395E-2</v>
      </c>
      <c r="H114" s="96">
        <v>0</v>
      </c>
      <c r="J114" s="174">
        <v>43718</v>
      </c>
      <c r="K114" s="96">
        <f t="shared" si="7"/>
        <v>-6.5423265063444492E-3</v>
      </c>
      <c r="L114" s="96">
        <f t="shared" si="8"/>
        <v>-1.4502501409253039E-3</v>
      </c>
      <c r="M114" s="96">
        <f t="shared" si="9"/>
        <v>-1.1773347175144855E-2</v>
      </c>
      <c r="N114" s="96">
        <f t="shared" si="10"/>
        <v>-9.2384146230586092E-2</v>
      </c>
      <c r="O114" s="96">
        <f t="shared" si="11"/>
        <v>-1.0687577980012585E-2</v>
      </c>
      <c r="P114" s="96">
        <f t="shared" si="12"/>
        <v>-1.8984685283547374E-2</v>
      </c>
      <c r="Q114" s="96">
        <f t="shared" si="13"/>
        <v>7.7436576025814708E-4</v>
      </c>
    </row>
    <row r="115" spans="1:17">
      <c r="A115" s="174">
        <v>43719</v>
      </c>
      <c r="B115" s="96">
        <v>-6.1463008486941778E-3</v>
      </c>
      <c r="C115" s="96">
        <v>8.1301260832500888E-3</v>
      </c>
      <c r="D115" s="96">
        <v>3.7139546949456786E-2</v>
      </c>
      <c r="E115" s="96">
        <v>3.8246007715074465E-3</v>
      </c>
      <c r="F115" s="96">
        <v>0</v>
      </c>
      <c r="G115" s="96">
        <v>-6.5574005461591636E-3</v>
      </c>
      <c r="H115" s="96">
        <v>3.4305350967892222E-3</v>
      </c>
      <c r="J115" s="174">
        <v>43719</v>
      </c>
      <c r="K115" s="96">
        <f t="shared" si="7"/>
        <v>-5.1598503134624406E-3</v>
      </c>
      <c r="L115" s="96">
        <f t="shared" si="8"/>
        <v>8.3111976744088701E-3</v>
      </c>
      <c r="M115" s="96">
        <f t="shared" si="9"/>
        <v>3.7899935921568512E-2</v>
      </c>
      <c r="N115" s="96">
        <f t="shared" si="10"/>
        <v>4.1285180712379022E-3</v>
      </c>
      <c r="O115" s="96">
        <f t="shared" si="11"/>
        <v>2.4130460656856196E-3</v>
      </c>
      <c r="P115" s="96">
        <f t="shared" si="12"/>
        <v>-7.4068737854941407E-3</v>
      </c>
      <c r="Q115" s="96">
        <f t="shared" si="13"/>
        <v>4.204900857047369E-3</v>
      </c>
    </row>
    <row r="116" spans="1:17">
      <c r="A116" s="174">
        <v>43720</v>
      </c>
      <c r="B116" s="96">
        <v>-5.6674890224706533E-3</v>
      </c>
      <c r="C116" s="96">
        <v>-4.056800695614318E-3</v>
      </c>
      <c r="D116" s="96">
        <v>-9.3023926623135612E-3</v>
      </c>
      <c r="E116" s="96">
        <v>-3.8246007715075437E-3</v>
      </c>
      <c r="F116" s="96">
        <v>-1.0995053334168876E-3</v>
      </c>
      <c r="G116" s="96">
        <v>0</v>
      </c>
      <c r="H116" s="96">
        <v>-6.8728792877620643E-3</v>
      </c>
      <c r="J116" s="174">
        <v>43720</v>
      </c>
      <c r="K116" s="96">
        <f t="shared" si="7"/>
        <v>-4.6810384872389161E-3</v>
      </c>
      <c r="L116" s="96">
        <f t="shared" si="8"/>
        <v>-3.8757291044555367E-3</v>
      </c>
      <c r="M116" s="96">
        <f t="shared" si="9"/>
        <v>-8.5420036902018361E-3</v>
      </c>
      <c r="N116" s="96">
        <f t="shared" si="10"/>
        <v>-3.520683471777088E-3</v>
      </c>
      <c r="O116" s="96">
        <f t="shared" si="11"/>
        <v>1.313540732268732E-3</v>
      </c>
      <c r="P116" s="96">
        <f t="shared" si="12"/>
        <v>-8.494732393349773E-4</v>
      </c>
      <c r="Q116" s="96">
        <f t="shared" si="13"/>
        <v>-6.0985135275039171E-3</v>
      </c>
    </row>
    <row r="117" spans="1:17">
      <c r="A117" s="174">
        <v>43721</v>
      </c>
      <c r="B117" s="96">
        <v>9.769217496688647E-3</v>
      </c>
      <c r="C117" s="96">
        <v>4.8661896511729063E-3</v>
      </c>
      <c r="D117" s="96">
        <v>1.6797383066501477E-2</v>
      </c>
      <c r="E117" s="96">
        <v>-1.1899254395374727E-3</v>
      </c>
      <c r="F117" s="96">
        <v>1.0941028178208202E-2</v>
      </c>
      <c r="G117" s="96">
        <v>2.5975486403260736E-2</v>
      </c>
      <c r="H117" s="96">
        <v>0</v>
      </c>
      <c r="J117" s="174">
        <v>43721</v>
      </c>
      <c r="K117" s="96">
        <f t="shared" si="7"/>
        <v>1.0755668031920384E-2</v>
      </c>
      <c r="L117" s="96">
        <f t="shared" si="8"/>
        <v>5.0472612423316876E-3</v>
      </c>
      <c r="M117" s="96">
        <f t="shared" si="9"/>
        <v>1.7557772038613202E-2</v>
      </c>
      <c r="N117" s="96">
        <f t="shared" si="10"/>
        <v>-8.8600813980701685E-4</v>
      </c>
      <c r="O117" s="96">
        <f t="shared" si="11"/>
        <v>1.3354074243893822E-2</v>
      </c>
      <c r="P117" s="96">
        <f t="shared" si="12"/>
        <v>2.5126013163925758E-2</v>
      </c>
      <c r="Q117" s="96">
        <f t="shared" si="13"/>
        <v>7.7436576025814708E-4</v>
      </c>
    </row>
    <row r="118" spans="1:17">
      <c r="A118" s="174">
        <v>43724</v>
      </c>
      <c r="B118" s="96">
        <v>1.7146465834514173E-2</v>
      </c>
      <c r="C118" s="96">
        <v>1.7642799242749817E-2</v>
      </c>
      <c r="D118" s="96">
        <v>1.085414826400855E-2</v>
      </c>
      <c r="E118" s="96">
        <v>8.6934161834355452E-3</v>
      </c>
      <c r="F118" s="96">
        <v>3.3175862238899574E-2</v>
      </c>
      <c r="G118" s="96">
        <v>6.3897980987709883E-3</v>
      </c>
      <c r="H118" s="96">
        <v>6.8728792877620504E-3</v>
      </c>
      <c r="J118" s="174">
        <v>43724</v>
      </c>
      <c r="K118" s="96">
        <f t="shared" si="7"/>
        <v>1.813291636974591E-2</v>
      </c>
      <c r="L118" s="96">
        <f t="shared" si="8"/>
        <v>1.78238708339086E-2</v>
      </c>
      <c r="M118" s="96">
        <f t="shared" si="9"/>
        <v>1.1614537236120276E-2</v>
      </c>
      <c r="N118" s="96">
        <f t="shared" si="10"/>
        <v>8.9973334831660017E-3</v>
      </c>
      <c r="O118" s="96">
        <f t="shared" si="11"/>
        <v>3.5588908304585193E-2</v>
      </c>
      <c r="P118" s="96">
        <f t="shared" si="12"/>
        <v>5.5403248594360112E-3</v>
      </c>
      <c r="Q118" s="96">
        <f t="shared" si="13"/>
        <v>7.6472450480201976E-3</v>
      </c>
    </row>
    <row r="119" spans="1:17">
      <c r="A119" s="174">
        <v>43725</v>
      </c>
      <c r="B119" s="96">
        <v>-5.0423664723044277E-3</v>
      </c>
      <c r="C119" s="96">
        <v>7.917697736785306E-3</v>
      </c>
      <c r="D119" s="96">
        <v>-3.645182279797135E-2</v>
      </c>
      <c r="E119" s="96">
        <v>-3.0087466550061438E-2</v>
      </c>
      <c r="F119" s="96">
        <v>1.0520779508038345E-3</v>
      </c>
      <c r="G119" s="96">
        <v>1.2730746467981126E-3</v>
      </c>
      <c r="H119" s="96">
        <v>-6.8728792877620643E-3</v>
      </c>
      <c r="J119" s="174">
        <v>43725</v>
      </c>
      <c r="K119" s="96">
        <f t="shared" si="7"/>
        <v>-4.0559159370726905E-3</v>
      </c>
      <c r="L119" s="96">
        <f t="shared" si="8"/>
        <v>8.0987693279440873E-3</v>
      </c>
      <c r="M119" s="96">
        <f t="shared" si="9"/>
        <v>-3.5691433825859625E-2</v>
      </c>
      <c r="N119" s="96">
        <f t="shared" si="10"/>
        <v>-2.9783549250330981E-2</v>
      </c>
      <c r="O119" s="96">
        <f t="shared" si="11"/>
        <v>3.4651240164894539E-3</v>
      </c>
      <c r="P119" s="96">
        <f t="shared" si="12"/>
        <v>4.2360140746313529E-4</v>
      </c>
      <c r="Q119" s="96">
        <f t="shared" si="13"/>
        <v>-6.0985135275039171E-3</v>
      </c>
    </row>
    <row r="120" spans="1:17">
      <c r="A120" s="174">
        <v>43726</v>
      </c>
      <c r="B120" s="96">
        <v>0</v>
      </c>
      <c r="C120" s="96">
        <v>7.0727210353680146E-3</v>
      </c>
      <c r="D120" s="96">
        <v>1.46244197534497E-2</v>
      </c>
      <c r="E120" s="96">
        <v>1.8877326076450814E-2</v>
      </c>
      <c r="F120" s="96">
        <v>6.2893289075639184E-3</v>
      </c>
      <c r="G120" s="96">
        <v>2.7605266091888698E-2</v>
      </c>
      <c r="H120" s="96">
        <v>3.4423441909729197E-3</v>
      </c>
      <c r="J120" s="174">
        <v>43726</v>
      </c>
      <c r="K120" s="96">
        <f t="shared" si="7"/>
        <v>9.8645053523173701E-4</v>
      </c>
      <c r="L120" s="96">
        <f t="shared" si="8"/>
        <v>7.2537926265267959E-3</v>
      </c>
      <c r="M120" s="96">
        <f t="shared" si="9"/>
        <v>1.5384808725561425E-2</v>
      </c>
      <c r="N120" s="96">
        <f t="shared" si="10"/>
        <v>1.9181243376181271E-2</v>
      </c>
      <c r="O120" s="96">
        <f t="shared" si="11"/>
        <v>8.7023749732495388E-3</v>
      </c>
      <c r="P120" s="96">
        <f t="shared" si="12"/>
        <v>2.6755792852553719E-2</v>
      </c>
      <c r="Q120" s="96">
        <f t="shared" si="13"/>
        <v>4.2167099512310669E-3</v>
      </c>
    </row>
    <row r="121" spans="1:17">
      <c r="A121" s="174">
        <v>43727</v>
      </c>
      <c r="B121" s="96">
        <v>-9.549036395198416E-3</v>
      </c>
      <c r="C121" s="96">
        <v>-1.5673984400127689E-3</v>
      </c>
      <c r="D121" s="96">
        <v>1.0973254780512953E-2</v>
      </c>
      <c r="E121" s="96">
        <v>-3.30330000451158E-2</v>
      </c>
      <c r="F121" s="96">
        <v>-2.0920509722239518E-3</v>
      </c>
      <c r="G121" s="96">
        <v>-6.2073445743338236E-3</v>
      </c>
      <c r="H121" s="96">
        <v>1.0256500167189061E-2</v>
      </c>
      <c r="J121" s="174">
        <v>43727</v>
      </c>
      <c r="K121" s="96">
        <f t="shared" si="7"/>
        <v>-8.5625858599666788E-3</v>
      </c>
      <c r="L121" s="96">
        <f t="shared" si="8"/>
        <v>-1.3863268488539875E-3</v>
      </c>
      <c r="M121" s="96">
        <f t="shared" si="9"/>
        <v>1.1733643752624678E-2</v>
      </c>
      <c r="N121" s="96">
        <f t="shared" si="10"/>
        <v>-3.2729082745385343E-2</v>
      </c>
      <c r="O121" s="96">
        <f t="shared" si="11"/>
        <v>3.2099509346166779E-4</v>
      </c>
      <c r="P121" s="96">
        <f t="shared" si="12"/>
        <v>-7.0568178136688007E-3</v>
      </c>
      <c r="Q121" s="96">
        <f t="shared" si="13"/>
        <v>1.1030865927447208E-2</v>
      </c>
    </row>
    <row r="122" spans="1:17">
      <c r="A122" s="174">
        <v>43728</v>
      </c>
      <c r="B122" s="96">
        <v>-5.6297809781542339E-3</v>
      </c>
      <c r="C122" s="96">
        <v>7.8125397367936247E-3</v>
      </c>
      <c r="D122" s="96">
        <v>-3.4522473872293986E-3</v>
      </c>
      <c r="E122" s="96">
        <v>-2.7376127750444255E-2</v>
      </c>
      <c r="F122" s="96">
        <v>3.1364374901303115E-3</v>
      </c>
      <c r="G122" s="96">
        <v>1.8507622655985455E-2</v>
      </c>
      <c r="H122" s="96">
        <v>-6.8259650703998706E-3</v>
      </c>
      <c r="J122" s="174">
        <v>43728</v>
      </c>
      <c r="K122" s="96">
        <f t="shared" si="7"/>
        <v>-4.6433304429224966E-3</v>
      </c>
      <c r="L122" s="96">
        <f t="shared" si="8"/>
        <v>7.993611327952406E-3</v>
      </c>
      <c r="M122" s="96">
        <f t="shared" si="9"/>
        <v>-2.691858415117673E-3</v>
      </c>
      <c r="N122" s="96">
        <f t="shared" si="10"/>
        <v>-2.7072210450713799E-2</v>
      </c>
      <c r="O122" s="96">
        <f t="shared" si="11"/>
        <v>5.5494835558159306E-3</v>
      </c>
      <c r="P122" s="96">
        <f t="shared" si="12"/>
        <v>1.7658149416650476E-2</v>
      </c>
      <c r="Q122" s="96">
        <f t="shared" si="13"/>
        <v>-6.0515993101417235E-3</v>
      </c>
    </row>
    <row r="123" spans="1:17">
      <c r="A123" s="174">
        <v>43731</v>
      </c>
      <c r="B123" s="96">
        <v>-1.5517017659137867E-2</v>
      </c>
      <c r="C123" s="96">
        <v>-9.38239877191362E-3</v>
      </c>
      <c r="D123" s="96">
        <v>-3.6388991394135671E-2</v>
      </c>
      <c r="E123" s="96">
        <v>-6.6436034874011963E-3</v>
      </c>
      <c r="F123" s="96">
        <v>-2.1097828964635815E-2</v>
      </c>
      <c r="G123" s="96">
        <v>-1.1063419544255333E-2</v>
      </c>
      <c r="H123" s="96">
        <v>-6.8728792877620643E-3</v>
      </c>
      <c r="J123" s="174">
        <v>43731</v>
      </c>
      <c r="K123" s="96">
        <f t="shared" si="7"/>
        <v>-1.453056712390613E-2</v>
      </c>
      <c r="L123" s="96">
        <f t="shared" si="8"/>
        <v>-9.2013271807548386E-3</v>
      </c>
      <c r="M123" s="96">
        <f t="shared" si="9"/>
        <v>-3.5628602422023946E-2</v>
      </c>
      <c r="N123" s="96">
        <f t="shared" si="10"/>
        <v>-6.3396861876707407E-3</v>
      </c>
      <c r="O123" s="96">
        <f t="shared" si="11"/>
        <v>-1.8684782898950196E-2</v>
      </c>
      <c r="P123" s="96">
        <f t="shared" si="12"/>
        <v>-1.191289278359031E-2</v>
      </c>
      <c r="Q123" s="96">
        <f t="shared" si="13"/>
        <v>-6.0985135275039171E-3</v>
      </c>
    </row>
    <row r="124" spans="1:17">
      <c r="A124" s="174">
        <v>43732</v>
      </c>
      <c r="B124" s="96">
        <v>-2.08724767908639E-3</v>
      </c>
      <c r="C124" s="96">
        <v>6.2647033393277091E-3</v>
      </c>
      <c r="D124" s="96">
        <v>0</v>
      </c>
      <c r="E124" s="96">
        <v>7.9107631078545945E-3</v>
      </c>
      <c r="F124" s="96">
        <v>2.129926257824849E-3</v>
      </c>
      <c r="G124" s="96">
        <v>9.8401778015111355E-3</v>
      </c>
      <c r="H124" s="96">
        <v>0</v>
      </c>
      <c r="J124" s="174">
        <v>43732</v>
      </c>
      <c r="K124" s="96">
        <f t="shared" si="7"/>
        <v>-1.1007971438546529E-3</v>
      </c>
      <c r="L124" s="96">
        <f t="shared" si="8"/>
        <v>6.4457749304864904E-3</v>
      </c>
      <c r="M124" s="96">
        <f t="shared" si="9"/>
        <v>7.6038897211172551E-4</v>
      </c>
      <c r="N124" s="96">
        <f t="shared" si="10"/>
        <v>8.214680407585051E-3</v>
      </c>
      <c r="O124" s="96">
        <f t="shared" si="11"/>
        <v>4.5429723235104686E-3</v>
      </c>
      <c r="P124" s="96">
        <f t="shared" si="12"/>
        <v>8.9907045621761585E-3</v>
      </c>
      <c r="Q124" s="96">
        <f t="shared" si="13"/>
        <v>7.7436576025814708E-4</v>
      </c>
    </row>
    <row r="125" spans="1:17">
      <c r="A125" s="174">
        <v>43733</v>
      </c>
      <c r="B125" s="96">
        <v>2.6083795893638785E-3</v>
      </c>
      <c r="C125" s="96">
        <v>-8.6241224440974096E-3</v>
      </c>
      <c r="D125" s="96">
        <v>-2.9931180681319522E-3</v>
      </c>
      <c r="E125" s="96">
        <v>-1.2032136098517551E-2</v>
      </c>
      <c r="F125" s="96">
        <v>1.0582109330537008E-2</v>
      </c>
      <c r="G125" s="96">
        <v>-9.8401778015112344E-3</v>
      </c>
      <c r="H125" s="96">
        <v>-6.9204428445737952E-3</v>
      </c>
      <c r="J125" s="174">
        <v>43733</v>
      </c>
      <c r="K125" s="96">
        <f t="shared" si="7"/>
        <v>3.5948301245956153E-3</v>
      </c>
      <c r="L125" s="96">
        <f t="shared" si="8"/>
        <v>-8.4430508529386283E-3</v>
      </c>
      <c r="M125" s="96">
        <f t="shared" si="9"/>
        <v>-2.2327290960202266E-3</v>
      </c>
      <c r="N125" s="96">
        <f t="shared" si="10"/>
        <v>-1.1728218798787094E-2</v>
      </c>
      <c r="O125" s="96">
        <f t="shared" si="11"/>
        <v>1.2995155396222629E-2</v>
      </c>
      <c r="P125" s="96">
        <f t="shared" si="12"/>
        <v>-1.0689651040846211E-2</v>
      </c>
      <c r="Q125" s="96">
        <f t="shared" si="13"/>
        <v>-6.146077084315648E-3</v>
      </c>
    </row>
    <row r="126" spans="1:17">
      <c r="A126" s="174">
        <v>43734</v>
      </c>
      <c r="B126" s="96">
        <v>3.6403389309746727E-3</v>
      </c>
      <c r="C126" s="96">
        <v>7.843177461026099E-3</v>
      </c>
      <c r="D126" s="96">
        <v>1.2511333889108148E-2</v>
      </c>
      <c r="E126" s="96">
        <v>1.203213609851757E-2</v>
      </c>
      <c r="F126" s="96">
        <v>4.2016868536999766E-3</v>
      </c>
      <c r="G126" s="96">
        <v>-3.6504997374854214E-2</v>
      </c>
      <c r="H126" s="96">
        <v>0</v>
      </c>
      <c r="J126" s="174">
        <v>43734</v>
      </c>
      <c r="K126" s="96">
        <f t="shared" si="7"/>
        <v>4.6267894662064095E-3</v>
      </c>
      <c r="L126" s="96">
        <f t="shared" si="8"/>
        <v>8.0242490521848803E-3</v>
      </c>
      <c r="M126" s="96">
        <f t="shared" si="9"/>
        <v>1.3271722861219873E-2</v>
      </c>
      <c r="N126" s="96">
        <f t="shared" si="10"/>
        <v>1.2336053398248026E-2</v>
      </c>
      <c r="O126" s="96">
        <f t="shared" si="11"/>
        <v>6.6147329193855962E-3</v>
      </c>
      <c r="P126" s="96">
        <f t="shared" si="12"/>
        <v>-3.7354470614189193E-2</v>
      </c>
      <c r="Q126" s="96">
        <f t="shared" si="13"/>
        <v>7.7436576025814708E-4</v>
      </c>
    </row>
    <row r="127" spans="1:17">
      <c r="A127" s="174">
        <v>43735</v>
      </c>
      <c r="B127" s="96">
        <v>-1.4641549992948005E-2</v>
      </c>
      <c r="C127" s="96">
        <v>7.8094498307135099E-4</v>
      </c>
      <c r="D127" s="96">
        <v>2.0510534415838291E-2</v>
      </c>
      <c r="E127" s="96">
        <v>1.7020500173402023E-2</v>
      </c>
      <c r="F127" s="96">
        <v>-1.4783796184236867E-2</v>
      </c>
      <c r="G127" s="96">
        <v>0</v>
      </c>
      <c r="H127" s="96">
        <v>-6.9686693160933158E-3</v>
      </c>
      <c r="J127" s="174">
        <v>43735</v>
      </c>
      <c r="K127" s="96">
        <f t="shared" si="7"/>
        <v>-1.3655099457716268E-2</v>
      </c>
      <c r="L127" s="96">
        <f t="shared" si="8"/>
        <v>9.6201657423013241E-4</v>
      </c>
      <c r="M127" s="96">
        <f t="shared" si="9"/>
        <v>2.1270923387950016E-2</v>
      </c>
      <c r="N127" s="96">
        <f t="shared" si="10"/>
        <v>1.7324417473132479E-2</v>
      </c>
      <c r="O127" s="96">
        <f t="shared" si="11"/>
        <v>-1.2370750118551248E-2</v>
      </c>
      <c r="P127" s="96">
        <f t="shared" si="12"/>
        <v>-8.494732393349773E-4</v>
      </c>
      <c r="Q127" s="96">
        <f t="shared" si="13"/>
        <v>-6.1943035558351687E-3</v>
      </c>
    </row>
    <row r="128" spans="1:17">
      <c r="A128" s="174">
        <v>43738</v>
      </c>
      <c r="B128" s="96">
        <v>-6.8714261595039438E-3</v>
      </c>
      <c r="C128" s="96">
        <v>-1.3359727189931529E-2</v>
      </c>
      <c r="D128" s="96">
        <v>9.8124885445506245E-3</v>
      </c>
      <c r="E128" s="96">
        <v>1.5510571056482311E-2</v>
      </c>
      <c r="F128" s="96">
        <v>1.5831465216680662E-2</v>
      </c>
      <c r="G128" s="96">
        <v>2.2814677766171482E-2</v>
      </c>
      <c r="H128" s="96">
        <v>0</v>
      </c>
      <c r="J128" s="174">
        <v>43738</v>
      </c>
      <c r="K128" s="96">
        <f t="shared" si="7"/>
        <v>-5.8849756242722066E-3</v>
      </c>
      <c r="L128" s="96">
        <f t="shared" si="8"/>
        <v>-1.3178655598772748E-2</v>
      </c>
      <c r="M128" s="96">
        <f t="shared" si="9"/>
        <v>1.057287751666235E-2</v>
      </c>
      <c r="N128" s="96">
        <f t="shared" si="10"/>
        <v>1.5814488356212766E-2</v>
      </c>
      <c r="O128" s="96">
        <f t="shared" si="11"/>
        <v>1.8244511282366281E-2</v>
      </c>
      <c r="P128" s="96">
        <f t="shared" si="12"/>
        <v>2.1965204526836504E-2</v>
      </c>
      <c r="Q128" s="96">
        <f t="shared" si="13"/>
        <v>7.7436576025814708E-4</v>
      </c>
    </row>
    <row r="129" spans="1:17">
      <c r="A129" s="174">
        <v>43739</v>
      </c>
      <c r="B129" s="96">
        <v>-1.6039693742878863E-2</v>
      </c>
      <c r="C129" s="96">
        <v>8.6648828857237258E-3</v>
      </c>
      <c r="D129" s="96">
        <v>-3.3881745577383111E-2</v>
      </c>
      <c r="E129" s="96">
        <v>-2.4546582623782495E-3</v>
      </c>
      <c r="F129" s="96">
        <v>-1.9028058242308261E-2</v>
      </c>
      <c r="G129" s="96">
        <v>-1.8975901459005691E-2</v>
      </c>
      <c r="H129" s="96">
        <v>-2.8370697129215576E-2</v>
      </c>
      <c r="J129" s="174">
        <v>43739</v>
      </c>
      <c r="K129" s="96">
        <f t="shared" si="7"/>
        <v>-1.5053243207647126E-2</v>
      </c>
      <c r="L129" s="96">
        <f t="shared" si="8"/>
        <v>8.8459544768825071E-3</v>
      </c>
      <c r="M129" s="96">
        <f t="shared" si="9"/>
        <v>-3.3121356605271386E-2</v>
      </c>
      <c r="N129" s="96">
        <f t="shared" si="10"/>
        <v>-2.1507409626477939E-3</v>
      </c>
      <c r="O129" s="96">
        <f t="shared" si="11"/>
        <v>-1.6615012176622642E-2</v>
      </c>
      <c r="P129" s="96">
        <f t="shared" si="12"/>
        <v>-1.982537469834067E-2</v>
      </c>
      <c r="Q129" s="96">
        <f t="shared" si="13"/>
        <v>-2.7596331368957429E-2</v>
      </c>
    </row>
    <row r="130" spans="1:17">
      <c r="A130" s="174">
        <v>43740</v>
      </c>
      <c r="B130" s="96">
        <v>-3.779906223059664E-3</v>
      </c>
      <c r="C130" s="96">
        <v>0</v>
      </c>
      <c r="D130" s="96">
        <v>-6.0624621816434736E-2</v>
      </c>
      <c r="E130" s="96">
        <v>-3.4023972020212054E-2</v>
      </c>
      <c r="F130" s="96">
        <v>-9.6515494522215854E-3</v>
      </c>
      <c r="G130" s="96">
        <v>-8.9801758075843518E-3</v>
      </c>
      <c r="H130" s="96">
        <v>-3.2909734088797979E-2</v>
      </c>
      <c r="J130" s="174">
        <v>43740</v>
      </c>
      <c r="K130" s="96">
        <f t="shared" si="7"/>
        <v>-2.7934556878279268E-3</v>
      </c>
      <c r="L130" s="96">
        <f t="shared" si="8"/>
        <v>1.8107159115878139E-4</v>
      </c>
      <c r="M130" s="96">
        <f t="shared" si="9"/>
        <v>-5.9864232844323011E-2</v>
      </c>
      <c r="N130" s="96">
        <f t="shared" si="10"/>
        <v>-3.3720054720481597E-2</v>
      </c>
      <c r="O130" s="96">
        <f t="shared" si="11"/>
        <v>-7.2385033865359659E-3</v>
      </c>
      <c r="P130" s="96">
        <f t="shared" si="12"/>
        <v>-9.8296490469193289E-3</v>
      </c>
      <c r="Q130" s="96">
        <f t="shared" si="13"/>
        <v>-3.2135368328539832E-2</v>
      </c>
    </row>
    <row r="131" spans="1:17">
      <c r="A131" s="174">
        <v>43741</v>
      </c>
      <c r="B131" s="96">
        <v>-5.4247719016202013E-3</v>
      </c>
      <c r="C131" s="96">
        <v>-3.9292781398896611E-3</v>
      </c>
      <c r="D131" s="96">
        <v>-1.6550345943677613E-2</v>
      </c>
      <c r="E131" s="96">
        <v>-1.208001615086806E-2</v>
      </c>
      <c r="F131" s="96">
        <v>-1.520116133205044E-2</v>
      </c>
      <c r="G131" s="96">
        <v>-1.2970350442627404E-2</v>
      </c>
      <c r="H131" s="96">
        <v>-1.4981553615616833E-2</v>
      </c>
      <c r="J131" s="174">
        <v>43741</v>
      </c>
      <c r="K131" s="96">
        <f t="shared" si="7"/>
        <v>-4.4383213663884641E-3</v>
      </c>
      <c r="L131" s="96">
        <f t="shared" si="8"/>
        <v>-3.7482065487308798E-3</v>
      </c>
      <c r="M131" s="96">
        <f t="shared" si="9"/>
        <v>-1.5789956971565888E-2</v>
      </c>
      <c r="N131" s="96">
        <f t="shared" si="10"/>
        <v>-1.1776098851137604E-2</v>
      </c>
      <c r="O131" s="96">
        <f t="shared" si="11"/>
        <v>-1.2788115266364822E-2</v>
      </c>
      <c r="P131" s="96">
        <f t="shared" si="12"/>
        <v>-1.3819823681962381E-2</v>
      </c>
      <c r="Q131" s="96">
        <f t="shared" si="13"/>
        <v>-1.4207187855358686E-2</v>
      </c>
    </row>
    <row r="132" spans="1:17">
      <c r="A132" s="174">
        <v>43742</v>
      </c>
      <c r="B132" s="96">
        <v>5.9656340490468742E-3</v>
      </c>
      <c r="C132" s="96">
        <v>3.929278139889557E-3</v>
      </c>
      <c r="D132" s="96">
        <v>-6.4205459669522662E-4</v>
      </c>
      <c r="E132" s="96">
        <v>1.3350574661595808E-2</v>
      </c>
      <c r="F132" s="96">
        <v>-1.1001211061973682E-2</v>
      </c>
      <c r="G132" s="96">
        <v>-1.97765179764566E-2</v>
      </c>
      <c r="H132" s="96">
        <v>-2.677024106460478E-2</v>
      </c>
      <c r="J132" s="174">
        <v>43742</v>
      </c>
      <c r="K132" s="96">
        <f t="shared" ref="K132:K195" si="14">B132-$B$250</f>
        <v>6.9520845842786115E-3</v>
      </c>
      <c r="L132" s="96">
        <f t="shared" ref="L132:L195" si="15">C132-$C$250</f>
        <v>4.1103497310483383E-3</v>
      </c>
      <c r="M132" s="96">
        <f t="shared" ref="M132:M195" si="16">D132-$D$250</f>
        <v>1.1833437541649888E-4</v>
      </c>
      <c r="N132" s="96">
        <f t="shared" ref="N132:N195" si="17">E132-$E$250</f>
        <v>1.3654491961326265E-2</v>
      </c>
      <c r="O132" s="96">
        <f t="shared" ref="O132:O195" si="18">F132-$F$250</f>
        <v>-8.5881649962880613E-3</v>
      </c>
      <c r="P132" s="96">
        <f t="shared" ref="P132:P195" si="19">G132-$G$250</f>
        <v>-2.0625991215791579E-2</v>
      </c>
      <c r="Q132" s="96">
        <f t="shared" ref="Q132:Q195" si="20">H132-$H$250</f>
        <v>-2.5995875304346633E-2</v>
      </c>
    </row>
    <row r="133" spans="1:17">
      <c r="A133" s="174">
        <v>43745</v>
      </c>
      <c r="B133" s="96">
        <v>2.7203128169228038E-2</v>
      </c>
      <c r="C133" s="96">
        <v>0</v>
      </c>
      <c r="D133" s="96">
        <v>1.9714469973082734E-2</v>
      </c>
      <c r="E133" s="96">
        <v>-3.9581617976292231E-3</v>
      </c>
      <c r="F133" s="96">
        <v>-3.3241027838385598E-3</v>
      </c>
      <c r="G133" s="96">
        <v>-1.3324452337786009E-3</v>
      </c>
      <c r="H133" s="96">
        <v>2.2989518224698562E-2</v>
      </c>
      <c r="J133" s="174">
        <v>43745</v>
      </c>
      <c r="K133" s="96">
        <f t="shared" si="14"/>
        <v>2.8189578704459775E-2</v>
      </c>
      <c r="L133" s="96">
        <f t="shared" si="15"/>
        <v>1.8107159115878139E-4</v>
      </c>
      <c r="M133" s="96">
        <f t="shared" si="16"/>
        <v>2.0474858945194459E-2</v>
      </c>
      <c r="N133" s="96">
        <f t="shared" si="17"/>
        <v>-3.6542444978987674E-3</v>
      </c>
      <c r="O133" s="96">
        <f t="shared" si="18"/>
        <v>-9.1105671815294026E-4</v>
      </c>
      <c r="P133" s="96">
        <f t="shared" si="19"/>
        <v>-2.1819184731135784E-3</v>
      </c>
      <c r="Q133" s="96">
        <f t="shared" si="20"/>
        <v>2.3763883984956709E-2</v>
      </c>
    </row>
    <row r="134" spans="1:17">
      <c r="A134" s="174">
        <v>43746</v>
      </c>
      <c r="B134" s="96">
        <v>-1.0579870162790952E-2</v>
      </c>
      <c r="C134" s="96">
        <v>1.3245226750020723E-2</v>
      </c>
      <c r="D134" s="96">
        <v>2.1184592868277095E-2</v>
      </c>
      <c r="E134" s="96">
        <v>-1.0680058796225507E-2</v>
      </c>
      <c r="F134" s="96">
        <v>0</v>
      </c>
      <c r="G134" s="96">
        <v>7.9681696491768813E-3</v>
      </c>
      <c r="H134" s="96">
        <v>1.5037877364540502E-2</v>
      </c>
      <c r="J134" s="174">
        <v>43746</v>
      </c>
      <c r="K134" s="96">
        <f t="shared" si="14"/>
        <v>-9.5934196275592153E-3</v>
      </c>
      <c r="L134" s="96">
        <f t="shared" si="15"/>
        <v>1.3426298341179504E-2</v>
      </c>
      <c r="M134" s="96">
        <f t="shared" si="16"/>
        <v>2.194498184038882E-2</v>
      </c>
      <c r="N134" s="96">
        <f t="shared" si="17"/>
        <v>-1.037614149649505E-2</v>
      </c>
      <c r="O134" s="96">
        <f t="shared" si="18"/>
        <v>2.4130460656856196E-3</v>
      </c>
      <c r="P134" s="96">
        <f t="shared" si="19"/>
        <v>7.1186964098419042E-3</v>
      </c>
      <c r="Q134" s="96">
        <f t="shared" si="20"/>
        <v>1.5812243124798647E-2</v>
      </c>
    </row>
    <row r="135" spans="1:17">
      <c r="A135" s="174">
        <v>43747</v>
      </c>
      <c r="B135" s="96">
        <v>-6.4020705220224116E-3</v>
      </c>
      <c r="C135" s="96">
        <v>6.1728591070810161E-3</v>
      </c>
      <c r="D135" s="96">
        <v>2.4963244517569476E-2</v>
      </c>
      <c r="E135" s="96">
        <v>-5.4550809981813442E-3</v>
      </c>
      <c r="F135" s="96">
        <v>-1.1104942840271764E-3</v>
      </c>
      <c r="G135" s="96">
        <v>1.1834457647003017E-2</v>
      </c>
      <c r="H135" s="96">
        <v>1.4815085785140682E-2</v>
      </c>
      <c r="J135" s="174">
        <v>43747</v>
      </c>
      <c r="K135" s="96">
        <f t="shared" si="14"/>
        <v>-5.4156199867906743E-3</v>
      </c>
      <c r="L135" s="96">
        <f t="shared" si="15"/>
        <v>6.3539306982397974E-3</v>
      </c>
      <c r="M135" s="96">
        <f t="shared" si="16"/>
        <v>2.5723633489681201E-2</v>
      </c>
      <c r="N135" s="96">
        <f t="shared" si="17"/>
        <v>-5.1511636984508885E-3</v>
      </c>
      <c r="O135" s="96">
        <f t="shared" si="18"/>
        <v>1.3025517816584431E-3</v>
      </c>
      <c r="P135" s="96">
        <f t="shared" si="19"/>
        <v>1.098498440766804E-2</v>
      </c>
      <c r="Q135" s="96">
        <f t="shared" si="20"/>
        <v>1.5589451545398829E-2</v>
      </c>
    </row>
    <row r="136" spans="1:17">
      <c r="A136" s="174">
        <v>43748</v>
      </c>
      <c r="B136" s="96">
        <v>1.6043642138595985E-3</v>
      </c>
      <c r="C136" s="96">
        <v>0</v>
      </c>
      <c r="D136" s="96">
        <v>2.0238786041298737E-2</v>
      </c>
      <c r="E136" s="96">
        <v>8.1715027128614042E-3</v>
      </c>
      <c r="F136" s="96">
        <v>1.1049836186584935E-2</v>
      </c>
      <c r="G136" s="96">
        <v>-1.3080446600154524E-3</v>
      </c>
      <c r="H136" s="96">
        <v>0</v>
      </c>
      <c r="J136" s="174">
        <v>43748</v>
      </c>
      <c r="K136" s="96">
        <f t="shared" si="14"/>
        <v>2.5908147490913353E-3</v>
      </c>
      <c r="L136" s="96">
        <f t="shared" si="15"/>
        <v>1.8107159115878139E-4</v>
      </c>
      <c r="M136" s="96">
        <f t="shared" si="16"/>
        <v>2.0999175013410462E-2</v>
      </c>
      <c r="N136" s="96">
        <f t="shared" si="17"/>
        <v>8.4754200125918607E-3</v>
      </c>
      <c r="O136" s="96">
        <f t="shared" si="18"/>
        <v>1.3462882252270554E-2</v>
      </c>
      <c r="P136" s="96">
        <f t="shared" si="19"/>
        <v>-2.1575178993504295E-3</v>
      </c>
      <c r="Q136" s="96">
        <f t="shared" si="20"/>
        <v>7.7436576025814708E-4</v>
      </c>
    </row>
    <row r="137" spans="1:17">
      <c r="A137" s="174">
        <v>43749</v>
      </c>
      <c r="B137" s="96">
        <v>1.9578380800139451E-2</v>
      </c>
      <c r="C137" s="96">
        <v>0</v>
      </c>
      <c r="D137" s="96">
        <v>2.4448249120056914E-2</v>
      </c>
      <c r="E137" s="96">
        <v>-4.1490867161760965E-3</v>
      </c>
      <c r="F137" s="96">
        <v>-1.0995053334168876E-3</v>
      </c>
      <c r="G137" s="96">
        <v>1.1711259420901633E-2</v>
      </c>
      <c r="H137" s="96">
        <v>0</v>
      </c>
      <c r="J137" s="174">
        <v>43749</v>
      </c>
      <c r="K137" s="96">
        <f t="shared" si="14"/>
        <v>2.0564831335371188E-2</v>
      </c>
      <c r="L137" s="96">
        <f t="shared" si="15"/>
        <v>1.8107159115878139E-4</v>
      </c>
      <c r="M137" s="96">
        <f t="shared" si="16"/>
        <v>2.5208638092168639E-2</v>
      </c>
      <c r="N137" s="96">
        <f t="shared" si="17"/>
        <v>-3.8451694164456408E-3</v>
      </c>
      <c r="O137" s="96">
        <f t="shared" si="18"/>
        <v>1.313540732268732E-3</v>
      </c>
      <c r="P137" s="96">
        <f t="shared" si="19"/>
        <v>1.0861786181566656E-2</v>
      </c>
      <c r="Q137" s="96">
        <f t="shared" si="20"/>
        <v>7.7436576025814708E-4</v>
      </c>
    </row>
    <row r="138" spans="1:17">
      <c r="A138" s="174">
        <v>43752</v>
      </c>
      <c r="B138" s="96">
        <v>-5.2537685203980136E-3</v>
      </c>
      <c r="C138" s="96">
        <v>3.0721990369700588E-3</v>
      </c>
      <c r="D138" s="96">
        <v>-1.6816864857577447E-2</v>
      </c>
      <c r="E138" s="96">
        <v>-1.4877143025475045E-2</v>
      </c>
      <c r="F138" s="96">
        <v>6.5789710980425605E-3</v>
      </c>
      <c r="G138" s="96">
        <v>9.0148710962153593E-3</v>
      </c>
      <c r="H138" s="96">
        <v>-1.1090686694158284E-2</v>
      </c>
      <c r="J138" s="174">
        <v>43752</v>
      </c>
      <c r="K138" s="96">
        <f t="shared" si="14"/>
        <v>-4.2673179851662763E-3</v>
      </c>
      <c r="L138" s="96">
        <f t="shared" si="15"/>
        <v>3.2532706281288401E-3</v>
      </c>
      <c r="M138" s="96">
        <f t="shared" si="16"/>
        <v>-1.6056475885465722E-2</v>
      </c>
      <c r="N138" s="96">
        <f t="shared" si="17"/>
        <v>-1.4573225725744588E-2</v>
      </c>
      <c r="O138" s="96">
        <f t="shared" si="18"/>
        <v>8.99201716372818E-3</v>
      </c>
      <c r="P138" s="96">
        <f t="shared" si="19"/>
        <v>8.1653978568803822E-3</v>
      </c>
      <c r="Q138" s="96">
        <f t="shared" si="20"/>
        <v>-1.0316320933900136E-2</v>
      </c>
    </row>
    <row r="139" spans="1:17">
      <c r="A139" s="174">
        <v>43753</v>
      </c>
      <c r="B139" s="96">
        <v>4.2052206629784273E-3</v>
      </c>
      <c r="C139" s="96">
        <v>1.8237587549781012E-2</v>
      </c>
      <c r="D139" s="96">
        <v>1.4514042884254012E-2</v>
      </c>
      <c r="E139" s="96">
        <v>1.3088055383886452E-3</v>
      </c>
      <c r="F139" s="96">
        <v>-1.6529301951210582E-2</v>
      </c>
      <c r="G139" s="96">
        <v>-2.5673955052458097E-3</v>
      </c>
      <c r="H139" s="96">
        <v>3.7105793965357746E-3</v>
      </c>
      <c r="J139" s="174">
        <v>43753</v>
      </c>
      <c r="K139" s="96">
        <f t="shared" si="14"/>
        <v>5.1916711982101646E-3</v>
      </c>
      <c r="L139" s="96">
        <f t="shared" si="15"/>
        <v>1.8418659140939795E-2</v>
      </c>
      <c r="M139" s="96">
        <f t="shared" si="16"/>
        <v>1.5274431856365737E-2</v>
      </c>
      <c r="N139" s="96">
        <f t="shared" si="17"/>
        <v>1.6127228381191011E-3</v>
      </c>
      <c r="O139" s="96">
        <f t="shared" si="18"/>
        <v>-1.4116255885524964E-2</v>
      </c>
      <c r="P139" s="96">
        <f t="shared" si="19"/>
        <v>-3.4168687445807868E-3</v>
      </c>
      <c r="Q139" s="96">
        <f t="shared" si="20"/>
        <v>4.4849451567939213E-3</v>
      </c>
    </row>
    <row r="140" spans="1:17">
      <c r="A140" s="174">
        <v>43754</v>
      </c>
      <c r="B140" s="96">
        <v>2.0250964650807696E-2</v>
      </c>
      <c r="C140" s="96">
        <v>1.0486987495248071E-2</v>
      </c>
      <c r="D140" s="96">
        <v>7.4648638345211123E-3</v>
      </c>
      <c r="E140" s="96">
        <v>-1.308805538388607E-3</v>
      </c>
      <c r="F140" s="96">
        <v>1.3245226750020505E-2</v>
      </c>
      <c r="G140" s="96">
        <v>-7.7419741536155088E-3</v>
      </c>
      <c r="H140" s="96">
        <v>-1.1173300598125302E-2</v>
      </c>
      <c r="J140" s="174">
        <v>43754</v>
      </c>
      <c r="K140" s="96">
        <f t="shared" si="14"/>
        <v>2.1237415186039433E-2</v>
      </c>
      <c r="L140" s="96">
        <f t="shared" si="15"/>
        <v>1.0668059086406853E-2</v>
      </c>
      <c r="M140" s="96">
        <f t="shared" si="16"/>
        <v>8.2252528066328375E-3</v>
      </c>
      <c r="N140" s="96">
        <f t="shared" si="17"/>
        <v>-1.0048882386581512E-3</v>
      </c>
      <c r="O140" s="96">
        <f t="shared" si="18"/>
        <v>1.5658272815706125E-2</v>
      </c>
      <c r="P140" s="96">
        <f t="shared" si="19"/>
        <v>-8.5914473929504867E-3</v>
      </c>
      <c r="Q140" s="96">
        <f t="shared" si="20"/>
        <v>-1.0398934837867154E-2</v>
      </c>
    </row>
    <row r="141" spans="1:17">
      <c r="A141" s="174">
        <v>43755</v>
      </c>
      <c r="B141" s="96">
        <v>1.6719728870400352E-2</v>
      </c>
      <c r="C141" s="96">
        <v>5.9435539008481373E-3</v>
      </c>
      <c r="D141" s="96">
        <v>-1.1507606851479802E-2</v>
      </c>
      <c r="E141" s="96">
        <v>-1.9395259757738533E-2</v>
      </c>
      <c r="F141" s="96">
        <v>-1.3245226750020567E-2</v>
      </c>
      <c r="G141" s="96">
        <v>1.2944985626457955E-3</v>
      </c>
      <c r="H141" s="96">
        <v>0</v>
      </c>
      <c r="J141" s="174">
        <v>43755</v>
      </c>
      <c r="K141" s="96">
        <f t="shared" si="14"/>
        <v>1.7706179405632089E-2</v>
      </c>
      <c r="L141" s="96">
        <f t="shared" si="15"/>
        <v>6.1246254920069186E-3</v>
      </c>
      <c r="M141" s="96">
        <f t="shared" si="16"/>
        <v>-1.0747217879368077E-2</v>
      </c>
      <c r="N141" s="96">
        <f t="shared" si="17"/>
        <v>-1.9091342458008077E-2</v>
      </c>
      <c r="O141" s="96">
        <f t="shared" si="18"/>
        <v>-1.0832180684334947E-2</v>
      </c>
      <c r="P141" s="96">
        <f t="shared" si="19"/>
        <v>4.4502532331081816E-4</v>
      </c>
      <c r="Q141" s="96">
        <f t="shared" si="20"/>
        <v>7.7436576025814708E-4</v>
      </c>
    </row>
    <row r="142" spans="1:17">
      <c r="A142" s="174">
        <v>43756</v>
      </c>
      <c r="B142" s="96">
        <v>-2.0240873219527773E-3</v>
      </c>
      <c r="C142" s="96">
        <v>2.21975673831281E-3</v>
      </c>
      <c r="D142" s="96">
        <v>1.1507606851479725E-2</v>
      </c>
      <c r="E142" s="96">
        <v>4.1456973797063448E-3</v>
      </c>
      <c r="F142" s="96">
        <v>1.3245226750020505E-2</v>
      </c>
      <c r="G142" s="96">
        <v>1.5404669194986455E-2</v>
      </c>
      <c r="H142" s="96">
        <v>1.1173300598125255E-2</v>
      </c>
      <c r="J142" s="174">
        <v>43756</v>
      </c>
      <c r="K142" s="96">
        <f t="shared" si="14"/>
        <v>-1.0376367867210403E-3</v>
      </c>
      <c r="L142" s="96">
        <f t="shared" si="15"/>
        <v>2.4008283294715913E-3</v>
      </c>
      <c r="M142" s="96">
        <f t="shared" si="16"/>
        <v>1.2267995823591451E-2</v>
      </c>
      <c r="N142" s="96">
        <f t="shared" si="17"/>
        <v>4.4496146794368004E-3</v>
      </c>
      <c r="O142" s="96">
        <f t="shared" si="18"/>
        <v>1.5658272815706125E-2</v>
      </c>
      <c r="P142" s="96">
        <f t="shared" si="19"/>
        <v>1.4555195955651478E-2</v>
      </c>
      <c r="Q142" s="96">
        <f t="shared" si="20"/>
        <v>1.1947666358383402E-2</v>
      </c>
    </row>
    <row r="143" spans="1:17">
      <c r="A143" s="174">
        <v>43759</v>
      </c>
      <c r="B143" s="96">
        <v>2.0240873219526958E-3</v>
      </c>
      <c r="C143" s="96">
        <v>8.8300794482722156E-3</v>
      </c>
      <c r="D143" s="96">
        <v>-3.4383988030325975E-3</v>
      </c>
      <c r="E143" s="96">
        <v>0</v>
      </c>
      <c r="F143" s="96">
        <v>1.5234244571847987E-2</v>
      </c>
      <c r="G143" s="96">
        <v>-1.9293202934678781E-2</v>
      </c>
      <c r="H143" s="96">
        <v>0</v>
      </c>
      <c r="J143" s="174">
        <v>43759</v>
      </c>
      <c r="K143" s="96">
        <f t="shared" si="14"/>
        <v>3.0105378571844326E-3</v>
      </c>
      <c r="L143" s="96">
        <f t="shared" si="15"/>
        <v>9.0111510394309969E-3</v>
      </c>
      <c r="M143" s="96">
        <f t="shared" si="16"/>
        <v>-2.6780098309208719E-3</v>
      </c>
      <c r="N143" s="96">
        <f t="shared" si="17"/>
        <v>3.039172997304558E-4</v>
      </c>
      <c r="O143" s="96">
        <f t="shared" si="18"/>
        <v>1.7647290637533605E-2</v>
      </c>
      <c r="P143" s="96">
        <f t="shared" si="19"/>
        <v>-2.014267617401376E-2</v>
      </c>
      <c r="Q143" s="96">
        <f t="shared" si="20"/>
        <v>7.7436576025814708E-4</v>
      </c>
    </row>
    <row r="144" spans="1:17">
      <c r="A144" s="174">
        <v>43760</v>
      </c>
      <c r="B144" s="96">
        <v>-1.6205827836427558E-2</v>
      </c>
      <c r="C144" s="96">
        <v>-1.1049836186585046E-2</v>
      </c>
      <c r="D144" s="96">
        <v>-1.1487652038735931E-3</v>
      </c>
      <c r="E144" s="96">
        <v>-5.4819012753460593E-3</v>
      </c>
      <c r="F144" s="96">
        <v>4.3103515011222631E-3</v>
      </c>
      <c r="G144" s="96">
        <v>3.5718082602079246E-2</v>
      </c>
      <c r="H144" s="96">
        <v>-3.710579396535713E-3</v>
      </c>
      <c r="J144" s="174">
        <v>43760</v>
      </c>
      <c r="K144" s="96">
        <f t="shared" si="14"/>
        <v>-1.5219377301195821E-2</v>
      </c>
      <c r="L144" s="96">
        <f t="shared" si="15"/>
        <v>-1.0868764595426265E-2</v>
      </c>
      <c r="M144" s="96">
        <f t="shared" si="16"/>
        <v>-3.8837623176186757E-4</v>
      </c>
      <c r="N144" s="96">
        <f t="shared" si="17"/>
        <v>-5.1779839756156036E-3</v>
      </c>
      <c r="O144" s="96">
        <f t="shared" si="18"/>
        <v>6.7233975668078826E-3</v>
      </c>
      <c r="P144" s="96">
        <f t="shared" si="19"/>
        <v>3.4868609362744267E-2</v>
      </c>
      <c r="Q144" s="96">
        <f t="shared" si="20"/>
        <v>-2.9362136362775658E-3</v>
      </c>
    </row>
    <row r="145" spans="1:17">
      <c r="A145" s="174">
        <v>43761</v>
      </c>
      <c r="B145" s="96">
        <v>-8.7724387328595461E-3</v>
      </c>
      <c r="C145" s="96">
        <v>6.6445427186685108E-3</v>
      </c>
      <c r="D145" s="96">
        <v>0</v>
      </c>
      <c r="E145" s="96">
        <v>0</v>
      </c>
      <c r="F145" s="96">
        <v>1.069528911674795E-2</v>
      </c>
      <c r="G145" s="96">
        <v>0</v>
      </c>
      <c r="H145" s="96">
        <v>3.7105793965357746E-3</v>
      </c>
      <c r="J145" s="174">
        <v>43761</v>
      </c>
      <c r="K145" s="96">
        <f t="shared" si="14"/>
        <v>-7.7859881976278088E-3</v>
      </c>
      <c r="L145" s="96">
        <f t="shared" si="15"/>
        <v>6.8256143098272921E-3</v>
      </c>
      <c r="M145" s="96">
        <f t="shared" si="16"/>
        <v>7.6038897211172551E-4</v>
      </c>
      <c r="N145" s="96">
        <f t="shared" si="17"/>
        <v>3.039172997304558E-4</v>
      </c>
      <c r="O145" s="96">
        <f t="shared" si="18"/>
        <v>1.310833518243357E-2</v>
      </c>
      <c r="P145" s="96">
        <f t="shared" si="19"/>
        <v>-8.494732393349773E-4</v>
      </c>
      <c r="Q145" s="96">
        <f t="shared" si="20"/>
        <v>4.4849451567939213E-3</v>
      </c>
    </row>
    <row r="146" spans="1:17">
      <c r="A146" s="174">
        <v>43762</v>
      </c>
      <c r="B146" s="96">
        <v>1.0825405990553963E-2</v>
      </c>
      <c r="C146" s="96">
        <v>0</v>
      </c>
      <c r="D146" s="96">
        <v>5.7306747089850745E-3</v>
      </c>
      <c r="E146" s="96">
        <v>4.1512290896411255E-3</v>
      </c>
      <c r="F146" s="96">
        <v>0</v>
      </c>
      <c r="G146" s="96">
        <v>-6.2853758149608646E-3</v>
      </c>
      <c r="H146" s="96">
        <v>0</v>
      </c>
      <c r="J146" s="174">
        <v>43762</v>
      </c>
      <c r="K146" s="96">
        <f t="shared" si="14"/>
        <v>1.18118565257857E-2</v>
      </c>
      <c r="L146" s="96">
        <f t="shared" si="15"/>
        <v>1.8107159115878139E-4</v>
      </c>
      <c r="M146" s="96">
        <f t="shared" si="16"/>
        <v>6.4910636810967997E-3</v>
      </c>
      <c r="N146" s="96">
        <f t="shared" si="17"/>
        <v>4.4551463893715811E-3</v>
      </c>
      <c r="O146" s="96">
        <f t="shared" si="18"/>
        <v>2.4130460656856196E-3</v>
      </c>
      <c r="P146" s="96">
        <f t="shared" si="19"/>
        <v>-7.1348490542958417E-3</v>
      </c>
      <c r="Q146" s="96">
        <f t="shared" si="20"/>
        <v>7.7436576025814708E-4</v>
      </c>
    </row>
    <row r="147" spans="1:17">
      <c r="A147" s="174">
        <v>43763</v>
      </c>
      <c r="B147" s="96">
        <v>-1.0259567946194082E-3</v>
      </c>
      <c r="C147" s="96">
        <v>-8.1271226788913725E-3</v>
      </c>
      <c r="D147" s="96">
        <v>-2.8612322810322348E-3</v>
      </c>
      <c r="E147" s="96">
        <v>2.8071230666424666E-3</v>
      </c>
      <c r="F147" s="96">
        <v>-1.0695289116747919E-2</v>
      </c>
      <c r="G147" s="96">
        <v>3.7759642095351359E-3</v>
      </c>
      <c r="H147" s="96">
        <v>1.1049836186584935E-2</v>
      </c>
      <c r="J147" s="174">
        <v>43763</v>
      </c>
      <c r="K147" s="96">
        <f t="shared" si="14"/>
        <v>-3.9506259387671197E-5</v>
      </c>
      <c r="L147" s="96">
        <f t="shared" si="15"/>
        <v>-7.9460510877325911E-3</v>
      </c>
      <c r="M147" s="96">
        <f t="shared" si="16"/>
        <v>-2.1008433089205092E-3</v>
      </c>
      <c r="N147" s="96">
        <f t="shared" si="17"/>
        <v>3.1110403663729223E-3</v>
      </c>
      <c r="O147" s="96">
        <f t="shared" si="18"/>
        <v>-8.2822430510622984E-3</v>
      </c>
      <c r="P147" s="96">
        <f t="shared" si="19"/>
        <v>2.9264909702001584E-3</v>
      </c>
      <c r="Q147" s="96">
        <f t="shared" si="20"/>
        <v>1.1824201946843083E-2</v>
      </c>
    </row>
    <row r="148" spans="1:17">
      <c r="A148" s="174">
        <v>43767</v>
      </c>
      <c r="B148" s="96">
        <v>0</v>
      </c>
      <c r="C148" s="96">
        <v>8.8626872578453243E-3</v>
      </c>
      <c r="D148" s="96">
        <v>2.8612322810321949E-3</v>
      </c>
      <c r="E148" s="96">
        <v>-9.7851040199545304E-3</v>
      </c>
      <c r="F148" s="96">
        <v>9.6308930609613659E-3</v>
      </c>
      <c r="G148" s="96">
        <v>-1.5190165493975233E-2</v>
      </c>
      <c r="H148" s="96">
        <v>-1.1049836186585046E-2</v>
      </c>
      <c r="J148" s="174">
        <v>43767</v>
      </c>
      <c r="K148" s="96">
        <f t="shared" si="14"/>
        <v>9.8645053523173701E-4</v>
      </c>
      <c r="L148" s="96">
        <f t="shared" si="15"/>
        <v>9.0437588490041056E-3</v>
      </c>
      <c r="M148" s="96">
        <f t="shared" si="16"/>
        <v>3.6216212531439205E-3</v>
      </c>
      <c r="N148" s="96">
        <f t="shared" si="17"/>
        <v>-9.4811867202240739E-3</v>
      </c>
      <c r="O148" s="96">
        <f t="shared" si="18"/>
        <v>1.2043939126646985E-2</v>
      </c>
      <c r="P148" s="96">
        <f t="shared" si="19"/>
        <v>-1.603963873331021E-2</v>
      </c>
      <c r="Q148" s="96">
        <f t="shared" si="20"/>
        <v>-1.0275470426326899E-2</v>
      </c>
    </row>
    <row r="149" spans="1:17">
      <c r="A149" s="174">
        <v>43768</v>
      </c>
      <c r="B149" s="96">
        <v>5.1192903856192625E-3</v>
      </c>
      <c r="C149" s="96">
        <v>0</v>
      </c>
      <c r="D149" s="96">
        <v>0</v>
      </c>
      <c r="E149" s="96">
        <v>5.4973765963644526E-3</v>
      </c>
      <c r="F149" s="96">
        <v>3.1897953681000808E-3</v>
      </c>
      <c r="G149" s="96">
        <v>1.6445658439807196E-2</v>
      </c>
      <c r="H149" s="96">
        <v>0</v>
      </c>
      <c r="J149" s="174">
        <v>43768</v>
      </c>
      <c r="K149" s="96">
        <f t="shared" si="14"/>
        <v>6.1057409208509997E-3</v>
      </c>
      <c r="L149" s="96">
        <f t="shared" si="15"/>
        <v>1.8107159115878139E-4</v>
      </c>
      <c r="M149" s="96">
        <f t="shared" si="16"/>
        <v>7.6038897211172551E-4</v>
      </c>
      <c r="N149" s="96">
        <f t="shared" si="17"/>
        <v>5.8012938960949082E-3</v>
      </c>
      <c r="O149" s="96">
        <f t="shared" si="18"/>
        <v>5.6028414337857008E-3</v>
      </c>
      <c r="P149" s="96">
        <f t="shared" si="19"/>
        <v>1.5596185200472219E-2</v>
      </c>
      <c r="Q149" s="96">
        <f t="shared" si="20"/>
        <v>7.7436576025814708E-4</v>
      </c>
    </row>
    <row r="150" spans="1:17">
      <c r="A150" s="174">
        <v>43769</v>
      </c>
      <c r="B150" s="96">
        <v>-5.11929038561922E-3</v>
      </c>
      <c r="C150" s="96">
        <v>0</v>
      </c>
      <c r="D150" s="96">
        <v>0</v>
      </c>
      <c r="E150" s="96">
        <v>-4.1573927734405861E-3</v>
      </c>
      <c r="F150" s="96">
        <v>8.4567100182234584E-3</v>
      </c>
      <c r="G150" s="96">
        <v>-2.512564135883048E-3</v>
      </c>
      <c r="H150" s="96">
        <v>-7.4349784875180902E-3</v>
      </c>
      <c r="J150" s="174">
        <v>43769</v>
      </c>
      <c r="K150" s="96">
        <f t="shared" si="14"/>
        <v>-4.1328398503874828E-3</v>
      </c>
      <c r="L150" s="96">
        <f t="shared" si="15"/>
        <v>1.8107159115878139E-4</v>
      </c>
      <c r="M150" s="96">
        <f t="shared" si="16"/>
        <v>7.6038897211172551E-4</v>
      </c>
      <c r="N150" s="96">
        <f t="shared" si="17"/>
        <v>-3.8534754737101305E-3</v>
      </c>
      <c r="O150" s="96">
        <f t="shared" si="18"/>
        <v>1.0869756083909079E-2</v>
      </c>
      <c r="P150" s="96">
        <f t="shared" si="19"/>
        <v>-3.3620373752180251E-3</v>
      </c>
      <c r="Q150" s="96">
        <f t="shared" si="20"/>
        <v>-6.660612727259943E-3</v>
      </c>
    </row>
    <row r="151" spans="1:17">
      <c r="A151" s="174">
        <v>43770</v>
      </c>
      <c r="B151" s="96">
        <v>1.8207287283414288E-2</v>
      </c>
      <c r="C151" s="96">
        <v>-1.4716706114562507E-3</v>
      </c>
      <c r="D151" s="96">
        <v>0</v>
      </c>
      <c r="E151" s="96">
        <v>0</v>
      </c>
      <c r="F151" s="96">
        <v>-1.0582109330536859E-2</v>
      </c>
      <c r="G151" s="96">
        <v>-7.5757938084577677E-3</v>
      </c>
      <c r="H151" s="96">
        <v>1.4815085785140682E-2</v>
      </c>
      <c r="J151" s="174">
        <v>43770</v>
      </c>
      <c r="K151" s="96">
        <f t="shared" si="14"/>
        <v>1.9193737818646025E-2</v>
      </c>
      <c r="L151" s="96">
        <f t="shared" si="15"/>
        <v>-1.2905990202974693E-3</v>
      </c>
      <c r="M151" s="96">
        <f t="shared" si="16"/>
        <v>7.6038897211172551E-4</v>
      </c>
      <c r="N151" s="96">
        <f t="shared" si="17"/>
        <v>3.039172997304558E-4</v>
      </c>
      <c r="O151" s="96">
        <f t="shared" si="18"/>
        <v>-8.1690632648512389E-3</v>
      </c>
      <c r="P151" s="96">
        <f t="shared" si="19"/>
        <v>-8.4252670477927456E-3</v>
      </c>
      <c r="Q151" s="96">
        <f t="shared" si="20"/>
        <v>1.5589451545398829E-2</v>
      </c>
    </row>
    <row r="152" spans="1:17">
      <c r="A152" s="174">
        <v>43773</v>
      </c>
      <c r="B152" s="96">
        <v>-3.3724304942552151E-2</v>
      </c>
      <c r="C152" s="96">
        <v>8.797710703529131E-3</v>
      </c>
      <c r="D152" s="96">
        <v>1.6997576368571077E-2</v>
      </c>
      <c r="E152" s="96">
        <v>9.772064733792522E-3</v>
      </c>
      <c r="F152" s="96">
        <v>-1.0643960557867014E-3</v>
      </c>
      <c r="G152" s="96">
        <v>0</v>
      </c>
      <c r="H152" s="96">
        <v>-3.6832454162962934E-3</v>
      </c>
      <c r="J152" s="174">
        <v>43773</v>
      </c>
      <c r="K152" s="96">
        <f t="shared" si="14"/>
        <v>-3.2737854407320417E-2</v>
      </c>
      <c r="L152" s="96">
        <f t="shared" si="15"/>
        <v>8.9787822946879123E-3</v>
      </c>
      <c r="M152" s="96">
        <f t="shared" si="16"/>
        <v>1.7757965340682802E-2</v>
      </c>
      <c r="N152" s="96">
        <f t="shared" si="17"/>
        <v>1.0075982033522978E-2</v>
      </c>
      <c r="O152" s="96">
        <f t="shared" si="18"/>
        <v>1.3486500098989181E-3</v>
      </c>
      <c r="P152" s="96">
        <f t="shared" si="19"/>
        <v>-8.494732393349773E-4</v>
      </c>
      <c r="Q152" s="96">
        <f t="shared" si="20"/>
        <v>-2.9088796560381462E-3</v>
      </c>
    </row>
    <row r="153" spans="1:17">
      <c r="A153" s="174">
        <v>43774</v>
      </c>
      <c r="B153" s="96">
        <v>-5.2263106312979207E-3</v>
      </c>
      <c r="C153" s="96">
        <v>-4.3891804187630957E-3</v>
      </c>
      <c r="D153" s="96">
        <v>1.1173300598125255E-2</v>
      </c>
      <c r="E153" s="96">
        <v>-1.3269445367617273E-3</v>
      </c>
      <c r="F153" s="96">
        <v>-2.5891413932741591E-2</v>
      </c>
      <c r="G153" s="96">
        <v>-1.6613800662655446E-2</v>
      </c>
      <c r="H153" s="96">
        <v>-1.1131840368844294E-2</v>
      </c>
      <c r="J153" s="174">
        <v>43774</v>
      </c>
      <c r="K153" s="96">
        <f t="shared" si="14"/>
        <v>-4.2398600960661835E-3</v>
      </c>
      <c r="L153" s="96">
        <f t="shared" si="15"/>
        <v>-4.2081088276043144E-3</v>
      </c>
      <c r="M153" s="96">
        <f t="shared" si="16"/>
        <v>1.193368957023698E-2</v>
      </c>
      <c r="N153" s="96">
        <f t="shared" si="17"/>
        <v>-1.0230272370312715E-3</v>
      </c>
      <c r="O153" s="96">
        <f t="shared" si="18"/>
        <v>-2.3478367867055972E-2</v>
      </c>
      <c r="P153" s="96">
        <f t="shared" si="19"/>
        <v>-1.7463273901990425E-2</v>
      </c>
      <c r="Q153" s="96">
        <f t="shared" si="20"/>
        <v>-1.0357474608586147E-2</v>
      </c>
    </row>
    <row r="154" spans="1:17">
      <c r="A154" s="174">
        <v>43775</v>
      </c>
      <c r="B154" s="96">
        <v>0</v>
      </c>
      <c r="C154" s="96">
        <v>-6.6201050896061283E-3</v>
      </c>
      <c r="D154" s="96">
        <v>-2.133713738813121E-2</v>
      </c>
      <c r="E154" s="96">
        <v>-1.2619869066354447E-2</v>
      </c>
      <c r="F154" s="96">
        <v>-1.7641030803901083E-2</v>
      </c>
      <c r="G154" s="96">
        <v>-3.8734715957966636E-3</v>
      </c>
      <c r="H154" s="96">
        <v>0</v>
      </c>
      <c r="J154" s="174">
        <v>43775</v>
      </c>
      <c r="K154" s="96">
        <f t="shared" si="14"/>
        <v>9.8645053523173701E-4</v>
      </c>
      <c r="L154" s="96">
        <f t="shared" si="15"/>
        <v>-6.439033498447347E-3</v>
      </c>
      <c r="M154" s="96">
        <f t="shared" si="16"/>
        <v>-2.0576748416019485E-2</v>
      </c>
      <c r="N154" s="96">
        <f t="shared" si="17"/>
        <v>-1.231595176662399E-2</v>
      </c>
      <c r="O154" s="96">
        <f t="shared" si="18"/>
        <v>-1.5227984738215464E-2</v>
      </c>
      <c r="P154" s="96">
        <f t="shared" si="19"/>
        <v>-4.7229448351316407E-3</v>
      </c>
      <c r="Q154" s="96">
        <f t="shared" si="20"/>
        <v>7.7436576025814708E-4</v>
      </c>
    </row>
    <row r="155" spans="1:17">
      <c r="A155" s="174">
        <v>43776</v>
      </c>
      <c r="B155" s="96">
        <v>1.4048828804890235E-2</v>
      </c>
      <c r="C155" s="96">
        <v>-5.9215569034373212E-3</v>
      </c>
      <c r="D155" s="96">
        <v>2.853340425872606E-2</v>
      </c>
      <c r="E155" s="96">
        <v>2.8347650463998431E-3</v>
      </c>
      <c r="F155" s="96">
        <v>2.2222231367175172E-3</v>
      </c>
      <c r="G155" s="96">
        <v>-6.4893154397498813E-3</v>
      </c>
      <c r="H155" s="96">
        <v>7.4349784875179905E-3</v>
      </c>
      <c r="J155" s="174">
        <v>43776</v>
      </c>
      <c r="K155" s="96">
        <f t="shared" si="14"/>
        <v>1.5035279340121973E-2</v>
      </c>
      <c r="L155" s="96">
        <f t="shared" si="15"/>
        <v>-5.7404853122785399E-3</v>
      </c>
      <c r="M155" s="96">
        <f t="shared" si="16"/>
        <v>2.9293793230837785E-2</v>
      </c>
      <c r="N155" s="96">
        <f t="shared" si="17"/>
        <v>3.1386823461302987E-3</v>
      </c>
      <c r="O155" s="96">
        <f t="shared" si="18"/>
        <v>4.6352692024031368E-3</v>
      </c>
      <c r="P155" s="96">
        <f t="shared" si="19"/>
        <v>-7.3387886790848584E-3</v>
      </c>
      <c r="Q155" s="96">
        <f t="shared" si="20"/>
        <v>8.2093442477761368E-3</v>
      </c>
    </row>
    <row r="156" spans="1:17">
      <c r="A156" s="174">
        <v>43777</v>
      </c>
      <c r="B156" s="96">
        <v>1.5488670554738794E-3</v>
      </c>
      <c r="C156" s="96">
        <v>-5.2102834654069877E-3</v>
      </c>
      <c r="D156" s="96">
        <v>7.1448504000628972E-3</v>
      </c>
      <c r="E156" s="96">
        <v>1.3399838229238852E-3</v>
      </c>
      <c r="F156" s="96">
        <v>2.6288479904087364E-2</v>
      </c>
      <c r="G156" s="96">
        <v>0</v>
      </c>
      <c r="H156" s="96">
        <v>0</v>
      </c>
      <c r="J156" s="174">
        <v>43777</v>
      </c>
      <c r="K156" s="96">
        <f t="shared" si="14"/>
        <v>2.5353175907056164E-3</v>
      </c>
      <c r="L156" s="96">
        <f t="shared" si="15"/>
        <v>-5.0292118742482064E-3</v>
      </c>
      <c r="M156" s="96">
        <f t="shared" si="16"/>
        <v>7.9052393721746224E-3</v>
      </c>
      <c r="N156" s="96">
        <f t="shared" si="17"/>
        <v>1.643901122654341E-3</v>
      </c>
      <c r="O156" s="96">
        <f t="shared" si="18"/>
        <v>2.8701525969772983E-2</v>
      </c>
      <c r="P156" s="96">
        <f t="shared" si="19"/>
        <v>-8.494732393349773E-4</v>
      </c>
      <c r="Q156" s="96">
        <f t="shared" si="20"/>
        <v>7.7436576025814708E-4</v>
      </c>
    </row>
    <row r="157" spans="1:17">
      <c r="A157" s="174">
        <v>43780</v>
      </c>
      <c r="B157" s="96">
        <v>-3.1001368220642807E-3</v>
      </c>
      <c r="C157" s="96">
        <v>2.9806281381377199E-3</v>
      </c>
      <c r="D157" s="96">
        <v>-1.0459770562685385E-2</v>
      </c>
      <c r="E157" s="96">
        <v>-5.5203422546814783E-3</v>
      </c>
      <c r="F157" s="96">
        <v>-1.0816658707410232E-3</v>
      </c>
      <c r="G157" s="96">
        <v>-2.6386755173194887E-2</v>
      </c>
      <c r="H157" s="96">
        <v>0</v>
      </c>
      <c r="J157" s="174">
        <v>43780</v>
      </c>
      <c r="K157" s="96">
        <f t="shared" si="14"/>
        <v>-2.1136862868325439E-3</v>
      </c>
      <c r="L157" s="96">
        <f t="shared" si="15"/>
        <v>3.1616997292965012E-3</v>
      </c>
      <c r="M157" s="96">
        <f t="shared" si="16"/>
        <v>-9.6993815905736594E-3</v>
      </c>
      <c r="N157" s="96">
        <f t="shared" si="17"/>
        <v>-5.2164249549510227E-3</v>
      </c>
      <c r="O157" s="96">
        <f t="shared" si="18"/>
        <v>1.3313801949445963E-3</v>
      </c>
      <c r="P157" s="96">
        <f t="shared" si="19"/>
        <v>-2.7236228412529866E-2</v>
      </c>
      <c r="Q157" s="96">
        <f t="shared" si="20"/>
        <v>7.7436576025814708E-4</v>
      </c>
    </row>
    <row r="158" spans="1:17">
      <c r="A158" s="174">
        <v>43781</v>
      </c>
      <c r="B158" s="96">
        <v>3.1001368220643128E-3</v>
      </c>
      <c r="C158" s="96">
        <v>7.437709528446807E-4</v>
      </c>
      <c r="D158" s="96">
        <v>1.6465794622897292E-2</v>
      </c>
      <c r="E158" s="96">
        <v>7.0071102954288068E-3</v>
      </c>
      <c r="F158" s="96">
        <v>-4.3384015985982417E-3</v>
      </c>
      <c r="G158" s="96">
        <v>1.0638398205055577E-2</v>
      </c>
      <c r="H158" s="96">
        <v>-1.4925650216675593E-2</v>
      </c>
      <c r="J158" s="174">
        <v>43781</v>
      </c>
      <c r="K158" s="96">
        <f t="shared" si="14"/>
        <v>4.0865873572960495E-3</v>
      </c>
      <c r="L158" s="96">
        <f t="shared" si="15"/>
        <v>9.2484254400346212E-4</v>
      </c>
      <c r="M158" s="96">
        <f t="shared" si="16"/>
        <v>1.7226183595009017E-2</v>
      </c>
      <c r="N158" s="96">
        <f t="shared" si="17"/>
        <v>7.3110275951592625E-3</v>
      </c>
      <c r="O158" s="96">
        <f t="shared" si="18"/>
        <v>-1.9253555329126221E-3</v>
      </c>
      <c r="P158" s="96">
        <f t="shared" si="19"/>
        <v>9.7889249657205999E-3</v>
      </c>
      <c r="Q158" s="96">
        <f t="shared" si="20"/>
        <v>-1.4151284456417446E-2</v>
      </c>
    </row>
    <row r="159" spans="1:17">
      <c r="A159" s="174">
        <v>43782</v>
      </c>
      <c r="B159" s="96">
        <v>-1.4026932670236658E-2</v>
      </c>
      <c r="C159" s="96">
        <v>-7.437709528446524E-4</v>
      </c>
      <c r="D159" s="96">
        <v>-2.1798373754208364E-3</v>
      </c>
      <c r="E159" s="96">
        <v>5.43564928161821E-2</v>
      </c>
      <c r="F159" s="96">
        <v>-3.2661977866210697E-3</v>
      </c>
      <c r="G159" s="96">
        <v>-1.323626930508253E-3</v>
      </c>
      <c r="H159" s="96">
        <v>0</v>
      </c>
      <c r="J159" s="174">
        <v>43782</v>
      </c>
      <c r="K159" s="96">
        <f t="shared" si="14"/>
        <v>-1.3040482135004921E-2</v>
      </c>
      <c r="L159" s="96">
        <f t="shared" si="15"/>
        <v>-5.6269936168587098E-4</v>
      </c>
      <c r="M159" s="96">
        <f t="shared" si="16"/>
        <v>-1.4194484033091107E-3</v>
      </c>
      <c r="N159" s="96">
        <f t="shared" si="17"/>
        <v>5.4660410115912557E-2</v>
      </c>
      <c r="O159" s="96">
        <f t="shared" si="18"/>
        <v>-8.5315172093545014E-4</v>
      </c>
      <c r="P159" s="96">
        <f t="shared" si="19"/>
        <v>-2.1731001698432305E-3</v>
      </c>
      <c r="Q159" s="96">
        <f t="shared" si="20"/>
        <v>7.7436576025814708E-4</v>
      </c>
    </row>
    <row r="160" spans="1:17">
      <c r="A160" s="174">
        <v>43783</v>
      </c>
      <c r="B160" s="96">
        <v>6.7782729932192422E-3</v>
      </c>
      <c r="C160" s="96">
        <v>7.437709528446807E-4</v>
      </c>
      <c r="D160" s="96">
        <v>1.0905126489659065E-3</v>
      </c>
      <c r="E160" s="96">
        <v>1.1889083324560998E-2</v>
      </c>
      <c r="F160" s="96">
        <v>-2.1834069809435063E-3</v>
      </c>
      <c r="G160" s="96">
        <v>3.9656363933468853E-3</v>
      </c>
      <c r="H160" s="96">
        <v>1.4925650216675574E-2</v>
      </c>
      <c r="J160" s="174">
        <v>43783</v>
      </c>
      <c r="K160" s="96">
        <f t="shared" si="14"/>
        <v>7.7647235284509794E-3</v>
      </c>
      <c r="L160" s="96">
        <f t="shared" si="15"/>
        <v>9.2484254400346212E-4</v>
      </c>
      <c r="M160" s="96">
        <f t="shared" si="16"/>
        <v>1.8509016210776319E-3</v>
      </c>
      <c r="N160" s="96">
        <f t="shared" si="17"/>
        <v>1.2193000624291454E-2</v>
      </c>
      <c r="O160" s="96">
        <f t="shared" si="18"/>
        <v>2.296390847421133E-4</v>
      </c>
      <c r="P160" s="96">
        <f t="shared" si="19"/>
        <v>3.1161631540119082E-3</v>
      </c>
      <c r="Q160" s="96">
        <f t="shared" si="20"/>
        <v>1.5700015976933719E-2</v>
      </c>
    </row>
    <row r="161" spans="1:17">
      <c r="A161" s="174">
        <v>43784</v>
      </c>
      <c r="B161" s="96">
        <v>4.6658802052063509E-3</v>
      </c>
      <c r="C161" s="96">
        <v>-5.9657149339962775E-3</v>
      </c>
      <c r="D161" s="96">
        <v>1.1917800864035103E-2</v>
      </c>
      <c r="E161" s="96">
        <v>6.5137781416851909E-3</v>
      </c>
      <c r="F161" s="96">
        <v>-2.1881846805527827E-3</v>
      </c>
      <c r="G161" s="96">
        <v>-1.194440212515218E-2</v>
      </c>
      <c r="H161" s="96">
        <v>-7.4349784875180902E-3</v>
      </c>
      <c r="J161" s="174">
        <v>43784</v>
      </c>
      <c r="K161" s="96">
        <f t="shared" si="14"/>
        <v>5.6523307404380881E-3</v>
      </c>
      <c r="L161" s="96">
        <f t="shared" si="15"/>
        <v>-5.7846433428374961E-3</v>
      </c>
      <c r="M161" s="96">
        <f t="shared" si="16"/>
        <v>1.2678189836146828E-2</v>
      </c>
      <c r="N161" s="96">
        <f t="shared" si="17"/>
        <v>6.8176954414156466E-3</v>
      </c>
      <c r="O161" s="96">
        <f t="shared" si="18"/>
        <v>2.2486138513283689E-4</v>
      </c>
      <c r="P161" s="96">
        <f t="shared" si="19"/>
        <v>-1.2793875364487157E-2</v>
      </c>
      <c r="Q161" s="96">
        <f t="shared" si="20"/>
        <v>-6.660612727259943E-3</v>
      </c>
    </row>
    <row r="162" spans="1:17">
      <c r="A162" s="174">
        <v>43787</v>
      </c>
      <c r="B162" s="96">
        <v>1.1314665041065783E-2</v>
      </c>
      <c r="C162" s="96">
        <v>0</v>
      </c>
      <c r="D162" s="96">
        <v>1.6142053545412009E-3</v>
      </c>
      <c r="E162" s="96">
        <v>-6.5137781416852308E-3</v>
      </c>
      <c r="F162" s="96">
        <v>7.63778944811732E-3</v>
      </c>
      <c r="G162" s="96">
        <v>-5.3547651376599156E-3</v>
      </c>
      <c r="H162" s="96">
        <v>0</v>
      </c>
      <c r="J162" s="174">
        <v>43787</v>
      </c>
      <c r="K162" s="96">
        <f t="shared" si="14"/>
        <v>1.230111557629752E-2</v>
      </c>
      <c r="L162" s="96">
        <f t="shared" si="15"/>
        <v>1.8107159115878139E-4</v>
      </c>
      <c r="M162" s="96">
        <f t="shared" si="16"/>
        <v>2.3745943266529263E-3</v>
      </c>
      <c r="N162" s="96">
        <f t="shared" si="17"/>
        <v>-6.2098608419547752E-3</v>
      </c>
      <c r="O162" s="96">
        <f t="shared" si="18"/>
        <v>1.0050835513802939E-2</v>
      </c>
      <c r="P162" s="96">
        <f t="shared" si="19"/>
        <v>-6.2042383769948927E-3</v>
      </c>
      <c r="Q162" s="96">
        <f t="shared" si="20"/>
        <v>7.7436576025814708E-4</v>
      </c>
    </row>
    <row r="163" spans="1:17">
      <c r="A163" s="174">
        <v>43788</v>
      </c>
      <c r="B163" s="96">
        <v>3.0637278866491586E-3</v>
      </c>
      <c r="C163" s="96">
        <v>9.6762943305319891E-3</v>
      </c>
      <c r="D163" s="96">
        <v>-1.0758473334632364E-3</v>
      </c>
      <c r="E163" s="96">
        <v>1.8187329642944991E-2</v>
      </c>
      <c r="F163" s="96">
        <v>8.6580627431145311E-3</v>
      </c>
      <c r="G163" s="96">
        <v>-6.7340321813440683E-3</v>
      </c>
      <c r="H163" s="96">
        <v>0</v>
      </c>
      <c r="J163" s="174">
        <v>43788</v>
      </c>
      <c r="K163" s="96">
        <f t="shared" si="14"/>
        <v>4.0501784218808954E-3</v>
      </c>
      <c r="L163" s="96">
        <f t="shared" si="15"/>
        <v>9.8573659216907705E-3</v>
      </c>
      <c r="M163" s="96">
        <f t="shared" si="16"/>
        <v>-3.154583613515109E-4</v>
      </c>
      <c r="N163" s="96">
        <f t="shared" si="17"/>
        <v>1.8491246942675447E-2</v>
      </c>
      <c r="O163" s="96">
        <f t="shared" si="18"/>
        <v>1.1071108808800151E-2</v>
      </c>
      <c r="P163" s="96">
        <f t="shared" si="19"/>
        <v>-7.5835054206790454E-3</v>
      </c>
      <c r="Q163" s="96">
        <f t="shared" si="20"/>
        <v>7.7436576025814708E-4</v>
      </c>
    </row>
    <row r="164" spans="1:17">
      <c r="A164" s="174">
        <v>43789</v>
      </c>
      <c r="B164" s="96">
        <v>8.5288363475205017E-3</v>
      </c>
      <c r="C164" s="96">
        <v>3.0636969461889801E-2</v>
      </c>
      <c r="D164" s="96">
        <v>-4.3150013014132361E-3</v>
      </c>
      <c r="E164" s="96">
        <v>1.5310914908898896E-2</v>
      </c>
      <c r="F164" s="96">
        <v>1.0770060276379661E-3</v>
      </c>
      <c r="G164" s="96">
        <v>-2.7063615977430252E-3</v>
      </c>
      <c r="H164" s="96">
        <v>-2.6466573188163287E-2</v>
      </c>
      <c r="J164" s="174">
        <v>43789</v>
      </c>
      <c r="K164" s="96">
        <f t="shared" si="14"/>
        <v>9.5152868827522389E-3</v>
      </c>
      <c r="L164" s="96">
        <f t="shared" si="15"/>
        <v>3.0818041053048584E-2</v>
      </c>
      <c r="M164" s="96">
        <f t="shared" si="16"/>
        <v>-3.5546123293015105E-3</v>
      </c>
      <c r="N164" s="96">
        <f t="shared" si="17"/>
        <v>1.5614832208629352E-2</v>
      </c>
      <c r="O164" s="96">
        <f t="shared" si="18"/>
        <v>3.4900520933235854E-3</v>
      </c>
      <c r="P164" s="96">
        <f t="shared" si="19"/>
        <v>-3.5558348370780023E-3</v>
      </c>
      <c r="Q164" s="96">
        <f t="shared" si="20"/>
        <v>-2.569220742790514E-2</v>
      </c>
    </row>
    <row r="165" spans="1:17">
      <c r="A165" s="174">
        <v>43790</v>
      </c>
      <c r="B165" s="96">
        <v>-4.9663103139171881E-3</v>
      </c>
      <c r="C165" s="96">
        <v>-8.6580627431145415E-3</v>
      </c>
      <c r="D165" s="96">
        <v>-3.0180617149991287E-2</v>
      </c>
      <c r="E165" s="96">
        <v>8.7021099385322809E-3</v>
      </c>
      <c r="F165" s="96">
        <v>-1.0822616458151416E-2</v>
      </c>
      <c r="G165" s="96">
        <v>-5.4347959859569446E-3</v>
      </c>
      <c r="H165" s="96">
        <v>0</v>
      </c>
      <c r="J165" s="174">
        <v>43790</v>
      </c>
      <c r="K165" s="96">
        <f t="shared" si="14"/>
        <v>-3.9798597786854508E-3</v>
      </c>
      <c r="L165" s="96">
        <f t="shared" si="15"/>
        <v>-8.4769911519557602E-3</v>
      </c>
      <c r="M165" s="96">
        <f t="shared" si="16"/>
        <v>-2.9420228177879561E-2</v>
      </c>
      <c r="N165" s="96">
        <f t="shared" si="17"/>
        <v>9.0060272382627374E-3</v>
      </c>
      <c r="O165" s="96">
        <f t="shared" si="18"/>
        <v>-8.4095703924657976E-3</v>
      </c>
      <c r="P165" s="96">
        <f t="shared" si="19"/>
        <v>-6.2842692252919217E-3</v>
      </c>
      <c r="Q165" s="96">
        <f t="shared" si="20"/>
        <v>7.7436576025814708E-4</v>
      </c>
    </row>
    <row r="166" spans="1:17">
      <c r="A166" s="174">
        <v>43791</v>
      </c>
      <c r="B166" s="96">
        <v>1.5025745307095039E-2</v>
      </c>
      <c r="C166" s="96">
        <v>5.7803629154995493E-3</v>
      </c>
      <c r="D166" s="96">
        <v>-1.4025475354504434E-2</v>
      </c>
      <c r="E166" s="96">
        <v>-3.0450962294746135E-2</v>
      </c>
      <c r="F166" s="96">
        <v>1.7260406932999992E-2</v>
      </c>
      <c r="G166" s="96">
        <v>1.7556156518301818E-2</v>
      </c>
      <c r="H166" s="96">
        <v>1.8975901459005604E-2</v>
      </c>
      <c r="J166" s="174">
        <v>43791</v>
      </c>
      <c r="K166" s="96">
        <f t="shared" si="14"/>
        <v>1.6012195842326774E-2</v>
      </c>
      <c r="L166" s="96">
        <f t="shared" si="15"/>
        <v>5.9614345066583306E-3</v>
      </c>
      <c r="M166" s="96">
        <f t="shared" si="16"/>
        <v>-1.3265086382392708E-2</v>
      </c>
      <c r="N166" s="96">
        <f t="shared" si="17"/>
        <v>-3.0147044995015679E-2</v>
      </c>
      <c r="O166" s="96">
        <f t="shared" si="18"/>
        <v>1.9673452998685611E-2</v>
      </c>
      <c r="P166" s="96">
        <f t="shared" si="19"/>
        <v>1.6706683278966839E-2</v>
      </c>
      <c r="Q166" s="96">
        <f t="shared" si="20"/>
        <v>1.9750267219263751E-2</v>
      </c>
    </row>
    <row r="167" spans="1:17">
      <c r="A167" s="174">
        <v>43794</v>
      </c>
      <c r="B167" s="96">
        <v>7.9753189151259632E-3</v>
      </c>
      <c r="C167" s="96">
        <v>5.030553188716114E-3</v>
      </c>
      <c r="D167" s="96">
        <v>5.9227834200333535E-2</v>
      </c>
      <c r="E167" s="96">
        <v>-1.4394712220652023E-2</v>
      </c>
      <c r="F167" s="96">
        <v>-6.4377904748485299E-3</v>
      </c>
      <c r="G167" s="96">
        <v>1.0652564116207309E-2</v>
      </c>
      <c r="H167" s="96">
        <v>-1.5151805020602333E-2</v>
      </c>
      <c r="J167" s="174">
        <v>43794</v>
      </c>
      <c r="K167" s="96">
        <f t="shared" si="14"/>
        <v>8.9617694503577004E-3</v>
      </c>
      <c r="L167" s="96">
        <f t="shared" si="15"/>
        <v>5.2116247798748953E-3</v>
      </c>
      <c r="M167" s="96">
        <f t="shared" si="16"/>
        <v>5.998822317244526E-2</v>
      </c>
      <c r="N167" s="96">
        <f t="shared" si="17"/>
        <v>-1.4090794920921567E-2</v>
      </c>
      <c r="O167" s="96">
        <f t="shared" si="18"/>
        <v>-4.0247444091629104E-3</v>
      </c>
      <c r="P167" s="96">
        <f t="shared" si="19"/>
        <v>9.8030908768723321E-3</v>
      </c>
      <c r="Q167" s="96">
        <f t="shared" si="20"/>
        <v>-1.4377439260344186E-2</v>
      </c>
    </row>
    <row r="168" spans="1:17">
      <c r="A168" s="174">
        <v>43795</v>
      </c>
      <c r="B168" s="96">
        <v>8.8968558377367172E-3</v>
      </c>
      <c r="C168" s="96">
        <v>-1.7354014693151506E-2</v>
      </c>
      <c r="D168" s="96">
        <v>-2.1529356852575988E-2</v>
      </c>
      <c r="E168" s="96">
        <v>-1.587892563914672E-2</v>
      </c>
      <c r="F168" s="96">
        <v>-1.3001266557373629E-2</v>
      </c>
      <c r="G168" s="96">
        <v>-1.3253812410685707E-3</v>
      </c>
      <c r="H168" s="96">
        <v>1.1385322225125429E-2</v>
      </c>
      <c r="J168" s="174">
        <v>43795</v>
      </c>
      <c r="K168" s="96">
        <f t="shared" si="14"/>
        <v>9.8833063729684544E-3</v>
      </c>
      <c r="L168" s="96">
        <f t="shared" si="15"/>
        <v>-1.7172943101992723E-2</v>
      </c>
      <c r="M168" s="96">
        <f t="shared" si="16"/>
        <v>-2.0768967880464263E-2</v>
      </c>
      <c r="N168" s="96">
        <f t="shared" si="17"/>
        <v>-1.5575008339416264E-2</v>
      </c>
      <c r="O168" s="96">
        <f t="shared" si="18"/>
        <v>-1.0588220491688009E-2</v>
      </c>
      <c r="P168" s="96">
        <f t="shared" si="19"/>
        <v>-2.174854480403548E-3</v>
      </c>
      <c r="Q168" s="96">
        <f t="shared" si="20"/>
        <v>1.2159687985383576E-2</v>
      </c>
    </row>
    <row r="169" spans="1:17">
      <c r="A169" s="174">
        <v>43796</v>
      </c>
      <c r="B169" s="96">
        <v>2.2383184366765365E-2</v>
      </c>
      <c r="C169" s="96">
        <v>4.3668191663403895E-3</v>
      </c>
      <c r="D169" s="96">
        <v>1.672550453993053E-2</v>
      </c>
      <c r="E169" s="96">
        <v>2.6556417361432674E-2</v>
      </c>
      <c r="F169" s="96">
        <v>1.3001266557373502E-2</v>
      </c>
      <c r="G169" s="96">
        <v>-2.6560440581162963E-3</v>
      </c>
      <c r="H169" s="96">
        <v>7.518832414027319E-3</v>
      </c>
      <c r="J169" s="174">
        <v>43796</v>
      </c>
      <c r="K169" s="96">
        <f t="shared" si="14"/>
        <v>2.3369634901997102E-2</v>
      </c>
      <c r="L169" s="96">
        <f t="shared" si="15"/>
        <v>4.5478907574991708E-3</v>
      </c>
      <c r="M169" s="96">
        <f t="shared" si="16"/>
        <v>1.7485893512042255E-2</v>
      </c>
      <c r="N169" s="96">
        <f t="shared" si="17"/>
        <v>2.6860334661163131E-2</v>
      </c>
      <c r="O169" s="96">
        <f t="shared" si="18"/>
        <v>1.5414312623059121E-2</v>
      </c>
      <c r="P169" s="96">
        <f t="shared" si="19"/>
        <v>-3.5055172974512733E-3</v>
      </c>
      <c r="Q169" s="96">
        <f t="shared" si="20"/>
        <v>8.2931981742854662E-3</v>
      </c>
    </row>
    <row r="170" spans="1:17">
      <c r="A170" s="174">
        <v>43797</v>
      </c>
      <c r="B170" s="96">
        <v>5.2490729423112371E-2</v>
      </c>
      <c r="C170" s="96">
        <v>-2.9090929606837243E-3</v>
      </c>
      <c r="D170" s="96">
        <v>-9.1373922494382611E-3</v>
      </c>
      <c r="E170" s="96">
        <v>-9.7020858064505913E-3</v>
      </c>
      <c r="F170" s="96">
        <v>0</v>
      </c>
      <c r="G170" s="96">
        <v>-2.6631174194836618E-3</v>
      </c>
      <c r="H170" s="96">
        <v>-1.1299555253933394E-2</v>
      </c>
      <c r="J170" s="174">
        <v>43797</v>
      </c>
      <c r="K170" s="96">
        <f t="shared" si="14"/>
        <v>5.3477179958344105E-2</v>
      </c>
      <c r="L170" s="96">
        <f t="shared" si="15"/>
        <v>-2.7280213695249429E-3</v>
      </c>
      <c r="M170" s="96">
        <f t="shared" si="16"/>
        <v>-8.3770032773265359E-3</v>
      </c>
      <c r="N170" s="96">
        <f t="shared" si="17"/>
        <v>-9.3981685067201347E-3</v>
      </c>
      <c r="O170" s="96">
        <f t="shared" si="18"/>
        <v>2.4130460656856196E-3</v>
      </c>
      <c r="P170" s="96">
        <f t="shared" si="19"/>
        <v>-3.5125906588186389E-3</v>
      </c>
      <c r="Q170" s="96">
        <f t="shared" si="20"/>
        <v>-1.0525189493675247E-2</v>
      </c>
    </row>
    <row r="171" spans="1:17">
      <c r="A171" s="174">
        <v>43798</v>
      </c>
      <c r="B171" s="96">
        <v>1.8008721612505729E-2</v>
      </c>
      <c r="C171" s="96">
        <v>-6.5765673645636017E-3</v>
      </c>
      <c r="D171" s="96">
        <v>-1.7429635135283648E-2</v>
      </c>
      <c r="E171" s="96">
        <v>2.7816429618767705E-3</v>
      </c>
      <c r="F171" s="96">
        <v>-7.5635152572445076E-3</v>
      </c>
      <c r="G171" s="96">
        <v>-6.6889881507965401E-3</v>
      </c>
      <c r="H171" s="96">
        <v>-1.1428695823622631E-2</v>
      </c>
      <c r="J171" s="174">
        <v>43798</v>
      </c>
      <c r="K171" s="96">
        <f t="shared" si="14"/>
        <v>1.8995172147737466E-2</v>
      </c>
      <c r="L171" s="96">
        <f t="shared" si="15"/>
        <v>-6.3954957734048204E-3</v>
      </c>
      <c r="M171" s="96">
        <f t="shared" si="16"/>
        <v>-1.6669246163171923E-2</v>
      </c>
      <c r="N171" s="96">
        <f t="shared" si="17"/>
        <v>3.0855602616072261E-3</v>
      </c>
      <c r="O171" s="96">
        <f t="shared" si="18"/>
        <v>-5.1504691915588881E-3</v>
      </c>
      <c r="P171" s="96">
        <f t="shared" si="19"/>
        <v>-7.5384613901315171E-3</v>
      </c>
      <c r="Q171" s="96">
        <f t="shared" si="20"/>
        <v>-1.0654330063364484E-2</v>
      </c>
    </row>
    <row r="172" spans="1:17">
      <c r="A172" s="174">
        <v>43801</v>
      </c>
      <c r="B172" s="96">
        <v>-8.1045018119389588E-3</v>
      </c>
      <c r="C172" s="96">
        <v>-5.8823699030665245E-3</v>
      </c>
      <c r="D172" s="96">
        <v>0</v>
      </c>
      <c r="E172" s="96">
        <v>-1.3986241974739952E-2</v>
      </c>
      <c r="F172" s="96">
        <v>-8.7146521024437755E-3</v>
      </c>
      <c r="G172" s="96">
        <v>-1.3431835464676259E-3</v>
      </c>
      <c r="H172" s="96">
        <v>0</v>
      </c>
      <c r="J172" s="174">
        <v>43801</v>
      </c>
      <c r="K172" s="96">
        <f t="shared" si="14"/>
        <v>-7.1180512767072216E-3</v>
      </c>
      <c r="L172" s="96">
        <f t="shared" si="15"/>
        <v>-5.7012983119077432E-3</v>
      </c>
      <c r="M172" s="96">
        <f t="shared" si="16"/>
        <v>7.6038897211172551E-4</v>
      </c>
      <c r="N172" s="96">
        <f t="shared" si="17"/>
        <v>-1.3682324675009495E-2</v>
      </c>
      <c r="O172" s="96">
        <f t="shared" si="18"/>
        <v>-6.3016060367581559E-3</v>
      </c>
      <c r="P172" s="96">
        <f t="shared" si="19"/>
        <v>-2.192656785802603E-3</v>
      </c>
      <c r="Q172" s="96">
        <f t="shared" si="20"/>
        <v>7.7436576025814708E-4</v>
      </c>
    </row>
    <row r="173" spans="1:17">
      <c r="A173" s="174">
        <v>43802</v>
      </c>
      <c r="B173" s="96">
        <v>-1.5398236000639404E-2</v>
      </c>
      <c r="C173" s="96">
        <v>-3.694130540142046E-3</v>
      </c>
      <c r="D173" s="96">
        <v>-2.7856954502966224E-2</v>
      </c>
      <c r="E173" s="96">
        <v>-8.4866138773186939E-3</v>
      </c>
      <c r="F173" s="96">
        <v>4.3668191663403895E-3</v>
      </c>
      <c r="G173" s="96">
        <v>0</v>
      </c>
      <c r="H173" s="96">
        <v>7.6336248550712051E-3</v>
      </c>
      <c r="J173" s="174">
        <v>43802</v>
      </c>
      <c r="K173" s="96">
        <f t="shared" si="14"/>
        <v>-1.4411785465407667E-2</v>
      </c>
      <c r="L173" s="96">
        <f t="shared" si="15"/>
        <v>-3.5130589489832647E-3</v>
      </c>
      <c r="M173" s="96">
        <f t="shared" si="16"/>
        <v>-2.7096565530854499E-2</v>
      </c>
      <c r="N173" s="96">
        <f t="shared" si="17"/>
        <v>-8.1826965775882374E-3</v>
      </c>
      <c r="O173" s="96">
        <f t="shared" si="18"/>
        <v>6.779865232026009E-3</v>
      </c>
      <c r="P173" s="96">
        <f t="shared" si="19"/>
        <v>-8.494732393349773E-4</v>
      </c>
      <c r="Q173" s="96">
        <f t="shared" si="20"/>
        <v>8.4079906153293523E-3</v>
      </c>
    </row>
    <row r="174" spans="1:17">
      <c r="A174" s="174">
        <v>43803</v>
      </c>
      <c r="B174" s="96">
        <v>9.1399959932140038E-3</v>
      </c>
      <c r="C174" s="96">
        <v>2.9563953536025232E-3</v>
      </c>
      <c r="D174" s="96">
        <v>4.3124426633754619E-2</v>
      </c>
      <c r="E174" s="96">
        <v>1.5504186535965254E-2</v>
      </c>
      <c r="F174" s="96">
        <v>-2.1810259463601145E-3</v>
      </c>
      <c r="G174" s="96">
        <v>-6.7431138848901969E-3</v>
      </c>
      <c r="H174" s="96">
        <v>-1.1472401162236807E-2</v>
      </c>
      <c r="J174" s="174">
        <v>43803</v>
      </c>
      <c r="K174" s="96">
        <f t="shared" si="14"/>
        <v>1.0126446528445741E-2</v>
      </c>
      <c r="L174" s="96">
        <f t="shared" si="15"/>
        <v>3.1374669447613046E-3</v>
      </c>
      <c r="M174" s="96">
        <f t="shared" si="16"/>
        <v>4.3884815605866344E-2</v>
      </c>
      <c r="N174" s="96">
        <f t="shared" si="17"/>
        <v>1.5808103835695711E-2</v>
      </c>
      <c r="O174" s="96">
        <f t="shared" si="18"/>
        <v>2.3202011932550509E-4</v>
      </c>
      <c r="P174" s="96">
        <f t="shared" si="19"/>
        <v>-7.592587124225174E-3</v>
      </c>
      <c r="Q174" s="96">
        <f t="shared" si="20"/>
        <v>-1.069803540197866E-2</v>
      </c>
    </row>
    <row r="175" spans="1:17">
      <c r="A175" s="174">
        <v>43804</v>
      </c>
      <c r="B175" s="96">
        <v>1.8180170446908258E-3</v>
      </c>
      <c r="C175" s="96">
        <v>-5.9215569034373212E-3</v>
      </c>
      <c r="D175" s="96">
        <v>-4.3384015985982417E-3</v>
      </c>
      <c r="E175" s="96">
        <v>1.1126679464757053E-2</v>
      </c>
      <c r="F175" s="96">
        <v>-1.0922993986089273E-3</v>
      </c>
      <c r="G175" s="96">
        <v>-8.1522190615502706E-3</v>
      </c>
      <c r="H175" s="96">
        <v>-7.7220460939102778E-3</v>
      </c>
      <c r="J175" s="174">
        <v>43804</v>
      </c>
      <c r="K175" s="96">
        <f t="shared" si="14"/>
        <v>2.8044675799225628E-3</v>
      </c>
      <c r="L175" s="96">
        <f t="shared" si="15"/>
        <v>-5.7404853122785399E-3</v>
      </c>
      <c r="M175" s="96">
        <f t="shared" si="16"/>
        <v>-3.5780126264865161E-3</v>
      </c>
      <c r="N175" s="96">
        <f t="shared" si="17"/>
        <v>1.1430596764487509E-2</v>
      </c>
      <c r="O175" s="96">
        <f t="shared" si="18"/>
        <v>1.3207466670766923E-3</v>
      </c>
      <c r="P175" s="96">
        <f t="shared" si="19"/>
        <v>-9.0016923008852476E-3</v>
      </c>
      <c r="Q175" s="96">
        <f t="shared" si="20"/>
        <v>-6.9476803336521306E-3</v>
      </c>
    </row>
    <row r="176" spans="1:17">
      <c r="A176" s="174">
        <v>43805</v>
      </c>
      <c r="B176" s="96">
        <v>-1.8180170446906725E-3</v>
      </c>
      <c r="C176" s="96">
        <v>-1.4205846373984945E-2</v>
      </c>
      <c r="D176" s="96">
        <v>-2.2534616652498153E-2</v>
      </c>
      <c r="E176" s="96">
        <v>2.7624326959100796E-3</v>
      </c>
      <c r="F176" s="96">
        <v>1.0869672236903891E-2</v>
      </c>
      <c r="G176" s="96">
        <v>-9.5956870618554378E-3</v>
      </c>
      <c r="H176" s="96">
        <v>-3.883500026397633E-3</v>
      </c>
      <c r="J176" s="174">
        <v>43805</v>
      </c>
      <c r="K176" s="96">
        <f t="shared" si="14"/>
        <v>-8.3156650945893549E-4</v>
      </c>
      <c r="L176" s="96">
        <f t="shared" si="15"/>
        <v>-1.4024774782826164E-2</v>
      </c>
      <c r="M176" s="96">
        <f t="shared" si="16"/>
        <v>-2.1774227680386428E-2</v>
      </c>
      <c r="N176" s="96">
        <f t="shared" si="17"/>
        <v>3.0663499956405352E-3</v>
      </c>
      <c r="O176" s="96">
        <f t="shared" si="18"/>
        <v>1.3282718302589511E-2</v>
      </c>
      <c r="P176" s="96">
        <f t="shared" si="19"/>
        <v>-1.0445160301190415E-2</v>
      </c>
      <c r="Q176" s="96">
        <f t="shared" si="20"/>
        <v>-3.1091342661394858E-3</v>
      </c>
    </row>
    <row r="177" spans="1:17">
      <c r="A177" s="174">
        <v>43808</v>
      </c>
      <c r="B177" s="96">
        <v>-6.3892148711720102E-3</v>
      </c>
      <c r="C177" s="96">
        <v>2.2564883587326097E-3</v>
      </c>
      <c r="D177" s="96">
        <v>-9.4946259197783382E-3</v>
      </c>
      <c r="E177" s="96">
        <v>9.6088591066368894E-3</v>
      </c>
      <c r="F177" s="96">
        <v>-1.9651287397288615E-2</v>
      </c>
      <c r="G177" s="96">
        <v>8.2304991365154435E-3</v>
      </c>
      <c r="H177" s="96">
        <v>-1.1741817876683287E-2</v>
      </c>
      <c r="J177" s="174">
        <v>43808</v>
      </c>
      <c r="K177" s="96">
        <f t="shared" si="14"/>
        <v>-5.402764335940273E-3</v>
      </c>
      <c r="L177" s="96">
        <f t="shared" si="15"/>
        <v>2.437559949891391E-3</v>
      </c>
      <c r="M177" s="96">
        <f t="shared" si="16"/>
        <v>-8.734236947666613E-3</v>
      </c>
      <c r="N177" s="96">
        <f t="shared" si="17"/>
        <v>9.9127764063673459E-3</v>
      </c>
      <c r="O177" s="96">
        <f t="shared" si="18"/>
        <v>-1.7238241331602996E-2</v>
      </c>
      <c r="P177" s="96">
        <f t="shared" si="19"/>
        <v>7.3810258971804665E-3</v>
      </c>
      <c r="Q177" s="96">
        <f t="shared" si="20"/>
        <v>-1.0967452116425139E-2</v>
      </c>
    </row>
    <row r="178" spans="1:17">
      <c r="A178" s="174">
        <v>43809</v>
      </c>
      <c r="B178" s="96">
        <v>1.0837499633357835E-2</v>
      </c>
      <c r="C178" s="96">
        <v>-1.3615944092315421E-2</v>
      </c>
      <c r="D178" s="96">
        <v>-9.585638663357602E-3</v>
      </c>
      <c r="E178" s="96">
        <v>9.5174069868901711E-3</v>
      </c>
      <c r="F178" s="96">
        <v>-6.6371925067987298E-3</v>
      </c>
      <c r="G178" s="96">
        <v>-1.7919156240264834E-2</v>
      </c>
      <c r="H178" s="96">
        <v>3.1010236742560218E-2</v>
      </c>
      <c r="J178" s="174">
        <v>43809</v>
      </c>
      <c r="K178" s="96">
        <f t="shared" si="14"/>
        <v>1.1823950168589573E-2</v>
      </c>
      <c r="L178" s="96">
        <f t="shared" si="15"/>
        <v>-1.3434872501156639E-2</v>
      </c>
      <c r="M178" s="96">
        <f t="shared" si="16"/>
        <v>-8.8252496912458768E-3</v>
      </c>
      <c r="N178" s="96">
        <f t="shared" si="17"/>
        <v>9.8213242866206276E-3</v>
      </c>
      <c r="O178" s="96">
        <f t="shared" si="18"/>
        <v>-4.2241464411131103E-3</v>
      </c>
      <c r="P178" s="96">
        <f t="shared" si="19"/>
        <v>-1.8768629479599813E-2</v>
      </c>
      <c r="Q178" s="96">
        <f t="shared" si="20"/>
        <v>3.1784602502818365E-2</v>
      </c>
    </row>
    <row r="179" spans="1:17">
      <c r="A179" s="174">
        <v>43810</v>
      </c>
      <c r="B179" s="96">
        <v>3.8209890292330288E-2</v>
      </c>
      <c r="C179" s="96">
        <v>1.5867352172772804E-2</v>
      </c>
      <c r="D179" s="96">
        <v>4.1071255236924065E-2</v>
      </c>
      <c r="E179" s="96">
        <v>1.3522652500137541E-3</v>
      </c>
      <c r="F179" s="96">
        <v>3.1679328538963852E-2</v>
      </c>
      <c r="G179" s="96">
        <v>1.5183176421390028E-2</v>
      </c>
      <c r="H179" s="96">
        <v>-1.5384918839479343E-2</v>
      </c>
      <c r="J179" s="174">
        <v>43810</v>
      </c>
      <c r="K179" s="96">
        <f t="shared" si="14"/>
        <v>3.9196340827562022E-2</v>
      </c>
      <c r="L179" s="96">
        <f t="shared" si="15"/>
        <v>1.6048423763931587E-2</v>
      </c>
      <c r="M179" s="96">
        <f t="shared" si="16"/>
        <v>4.183164420903579E-2</v>
      </c>
      <c r="N179" s="96">
        <f t="shared" si="17"/>
        <v>1.65618254974421E-3</v>
      </c>
      <c r="O179" s="96">
        <f t="shared" si="18"/>
        <v>3.4092374604649471E-2</v>
      </c>
      <c r="P179" s="96">
        <f t="shared" si="19"/>
        <v>1.4333703182055051E-2</v>
      </c>
      <c r="Q179" s="96">
        <f t="shared" si="20"/>
        <v>-1.4610553079221196E-2</v>
      </c>
    </row>
    <row r="180" spans="1:17">
      <c r="A180" s="174">
        <v>43811</v>
      </c>
      <c r="B180" s="96">
        <v>2.1561853007587155E-2</v>
      </c>
      <c r="C180" s="96">
        <v>-9.7929219532436017E-3</v>
      </c>
      <c r="D180" s="96">
        <v>1.9386713800190084E-2</v>
      </c>
      <c r="E180" s="96">
        <v>-2.7398974188114503E-2</v>
      </c>
      <c r="F180" s="96">
        <v>0</v>
      </c>
      <c r="G180" s="96">
        <v>-8.2531417567204141E-3</v>
      </c>
      <c r="H180" s="96">
        <v>-7.7821404420549628E-3</v>
      </c>
      <c r="J180" s="174">
        <v>43811</v>
      </c>
      <c r="K180" s="96">
        <f t="shared" si="14"/>
        <v>2.2548303542818893E-2</v>
      </c>
      <c r="L180" s="96">
        <f t="shared" si="15"/>
        <v>-9.6118503620848204E-3</v>
      </c>
      <c r="M180" s="96">
        <f t="shared" si="16"/>
        <v>2.0147102772301809E-2</v>
      </c>
      <c r="N180" s="96">
        <f t="shared" si="17"/>
        <v>-2.7095056888384046E-2</v>
      </c>
      <c r="O180" s="96">
        <f t="shared" si="18"/>
        <v>2.4130460656856196E-3</v>
      </c>
      <c r="P180" s="96">
        <f t="shared" si="19"/>
        <v>-9.1026149960553911E-3</v>
      </c>
      <c r="Q180" s="96">
        <f t="shared" si="20"/>
        <v>-7.0077746817968157E-3</v>
      </c>
    </row>
    <row r="181" spans="1:17">
      <c r="A181" s="174">
        <v>43812</v>
      </c>
      <c r="B181" s="96">
        <v>1.9434494228652913E-2</v>
      </c>
      <c r="C181" s="96">
        <v>-1.6024761072697225E-2</v>
      </c>
      <c r="D181" s="96">
        <v>1.3245226750020723E-2</v>
      </c>
      <c r="E181" s="96">
        <v>-2.781642961876914E-3</v>
      </c>
      <c r="F181" s="96">
        <v>0</v>
      </c>
      <c r="G181" s="96">
        <v>6.8823396229417376E-3</v>
      </c>
      <c r="H181" s="96">
        <v>-3.9138993211363287E-3</v>
      </c>
      <c r="J181" s="174">
        <v>43812</v>
      </c>
      <c r="K181" s="96">
        <f t="shared" si="14"/>
        <v>2.042094476388465E-2</v>
      </c>
      <c r="L181" s="96">
        <f t="shared" si="15"/>
        <v>-1.5843689481538442E-2</v>
      </c>
      <c r="M181" s="96">
        <f t="shared" si="16"/>
        <v>1.4005615722132448E-2</v>
      </c>
      <c r="N181" s="96">
        <f t="shared" si="17"/>
        <v>-2.4777256621464584E-3</v>
      </c>
      <c r="O181" s="96">
        <f t="shared" si="18"/>
        <v>2.4130460656856196E-3</v>
      </c>
      <c r="P181" s="96">
        <f t="shared" si="19"/>
        <v>6.0328663836067605E-3</v>
      </c>
      <c r="Q181" s="96">
        <f t="shared" si="20"/>
        <v>-3.1395335608781815E-3</v>
      </c>
    </row>
    <row r="182" spans="1:17">
      <c r="A182" s="174">
        <v>43815</v>
      </c>
      <c r="B182" s="96">
        <v>-3.4912017297566163E-2</v>
      </c>
      <c r="C182" s="96">
        <v>-6.1728591070809675E-3</v>
      </c>
      <c r="D182" s="96">
        <v>-1.5915455305899568E-2</v>
      </c>
      <c r="E182" s="96">
        <v>-1.1204599012863132E-2</v>
      </c>
      <c r="F182" s="96">
        <v>-2.173998663640599E-2</v>
      </c>
      <c r="G182" s="96">
        <v>-5.5020771539834217E-3</v>
      </c>
      <c r="H182" s="96">
        <v>0</v>
      </c>
      <c r="J182" s="174">
        <v>43815</v>
      </c>
      <c r="K182" s="96">
        <f t="shared" si="14"/>
        <v>-3.3925566762334429E-2</v>
      </c>
      <c r="L182" s="96">
        <f t="shared" si="15"/>
        <v>-5.9917875159221862E-3</v>
      </c>
      <c r="M182" s="96">
        <f t="shared" si="16"/>
        <v>-1.5155066333787843E-2</v>
      </c>
      <c r="N182" s="96">
        <f t="shared" si="17"/>
        <v>-1.0900681713132675E-2</v>
      </c>
      <c r="O182" s="96">
        <f t="shared" si="18"/>
        <v>-1.9326940570720371E-2</v>
      </c>
      <c r="P182" s="96">
        <f t="shared" si="19"/>
        <v>-6.3515503933183988E-3</v>
      </c>
      <c r="Q182" s="96">
        <f t="shared" si="20"/>
        <v>7.7436576025814708E-4</v>
      </c>
    </row>
    <row r="183" spans="1:17">
      <c r="A183" s="174">
        <v>43816</v>
      </c>
      <c r="B183" s="96">
        <v>4.4903774029486684E-2</v>
      </c>
      <c r="C183" s="96">
        <v>2.7482645693831884E-2</v>
      </c>
      <c r="D183" s="96">
        <v>5.3333459753626029E-3</v>
      </c>
      <c r="E183" s="96">
        <v>4.6776064797730908E-2</v>
      </c>
      <c r="F183" s="96">
        <v>2.4960601336448229E-2</v>
      </c>
      <c r="G183" s="96">
        <v>3.3901551675681416E-2</v>
      </c>
      <c r="H183" s="96">
        <v>1.5564516541111548E-2</v>
      </c>
      <c r="J183" s="174">
        <v>43816</v>
      </c>
      <c r="K183" s="96">
        <f t="shared" si="14"/>
        <v>4.5890224564718418E-2</v>
      </c>
      <c r="L183" s="96">
        <f t="shared" si="15"/>
        <v>2.7663717284990667E-2</v>
      </c>
      <c r="M183" s="96">
        <f t="shared" si="16"/>
        <v>6.0937349474743281E-3</v>
      </c>
      <c r="N183" s="96">
        <f t="shared" si="17"/>
        <v>4.7079982097461365E-2</v>
      </c>
      <c r="O183" s="96">
        <f t="shared" si="18"/>
        <v>2.7373647402133848E-2</v>
      </c>
      <c r="P183" s="96">
        <f t="shared" si="19"/>
        <v>3.3052078436346437E-2</v>
      </c>
      <c r="Q183" s="96">
        <f t="shared" si="20"/>
        <v>1.6338882301369696E-2</v>
      </c>
    </row>
    <row r="184" spans="1:17">
      <c r="A184" s="174">
        <v>43817</v>
      </c>
      <c r="B184" s="96">
        <v>-8.3195155395582761E-3</v>
      </c>
      <c r="C184" s="96">
        <v>3.1136688785791389E-2</v>
      </c>
      <c r="D184" s="96">
        <v>2.3134575401656889E-2</v>
      </c>
      <c r="E184" s="96">
        <v>5.7457055024787214E-2</v>
      </c>
      <c r="F184" s="96">
        <v>-3.2206147000421719E-3</v>
      </c>
      <c r="G184" s="96">
        <v>1.3245226750020505E-2</v>
      </c>
      <c r="H184" s="96">
        <v>7.6923456231558652E-3</v>
      </c>
      <c r="J184" s="174">
        <v>43817</v>
      </c>
      <c r="K184" s="96">
        <f t="shared" si="14"/>
        <v>-7.3330650043265388E-3</v>
      </c>
      <c r="L184" s="96">
        <f t="shared" si="15"/>
        <v>3.1317760376950173E-2</v>
      </c>
      <c r="M184" s="96">
        <f t="shared" si="16"/>
        <v>2.3894964373768614E-2</v>
      </c>
      <c r="N184" s="96">
        <f t="shared" si="17"/>
        <v>5.776097232451767E-2</v>
      </c>
      <c r="O184" s="96">
        <f t="shared" si="18"/>
        <v>-8.0756863435655236E-4</v>
      </c>
      <c r="P184" s="96">
        <f t="shared" si="19"/>
        <v>1.2395753510685528E-2</v>
      </c>
      <c r="Q184" s="96">
        <f t="shared" si="20"/>
        <v>8.4667113834140124E-3</v>
      </c>
    </row>
    <row r="185" spans="1:17">
      <c r="A185" s="174">
        <v>43818</v>
      </c>
      <c r="B185" s="96">
        <v>-1.0919890114022212E-2</v>
      </c>
      <c r="C185" s="96">
        <v>2.9154539601241349E-3</v>
      </c>
      <c r="D185" s="96">
        <v>-4.2469227109112551E-2</v>
      </c>
      <c r="E185" s="96">
        <v>1.1356588932335975E-2</v>
      </c>
      <c r="F185" s="96">
        <v>7.4986960911203838E-3</v>
      </c>
      <c r="G185" s="96">
        <v>0</v>
      </c>
      <c r="H185" s="96">
        <v>1.8975901459005604E-2</v>
      </c>
      <c r="J185" s="174">
        <v>43818</v>
      </c>
      <c r="K185" s="96">
        <f t="shared" si="14"/>
        <v>-9.9334395787904744E-3</v>
      </c>
      <c r="L185" s="96">
        <f t="shared" si="15"/>
        <v>3.0965255512829162E-3</v>
      </c>
      <c r="M185" s="96">
        <f t="shared" si="16"/>
        <v>-4.1708838137000825E-2</v>
      </c>
      <c r="N185" s="96">
        <f t="shared" si="17"/>
        <v>1.1660506232066431E-2</v>
      </c>
      <c r="O185" s="96">
        <f t="shared" si="18"/>
        <v>9.9117421568060034E-3</v>
      </c>
      <c r="P185" s="96">
        <f t="shared" si="19"/>
        <v>-8.494732393349773E-4</v>
      </c>
      <c r="Q185" s="96">
        <f t="shared" si="20"/>
        <v>1.9750267219263751E-2</v>
      </c>
    </row>
    <row r="186" spans="1:17">
      <c r="A186" s="174">
        <v>43819</v>
      </c>
      <c r="B186" s="96">
        <v>-4.5796339327830511E-2</v>
      </c>
      <c r="C186" s="96">
        <v>2.1810259463601461E-3</v>
      </c>
      <c r="D186" s="96">
        <v>-1.6402773441457269E-2</v>
      </c>
      <c r="E186" s="96">
        <v>0</v>
      </c>
      <c r="F186" s="96">
        <v>-6.4240049613549875E-3</v>
      </c>
      <c r="G186" s="96">
        <v>-1.5915455305899457E-2</v>
      </c>
      <c r="H186" s="96">
        <v>4.7715473039666369E-2</v>
      </c>
      <c r="J186" s="174">
        <v>43819</v>
      </c>
      <c r="K186" s="96">
        <f t="shared" si="14"/>
        <v>-4.4809888792598777E-2</v>
      </c>
      <c r="L186" s="96">
        <f t="shared" si="15"/>
        <v>2.3620975375189274E-3</v>
      </c>
      <c r="M186" s="96">
        <f t="shared" si="16"/>
        <v>-1.5642384469345544E-2</v>
      </c>
      <c r="N186" s="96">
        <f t="shared" si="17"/>
        <v>3.039172997304558E-4</v>
      </c>
      <c r="O186" s="96">
        <f t="shared" si="18"/>
        <v>-4.0109588956693679E-3</v>
      </c>
      <c r="P186" s="96">
        <f t="shared" si="19"/>
        <v>-1.6764928545234436E-2</v>
      </c>
      <c r="Q186" s="96">
        <f t="shared" si="20"/>
        <v>4.8489838799924516E-2</v>
      </c>
    </row>
    <row r="187" spans="1:17">
      <c r="A187" s="174">
        <v>43822</v>
      </c>
      <c r="B187" s="96">
        <v>3.5609494020837566E-2</v>
      </c>
      <c r="C187" s="96">
        <v>3.4264593974096078E-2</v>
      </c>
      <c r="D187" s="96">
        <v>3.1473026362455386E-2</v>
      </c>
      <c r="E187" s="96">
        <v>1.7413375325197912E-2</v>
      </c>
      <c r="F187" s="96">
        <v>1.068386230831261E-2</v>
      </c>
      <c r="G187" s="96">
        <v>1.1960275462971471E-2</v>
      </c>
      <c r="H187" s="96">
        <v>0</v>
      </c>
      <c r="J187" s="174">
        <v>43822</v>
      </c>
      <c r="K187" s="96">
        <f t="shared" si="14"/>
        <v>3.65959445560693E-2</v>
      </c>
      <c r="L187" s="96">
        <f t="shared" si="15"/>
        <v>3.4445665565254857E-2</v>
      </c>
      <c r="M187" s="96">
        <f t="shared" si="16"/>
        <v>3.2233415334567111E-2</v>
      </c>
      <c r="N187" s="96">
        <f t="shared" si="17"/>
        <v>1.7717292624928369E-2</v>
      </c>
      <c r="O187" s="96">
        <f t="shared" si="18"/>
        <v>1.3096908373998229E-2</v>
      </c>
      <c r="P187" s="96">
        <f t="shared" si="19"/>
        <v>1.1110802223636494E-2</v>
      </c>
      <c r="Q187" s="96">
        <f t="shared" si="20"/>
        <v>7.7436576025814708E-4</v>
      </c>
    </row>
    <row r="188" spans="1:17">
      <c r="A188" s="174">
        <v>43826</v>
      </c>
      <c r="B188" s="96">
        <v>-6.849341845574783E-3</v>
      </c>
      <c r="C188" s="96">
        <v>1.3937507843781678E-2</v>
      </c>
      <c r="D188" s="96">
        <v>-1.7241806434506103E-2</v>
      </c>
      <c r="E188" s="96">
        <v>2.3157646675230938E-2</v>
      </c>
      <c r="F188" s="96">
        <v>1.5814773466021725E-2</v>
      </c>
      <c r="G188" s="96">
        <v>3.9551798429277932E-3</v>
      </c>
      <c r="H188" s="96">
        <v>-1.0810916104215506E-2</v>
      </c>
      <c r="J188" s="174">
        <v>43826</v>
      </c>
      <c r="K188" s="96">
        <f t="shared" si="14"/>
        <v>-5.8628913103430458E-3</v>
      </c>
      <c r="L188" s="96">
        <f t="shared" si="15"/>
        <v>1.411857943494046E-2</v>
      </c>
      <c r="M188" s="96">
        <f t="shared" si="16"/>
        <v>-1.6481417462394378E-2</v>
      </c>
      <c r="N188" s="96">
        <f t="shared" si="17"/>
        <v>2.3461563974961394E-2</v>
      </c>
      <c r="O188" s="96">
        <f t="shared" si="18"/>
        <v>1.8227819531707344E-2</v>
      </c>
      <c r="P188" s="96">
        <f t="shared" si="19"/>
        <v>3.1057066035928161E-3</v>
      </c>
      <c r="Q188" s="96">
        <f t="shared" si="20"/>
        <v>-1.0036550343957359E-2</v>
      </c>
    </row>
    <row r="189" spans="1:17">
      <c r="A189" s="174">
        <v>43829</v>
      </c>
      <c r="B189" s="96">
        <v>6.8493418455747683E-3</v>
      </c>
      <c r="C189" s="96">
        <v>-1.3937507843781624E-2</v>
      </c>
      <c r="D189" s="96">
        <v>4.8793807840934881E-3</v>
      </c>
      <c r="E189" s="96">
        <v>-1.9465334788103351E-2</v>
      </c>
      <c r="F189" s="96">
        <v>4.175371410480592E-3</v>
      </c>
      <c r="G189" s="96">
        <v>-1.1912781516242E-2</v>
      </c>
      <c r="H189" s="96">
        <v>-2.1978906718775341E-2</v>
      </c>
      <c r="J189" s="174">
        <v>43829</v>
      </c>
      <c r="K189" s="96">
        <f t="shared" si="14"/>
        <v>7.8357923808065055E-3</v>
      </c>
      <c r="L189" s="96">
        <f t="shared" si="15"/>
        <v>-1.3756436252622843E-2</v>
      </c>
      <c r="M189" s="96">
        <f t="shared" si="16"/>
        <v>5.6397697562052132E-3</v>
      </c>
      <c r="N189" s="96">
        <f t="shared" si="17"/>
        <v>-1.9161417488372894E-2</v>
      </c>
      <c r="O189" s="96">
        <f t="shared" si="18"/>
        <v>6.5884174761662116E-3</v>
      </c>
      <c r="P189" s="96">
        <f t="shared" si="19"/>
        <v>-1.2762254755576977E-2</v>
      </c>
      <c r="Q189" s="96">
        <f t="shared" si="20"/>
        <v>-2.1204540958517194E-2</v>
      </c>
    </row>
    <row r="190" spans="1:17">
      <c r="A190" s="174">
        <v>43830</v>
      </c>
      <c r="B190" s="96">
        <v>-1.201731200401744E-2</v>
      </c>
      <c r="C190" s="96">
        <v>7.0150827149030332E-4</v>
      </c>
      <c r="D190" s="96">
        <v>3.2397436544107962E-3</v>
      </c>
      <c r="E190" s="96">
        <v>1.0995834674529522E-2</v>
      </c>
      <c r="F190" s="96">
        <v>-1.2578782206860073E-2</v>
      </c>
      <c r="G190" s="96">
        <v>5.3120974848898843E-3</v>
      </c>
      <c r="H190" s="96">
        <v>2.1978906718775382E-2</v>
      </c>
      <c r="J190" s="174">
        <v>43830</v>
      </c>
      <c r="K190" s="96">
        <f t="shared" si="14"/>
        <v>-1.1030861468785702E-2</v>
      </c>
      <c r="L190" s="96">
        <f t="shared" si="15"/>
        <v>8.8257986264908474E-4</v>
      </c>
      <c r="M190" s="96">
        <f t="shared" si="16"/>
        <v>4.0001326265225214E-3</v>
      </c>
      <c r="N190" s="96">
        <f t="shared" si="17"/>
        <v>1.1299751974259978E-2</v>
      </c>
      <c r="O190" s="96">
        <f t="shared" si="18"/>
        <v>-1.0165736141174452E-2</v>
      </c>
      <c r="P190" s="96">
        <f t="shared" si="19"/>
        <v>4.4626242455549072E-3</v>
      </c>
      <c r="Q190" s="96">
        <f t="shared" si="20"/>
        <v>2.275327247903353E-2</v>
      </c>
    </row>
    <row r="191" spans="1:17">
      <c r="A191" s="174">
        <v>43832</v>
      </c>
      <c r="B191" s="96">
        <v>1.7972242404430218E-2</v>
      </c>
      <c r="C191" s="96">
        <v>2.8011222797117733E-3</v>
      </c>
      <c r="D191" s="96">
        <v>7.518832414027319E-3</v>
      </c>
      <c r="E191" s="96">
        <v>2.6380426680103871E-2</v>
      </c>
      <c r="F191" s="96">
        <v>1.6736792355523826E-2</v>
      </c>
      <c r="G191" s="96">
        <v>5.2840281466052059E-3</v>
      </c>
      <c r="H191" s="96">
        <v>-1.8282044837449069E-2</v>
      </c>
      <c r="J191" s="174">
        <v>43832</v>
      </c>
      <c r="K191" s="96">
        <f t="shared" si="14"/>
        <v>1.8958692939661955E-2</v>
      </c>
      <c r="L191" s="96">
        <f t="shared" si="15"/>
        <v>2.9821938708705547E-3</v>
      </c>
      <c r="M191" s="96">
        <f t="shared" si="16"/>
        <v>8.2792213861390442E-3</v>
      </c>
      <c r="N191" s="96">
        <f t="shared" si="17"/>
        <v>2.6684343979834328E-2</v>
      </c>
      <c r="O191" s="96">
        <f t="shared" si="18"/>
        <v>1.9149838421209445E-2</v>
      </c>
      <c r="P191" s="96">
        <f t="shared" si="19"/>
        <v>4.4345549072702288E-3</v>
      </c>
      <c r="Q191" s="96">
        <f t="shared" si="20"/>
        <v>-1.7507679077190922E-2</v>
      </c>
    </row>
    <row r="192" spans="1:17">
      <c r="A192" s="174">
        <v>43833</v>
      </c>
      <c r="B192" s="96">
        <v>-1.4523963125514351E-2</v>
      </c>
      <c r="C192" s="96">
        <v>-1.4084739881739085E-2</v>
      </c>
      <c r="D192" s="96">
        <v>-2.6788122100263956E-3</v>
      </c>
      <c r="E192" s="96">
        <v>2.2236141446881932E-2</v>
      </c>
      <c r="F192" s="96">
        <v>1.0368067284403084E-3</v>
      </c>
      <c r="G192" s="96">
        <v>-9.2654534457901234E-3</v>
      </c>
      <c r="H192" s="96">
        <v>-1.4870162479451506E-2</v>
      </c>
      <c r="J192" s="174">
        <v>43833</v>
      </c>
      <c r="K192" s="96">
        <f t="shared" si="14"/>
        <v>-1.3537512590282614E-2</v>
      </c>
      <c r="L192" s="96">
        <f t="shared" si="15"/>
        <v>-1.3903668290580304E-2</v>
      </c>
      <c r="M192" s="96">
        <f t="shared" si="16"/>
        <v>-1.91842323791467E-3</v>
      </c>
      <c r="N192" s="96">
        <f t="shared" si="17"/>
        <v>2.2540058746612388E-2</v>
      </c>
      <c r="O192" s="96">
        <f t="shared" si="18"/>
        <v>3.449852794125928E-3</v>
      </c>
      <c r="P192" s="96">
        <f t="shared" si="19"/>
        <v>-1.0114926685125101E-2</v>
      </c>
      <c r="Q192" s="96">
        <f t="shared" si="20"/>
        <v>-1.4095796719193358E-2</v>
      </c>
    </row>
    <row r="193" spans="1:17">
      <c r="A193" s="174">
        <v>43837</v>
      </c>
      <c r="B193" s="96">
        <v>1.7910926566530243E-2</v>
      </c>
      <c r="C193" s="96">
        <v>2.1253993123135366E-3</v>
      </c>
      <c r="D193" s="96">
        <v>-1.4590910030410773E-2</v>
      </c>
      <c r="E193" s="96">
        <v>1.8349138668196617E-2</v>
      </c>
      <c r="F193" s="96">
        <v>1.0309369658861287E-2</v>
      </c>
      <c r="G193" s="96">
        <v>-8.010723746078972E-3</v>
      </c>
      <c r="H193" s="96">
        <v>-3.7523496185503527E-3</v>
      </c>
      <c r="J193" s="174">
        <v>43837</v>
      </c>
      <c r="K193" s="96">
        <f t="shared" si="14"/>
        <v>1.8897377101761981E-2</v>
      </c>
      <c r="L193" s="96">
        <f t="shared" si="15"/>
        <v>2.3064709034723179E-3</v>
      </c>
      <c r="M193" s="96">
        <f t="shared" si="16"/>
        <v>-1.3830521058299048E-2</v>
      </c>
      <c r="N193" s="96">
        <f t="shared" si="17"/>
        <v>1.8653055967927074E-2</v>
      </c>
      <c r="O193" s="96">
        <f t="shared" si="18"/>
        <v>1.2722415724546906E-2</v>
      </c>
      <c r="P193" s="96">
        <f t="shared" si="19"/>
        <v>-8.8601969854139491E-3</v>
      </c>
      <c r="Q193" s="96">
        <f t="shared" si="20"/>
        <v>-2.9779838582922056E-3</v>
      </c>
    </row>
    <row r="194" spans="1:17">
      <c r="A194" s="174">
        <v>43838</v>
      </c>
      <c r="B194" s="96">
        <v>-6.7854374001274599E-3</v>
      </c>
      <c r="C194" s="96">
        <v>-1.0672459890771872E-2</v>
      </c>
      <c r="D194" s="96">
        <v>-9.8469066970034037E-3</v>
      </c>
      <c r="E194" s="96">
        <v>-5.6980211146377786E-3</v>
      </c>
      <c r="F194" s="96">
        <v>-5.1413995004187642E-3</v>
      </c>
      <c r="G194" s="96">
        <v>-1.3495481474884509E-2</v>
      </c>
      <c r="H194" s="96">
        <v>-3.7664827954768934E-3</v>
      </c>
      <c r="J194" s="174">
        <v>43838</v>
      </c>
      <c r="K194" s="96">
        <f t="shared" si="14"/>
        <v>-5.7989868648957226E-3</v>
      </c>
      <c r="L194" s="96">
        <f t="shared" si="15"/>
        <v>-1.049138829961309E-2</v>
      </c>
      <c r="M194" s="96">
        <f t="shared" si="16"/>
        <v>-9.0865177248916785E-3</v>
      </c>
      <c r="N194" s="96">
        <f t="shared" si="17"/>
        <v>-5.394103814907323E-3</v>
      </c>
      <c r="O194" s="96">
        <f t="shared" si="18"/>
        <v>-2.7283534347331447E-3</v>
      </c>
      <c r="P194" s="96">
        <f t="shared" si="19"/>
        <v>-1.4344954714219486E-2</v>
      </c>
      <c r="Q194" s="96">
        <f t="shared" si="20"/>
        <v>-2.9921170352187462E-3</v>
      </c>
    </row>
    <row r="195" spans="1:17">
      <c r="A195" s="174">
        <v>43839</v>
      </c>
      <c r="B195" s="96">
        <v>4.0774333810033522E-2</v>
      </c>
      <c r="C195" s="96">
        <v>-2.8653314732863936E-3</v>
      </c>
      <c r="D195" s="96">
        <v>7.1213667159532529E-3</v>
      </c>
      <c r="E195" s="96">
        <v>-1.1435107020789379E-3</v>
      </c>
      <c r="F195" s="96">
        <v>1.0303967938966232E-3</v>
      </c>
      <c r="G195" s="96">
        <v>5.4200674693391133E-3</v>
      </c>
      <c r="H195" s="96">
        <v>2.9741969198737516E-2</v>
      </c>
      <c r="J195" s="174">
        <v>43839</v>
      </c>
      <c r="K195" s="96">
        <f t="shared" si="14"/>
        <v>4.1760784345265256E-2</v>
      </c>
      <c r="L195" s="96">
        <f t="shared" si="15"/>
        <v>-2.6842598821276123E-3</v>
      </c>
      <c r="M195" s="96">
        <f t="shared" si="16"/>
        <v>7.881755688064979E-3</v>
      </c>
      <c r="N195" s="96">
        <f t="shared" si="17"/>
        <v>-8.3959340234848203E-4</v>
      </c>
      <c r="O195" s="96">
        <f t="shared" si="18"/>
        <v>3.4434428595822427E-3</v>
      </c>
      <c r="P195" s="96">
        <f t="shared" si="19"/>
        <v>4.5705942300041363E-3</v>
      </c>
      <c r="Q195" s="96">
        <f t="shared" si="20"/>
        <v>3.0516334958995663E-2</v>
      </c>
    </row>
    <row r="196" spans="1:17">
      <c r="A196" s="174">
        <v>43840</v>
      </c>
      <c r="B196" s="96">
        <v>5.7031277279572575E-3</v>
      </c>
      <c r="C196" s="96">
        <v>-1.0818713527167364E-2</v>
      </c>
      <c r="D196" s="96">
        <v>1.6362152545950318E-3</v>
      </c>
      <c r="E196" s="96">
        <v>-1.0350868723656162E-2</v>
      </c>
      <c r="F196" s="96">
        <v>-1.1393183829443163E-2</v>
      </c>
      <c r="G196" s="96">
        <v>-2.0478531343540676E-2</v>
      </c>
      <c r="H196" s="96">
        <v>-1.1049836186585046E-2</v>
      </c>
      <c r="J196" s="174">
        <v>43840</v>
      </c>
      <c r="K196" s="96">
        <f t="shared" ref="K196:K249" si="21">B196-$B$250</f>
        <v>6.6895782631889947E-3</v>
      </c>
      <c r="L196" s="96">
        <f t="shared" ref="L196:L249" si="22">C196-$C$250</f>
        <v>-1.0637641936008583E-2</v>
      </c>
      <c r="M196" s="96">
        <f t="shared" ref="M196:M249" si="23">D196-$D$250</f>
        <v>2.3966042267067572E-3</v>
      </c>
      <c r="N196" s="96">
        <f t="shared" ref="N196:N249" si="24">E196-$E$250</f>
        <v>-1.0046951423925705E-2</v>
      </c>
      <c r="O196" s="96">
        <f t="shared" ref="O196:O249" si="25">F196-$F$250</f>
        <v>-8.9801377637575425E-3</v>
      </c>
      <c r="P196" s="96">
        <f t="shared" ref="P196:P249" si="26">G196-$G$250</f>
        <v>-2.1328004582875655E-2</v>
      </c>
      <c r="Q196" s="96">
        <f t="shared" ref="Q196:Q249" si="27">H196-$H$250</f>
        <v>-1.0275470426326899E-2</v>
      </c>
    </row>
    <row r="197" spans="1:17">
      <c r="A197" s="174">
        <v>43843</v>
      </c>
      <c r="B197" s="96">
        <v>-2.1266042191494649E-2</v>
      </c>
      <c r="C197" s="96">
        <v>1.4492756159904376E-3</v>
      </c>
      <c r="D197" s="96">
        <v>-7.6586807610626939E-3</v>
      </c>
      <c r="E197" s="96">
        <v>-1.279831314330962E-2</v>
      </c>
      <c r="F197" s="96">
        <v>1.0362787035546658E-2</v>
      </c>
      <c r="G197" s="96">
        <v>-4.1465159618485773E-3</v>
      </c>
      <c r="H197" s="96">
        <v>-7.4349784875180902E-3</v>
      </c>
      <c r="J197" s="174">
        <v>43843</v>
      </c>
      <c r="K197" s="96">
        <f t="shared" si="21"/>
        <v>-2.0279591656262912E-2</v>
      </c>
      <c r="L197" s="96">
        <f t="shared" si="22"/>
        <v>1.6303472071492189E-3</v>
      </c>
      <c r="M197" s="96">
        <f t="shared" si="23"/>
        <v>-6.8982917889509688E-3</v>
      </c>
      <c r="N197" s="96">
        <f t="shared" si="24"/>
        <v>-1.2494395843579163E-2</v>
      </c>
      <c r="O197" s="96">
        <f t="shared" si="25"/>
        <v>1.2775833101232276E-2</v>
      </c>
      <c r="P197" s="96">
        <f t="shared" si="26"/>
        <v>-4.9959892011835543E-3</v>
      </c>
      <c r="Q197" s="96">
        <f t="shared" si="27"/>
        <v>-6.660612727259943E-3</v>
      </c>
    </row>
    <row r="198" spans="1:17">
      <c r="A198" s="174">
        <v>43844</v>
      </c>
      <c r="B198" s="96">
        <v>1.6583751727761256E-3</v>
      </c>
      <c r="C198" s="96">
        <v>6.4958727154452349E-3</v>
      </c>
      <c r="D198" s="96">
        <v>-1.1043734551651835E-2</v>
      </c>
      <c r="E198" s="96">
        <v>-1.1778699192612763E-2</v>
      </c>
      <c r="F198" s="96">
        <v>-2.0834086902841914E-2</v>
      </c>
      <c r="G198" s="96">
        <v>4.3367229115129864E-2</v>
      </c>
      <c r="H198" s="96">
        <v>0</v>
      </c>
      <c r="J198" s="174">
        <v>43844</v>
      </c>
      <c r="K198" s="96">
        <f t="shared" si="21"/>
        <v>2.6448257080078624E-3</v>
      </c>
      <c r="L198" s="96">
        <f t="shared" si="22"/>
        <v>6.6769443066040162E-3</v>
      </c>
      <c r="M198" s="96">
        <f t="shared" si="23"/>
        <v>-1.028334557954011E-2</v>
      </c>
      <c r="N198" s="96">
        <f t="shared" si="24"/>
        <v>-1.1474781892882306E-2</v>
      </c>
      <c r="O198" s="96">
        <f t="shared" si="25"/>
        <v>-1.8421040837156295E-2</v>
      </c>
      <c r="P198" s="96">
        <f t="shared" si="26"/>
        <v>4.2517755875794885E-2</v>
      </c>
      <c r="Q198" s="96">
        <f t="shared" si="27"/>
        <v>7.7436576025814708E-4</v>
      </c>
    </row>
    <row r="199" spans="1:17">
      <c r="A199" s="174">
        <v>43845</v>
      </c>
      <c r="B199" s="96">
        <v>1.6556295172611565E-3</v>
      </c>
      <c r="C199" s="96">
        <v>-1.4493007302566864E-2</v>
      </c>
      <c r="D199" s="96">
        <v>-5.5540129170012875E-4</v>
      </c>
      <c r="E199" s="96">
        <v>1.184132761216772E-3</v>
      </c>
      <c r="F199" s="96">
        <v>-5.2770571008438931E-3</v>
      </c>
      <c r="G199" s="96">
        <v>6.6094093876738072E-3</v>
      </c>
      <c r="H199" s="96">
        <v>3.7243990909822727E-3</v>
      </c>
      <c r="J199" s="174">
        <v>43845</v>
      </c>
      <c r="K199" s="96">
        <f t="shared" si="21"/>
        <v>2.6420800524928935E-3</v>
      </c>
      <c r="L199" s="96">
        <f t="shared" si="22"/>
        <v>-1.4311935711408083E-2</v>
      </c>
      <c r="M199" s="96">
        <f t="shared" si="23"/>
        <v>2.0498768041159676E-4</v>
      </c>
      <c r="N199" s="96">
        <f t="shared" si="24"/>
        <v>1.4880500609472278E-3</v>
      </c>
      <c r="O199" s="96">
        <f t="shared" si="25"/>
        <v>-2.8640110351582735E-3</v>
      </c>
      <c r="P199" s="96">
        <f t="shared" si="26"/>
        <v>5.7599361483388302E-3</v>
      </c>
      <c r="Q199" s="96">
        <f t="shared" si="27"/>
        <v>4.4987648512404199E-3</v>
      </c>
    </row>
    <row r="200" spans="1:17">
      <c r="A200" s="174">
        <v>43846</v>
      </c>
      <c r="B200" s="96">
        <v>-6.4924589586786402E-2</v>
      </c>
      <c r="C200" s="96">
        <v>7.2727593290798781E-3</v>
      </c>
      <c r="D200" s="96">
        <v>2.6317308317373358E-2</v>
      </c>
      <c r="E200" s="96">
        <v>5.899722127188322E-3</v>
      </c>
      <c r="F200" s="96">
        <v>2.0943173845243388E-2</v>
      </c>
      <c r="G200" s="96">
        <v>2.6315804660560424E-3</v>
      </c>
      <c r="H200" s="96">
        <v>-3.7243990909823282E-3</v>
      </c>
      <c r="J200" s="174">
        <v>43846</v>
      </c>
      <c r="K200" s="96">
        <f t="shared" si="21"/>
        <v>-6.3938139051554668E-2</v>
      </c>
      <c r="L200" s="96">
        <f t="shared" si="22"/>
        <v>7.4538309202386594E-3</v>
      </c>
      <c r="M200" s="96">
        <f t="shared" si="23"/>
        <v>2.7077697289485083E-2</v>
      </c>
      <c r="N200" s="96">
        <f t="shared" si="24"/>
        <v>6.2036394269187776E-3</v>
      </c>
      <c r="O200" s="96">
        <f t="shared" si="25"/>
        <v>2.3356219910929007E-2</v>
      </c>
      <c r="P200" s="96">
        <f t="shared" si="26"/>
        <v>1.7821072267210651E-3</v>
      </c>
      <c r="Q200" s="96">
        <f t="shared" si="27"/>
        <v>-2.950033330724181E-3</v>
      </c>
    </row>
    <row r="201" spans="1:17">
      <c r="A201" s="174">
        <v>43847</v>
      </c>
      <c r="B201" s="96">
        <v>8.7874027668042379E-3</v>
      </c>
      <c r="C201" s="96">
        <v>0</v>
      </c>
      <c r="D201" s="96">
        <v>1.1299555253933466E-2</v>
      </c>
      <c r="E201" s="96">
        <v>-8.2693914825067421E-3</v>
      </c>
      <c r="F201" s="96">
        <v>-1.2513197684783949E-2</v>
      </c>
      <c r="G201" s="96">
        <v>-1.4560151331329776E-2</v>
      </c>
      <c r="H201" s="96">
        <v>0</v>
      </c>
      <c r="J201" s="174">
        <v>43847</v>
      </c>
      <c r="K201" s="96">
        <f t="shared" si="21"/>
        <v>9.7738533020359751E-3</v>
      </c>
      <c r="L201" s="96">
        <f t="shared" si="22"/>
        <v>1.8107159115878139E-4</v>
      </c>
      <c r="M201" s="96">
        <f t="shared" si="23"/>
        <v>1.2059944226045191E-2</v>
      </c>
      <c r="N201" s="96">
        <f t="shared" si="24"/>
        <v>-7.9654741827762856E-3</v>
      </c>
      <c r="O201" s="96">
        <f t="shared" si="25"/>
        <v>-1.010015161909833E-2</v>
      </c>
      <c r="P201" s="96">
        <f t="shared" si="26"/>
        <v>-1.5409624570664754E-2</v>
      </c>
      <c r="Q201" s="96">
        <f t="shared" si="27"/>
        <v>7.7436576025814708E-4</v>
      </c>
    </row>
    <row r="202" spans="1:17">
      <c r="A202" s="174">
        <v>43850</v>
      </c>
      <c r="B202" s="96">
        <v>8.7450814493257568E-4</v>
      </c>
      <c r="C202" s="96">
        <v>0</v>
      </c>
      <c r="D202" s="96">
        <v>2.5879447987820541E-2</v>
      </c>
      <c r="E202" s="96">
        <v>-3.5650661644960344E-3</v>
      </c>
      <c r="F202" s="96">
        <v>-2.1008411088117279E-3</v>
      </c>
      <c r="G202" s="96">
        <v>-1.3342230131366103E-3</v>
      </c>
      <c r="H202" s="96">
        <v>0</v>
      </c>
      <c r="J202" s="174">
        <v>43850</v>
      </c>
      <c r="K202" s="96">
        <f t="shared" si="21"/>
        <v>1.8609586801643127E-3</v>
      </c>
      <c r="L202" s="96">
        <f t="shared" si="22"/>
        <v>1.8107159115878139E-4</v>
      </c>
      <c r="M202" s="96">
        <f t="shared" si="23"/>
        <v>2.6639836959932266E-2</v>
      </c>
      <c r="N202" s="96">
        <f t="shared" si="24"/>
        <v>-3.2611488647655788E-3</v>
      </c>
      <c r="O202" s="96">
        <f t="shared" si="25"/>
        <v>3.1220495687389171E-4</v>
      </c>
      <c r="P202" s="96">
        <f t="shared" si="26"/>
        <v>-2.1836962524715876E-3</v>
      </c>
      <c r="Q202" s="96">
        <f t="shared" si="27"/>
        <v>7.7436576025814708E-4</v>
      </c>
    </row>
    <row r="203" spans="1:17">
      <c r="A203" s="174">
        <v>43851</v>
      </c>
      <c r="B203" s="96">
        <v>7.8363483293158696E-3</v>
      </c>
      <c r="C203" s="96">
        <v>-5.8139698654198447E-3</v>
      </c>
      <c r="D203" s="96">
        <v>3.6429912785010087E-3</v>
      </c>
      <c r="E203" s="96">
        <v>-5.9701669865039079E-3</v>
      </c>
      <c r="F203" s="96">
        <v>-1.0520779508037803E-3</v>
      </c>
      <c r="G203" s="96">
        <v>-4.0133833134586763E-3</v>
      </c>
      <c r="H203" s="96">
        <v>3.7243990909822727E-3</v>
      </c>
      <c r="J203" s="174">
        <v>43851</v>
      </c>
      <c r="K203" s="96">
        <f t="shared" si="21"/>
        <v>8.8227988645476069E-3</v>
      </c>
      <c r="L203" s="96">
        <f t="shared" si="22"/>
        <v>-5.6328982742610634E-3</v>
      </c>
      <c r="M203" s="96">
        <f t="shared" si="23"/>
        <v>4.4033802506127338E-3</v>
      </c>
      <c r="N203" s="96">
        <f t="shared" si="24"/>
        <v>-5.6662496867734523E-3</v>
      </c>
      <c r="O203" s="96">
        <f t="shared" si="25"/>
        <v>1.3609681148818392E-3</v>
      </c>
      <c r="P203" s="96">
        <f t="shared" si="26"/>
        <v>-4.8628565527936533E-3</v>
      </c>
      <c r="Q203" s="96">
        <f t="shared" si="27"/>
        <v>4.4987648512404199E-3</v>
      </c>
    </row>
    <row r="204" spans="1:17">
      <c r="A204" s="174">
        <v>43852</v>
      </c>
      <c r="B204" s="96">
        <v>2.0601586991217731E-2</v>
      </c>
      <c r="C204" s="96">
        <v>1.1594332780919227E-2</v>
      </c>
      <c r="D204" s="96">
        <v>7.7620053354891094E-3</v>
      </c>
      <c r="E204" s="96">
        <v>-6.006024060211698E-3</v>
      </c>
      <c r="F204" s="96">
        <v>4.2016868536999766E-3</v>
      </c>
      <c r="G204" s="96">
        <v>4.0133833134587413E-3</v>
      </c>
      <c r="H204" s="96">
        <v>0</v>
      </c>
      <c r="J204" s="174">
        <v>43852</v>
      </c>
      <c r="K204" s="96">
        <f t="shared" si="21"/>
        <v>2.1588037526449468E-2</v>
      </c>
      <c r="L204" s="96">
        <f t="shared" si="22"/>
        <v>1.1775404372078009E-2</v>
      </c>
      <c r="M204" s="96">
        <f t="shared" si="23"/>
        <v>8.5223943076008345E-3</v>
      </c>
      <c r="N204" s="96">
        <f t="shared" si="24"/>
        <v>-5.7021067604812424E-3</v>
      </c>
      <c r="O204" s="96">
        <f t="shared" si="25"/>
        <v>6.6147329193855962E-3</v>
      </c>
      <c r="P204" s="96">
        <f t="shared" si="26"/>
        <v>3.1639100741237642E-3</v>
      </c>
      <c r="Q204" s="96">
        <f t="shared" si="27"/>
        <v>7.7436576025814708E-4</v>
      </c>
    </row>
    <row r="205" spans="1:17">
      <c r="A205" s="174">
        <v>43853</v>
      </c>
      <c r="B205" s="96">
        <v>-6.8201457882083264E-3</v>
      </c>
      <c r="C205" s="96">
        <v>-7.2306894931460589E-3</v>
      </c>
      <c r="D205" s="96">
        <v>-6.7235836430074008E-3</v>
      </c>
      <c r="E205" s="96">
        <v>0</v>
      </c>
      <c r="F205" s="96">
        <v>-4.2016868536999697E-3</v>
      </c>
      <c r="G205" s="96">
        <v>5.3262442826741627E-3</v>
      </c>
      <c r="H205" s="96">
        <v>0</v>
      </c>
      <c r="J205" s="174">
        <v>43853</v>
      </c>
      <c r="K205" s="96">
        <f t="shared" si="21"/>
        <v>-5.8336952529765892E-3</v>
      </c>
      <c r="L205" s="96">
        <f t="shared" si="22"/>
        <v>-7.0496179019872776E-3</v>
      </c>
      <c r="M205" s="96">
        <f t="shared" si="23"/>
        <v>-5.9631946708956756E-3</v>
      </c>
      <c r="N205" s="96">
        <f t="shared" si="24"/>
        <v>3.039172997304558E-4</v>
      </c>
      <c r="O205" s="96">
        <f t="shared" si="25"/>
        <v>-1.7886407880143501E-3</v>
      </c>
      <c r="P205" s="96">
        <f t="shared" si="26"/>
        <v>4.4767710433391856E-3</v>
      </c>
      <c r="Q205" s="96">
        <f t="shared" si="27"/>
        <v>7.7436576025814708E-4</v>
      </c>
    </row>
    <row r="206" spans="1:17">
      <c r="A206" s="174">
        <v>43854</v>
      </c>
      <c r="B206" s="96">
        <v>1.7094021256491012E-3</v>
      </c>
      <c r="C206" s="96">
        <v>-7.2595284494901655E-4</v>
      </c>
      <c r="D206" s="96">
        <v>9.8115943315839702E-3</v>
      </c>
      <c r="E206" s="96">
        <v>2.0274993861410861E-2</v>
      </c>
      <c r="F206" s="96">
        <v>1.5666116744399456E-2</v>
      </c>
      <c r="G206" s="96">
        <v>1.8421573567362595E-2</v>
      </c>
      <c r="H206" s="96">
        <v>3.2909734088797958E-2</v>
      </c>
      <c r="J206" s="174">
        <v>43854</v>
      </c>
      <c r="K206" s="96">
        <f t="shared" si="21"/>
        <v>2.6958526608808382E-3</v>
      </c>
      <c r="L206" s="96">
        <f t="shared" si="22"/>
        <v>-5.4488125379023513E-4</v>
      </c>
      <c r="M206" s="96">
        <f t="shared" si="23"/>
        <v>1.0571983303695695E-2</v>
      </c>
      <c r="N206" s="96">
        <f t="shared" si="24"/>
        <v>2.0578911161141317E-2</v>
      </c>
      <c r="O206" s="96">
        <f t="shared" si="25"/>
        <v>1.8079162810085075E-2</v>
      </c>
      <c r="P206" s="96">
        <f t="shared" si="26"/>
        <v>1.7572100328027616E-2</v>
      </c>
      <c r="Q206" s="96">
        <f t="shared" si="27"/>
        <v>3.3684099849056105E-2</v>
      </c>
    </row>
    <row r="207" spans="1:17">
      <c r="A207" s="174">
        <v>43857</v>
      </c>
      <c r="B207" s="96">
        <v>-1.0300520257965767E-2</v>
      </c>
      <c r="C207" s="96">
        <v>-5.0964799064843148E-3</v>
      </c>
      <c r="D207" s="96">
        <v>-2.8141513134126772E-2</v>
      </c>
      <c r="E207" s="96">
        <v>-2.2687540266794884E-2</v>
      </c>
      <c r="F207" s="96">
        <v>-1.5666116744399463E-2</v>
      </c>
      <c r="G207" s="96">
        <v>-9.1683680868794425E-3</v>
      </c>
      <c r="H207" s="96">
        <v>0</v>
      </c>
      <c r="J207" s="174">
        <v>43857</v>
      </c>
      <c r="K207" s="96">
        <f t="shared" si="21"/>
        <v>-9.3140697227340301E-3</v>
      </c>
      <c r="L207" s="96">
        <f t="shared" si="22"/>
        <v>-4.9154083153255335E-3</v>
      </c>
      <c r="M207" s="96">
        <f t="shared" si="23"/>
        <v>-2.7381124162015047E-2</v>
      </c>
      <c r="N207" s="96">
        <f t="shared" si="24"/>
        <v>-2.2383622967064427E-2</v>
      </c>
      <c r="O207" s="96">
        <f t="shared" si="25"/>
        <v>-1.3253070678713844E-2</v>
      </c>
      <c r="P207" s="96">
        <f t="shared" si="26"/>
        <v>-1.001784132621442E-2</v>
      </c>
      <c r="Q207" s="96">
        <f t="shared" si="27"/>
        <v>7.7436576025814708E-4</v>
      </c>
    </row>
    <row r="208" spans="1:17">
      <c r="A208" s="174">
        <v>43858</v>
      </c>
      <c r="B208" s="96">
        <v>-2.5339931633365412E-2</v>
      </c>
      <c r="C208" s="96">
        <v>-1.3965680861971759E-2</v>
      </c>
      <c r="D208" s="96">
        <v>-1.0093047167735132E-2</v>
      </c>
      <c r="E208" s="96">
        <v>9.6154586994419734E-3</v>
      </c>
      <c r="F208" s="96">
        <v>-3.1628914085081953E-3</v>
      </c>
      <c r="G208" s="96">
        <v>0</v>
      </c>
      <c r="H208" s="96">
        <v>-3.6036075032986558E-3</v>
      </c>
      <c r="J208" s="174">
        <v>43858</v>
      </c>
      <c r="K208" s="96">
        <f t="shared" si="21"/>
        <v>-2.4353481098133675E-2</v>
      </c>
      <c r="L208" s="96">
        <f t="shared" si="22"/>
        <v>-1.3784609270812978E-2</v>
      </c>
      <c r="M208" s="96">
        <f t="shared" si="23"/>
        <v>-9.332658195623407E-3</v>
      </c>
      <c r="N208" s="96">
        <f t="shared" si="24"/>
        <v>9.9193759991724299E-3</v>
      </c>
      <c r="O208" s="96">
        <f t="shared" si="25"/>
        <v>-7.4984534282257573E-4</v>
      </c>
      <c r="P208" s="96">
        <f t="shared" si="26"/>
        <v>-8.494732393349773E-4</v>
      </c>
      <c r="Q208" s="96">
        <f t="shared" si="27"/>
        <v>-2.8292417430405086E-3</v>
      </c>
    </row>
    <row r="209" spans="1:17">
      <c r="A209" s="174">
        <v>43859</v>
      </c>
      <c r="B209" s="96">
        <v>-7.104825623744683E-3</v>
      </c>
      <c r="C209" s="96">
        <v>-7.4046652772369499E-4</v>
      </c>
      <c r="D209" s="96">
        <v>-4.2803703661726516E-3</v>
      </c>
      <c r="E209" s="96">
        <v>-4.7961722634929441E-3</v>
      </c>
      <c r="F209" s="96">
        <v>-6.3559536006987157E-3</v>
      </c>
      <c r="G209" s="96">
        <v>5.249355886143745E-3</v>
      </c>
      <c r="H209" s="96">
        <v>-1.0889399799268319E-2</v>
      </c>
      <c r="J209" s="174">
        <v>43859</v>
      </c>
      <c r="K209" s="96">
        <f t="shared" si="21"/>
        <v>-6.1183750885129458E-3</v>
      </c>
      <c r="L209" s="96">
        <f t="shared" si="22"/>
        <v>-5.5939493656491357E-4</v>
      </c>
      <c r="M209" s="96">
        <f t="shared" si="23"/>
        <v>-3.519981394060926E-3</v>
      </c>
      <c r="N209" s="96">
        <f t="shared" si="24"/>
        <v>-4.4922549637624884E-3</v>
      </c>
      <c r="O209" s="96">
        <f t="shared" si="25"/>
        <v>-3.9429075350130962E-3</v>
      </c>
      <c r="P209" s="96">
        <f t="shared" si="26"/>
        <v>4.3998826468087679E-3</v>
      </c>
      <c r="Q209" s="96">
        <f t="shared" si="27"/>
        <v>-1.0115034039010172E-2</v>
      </c>
    </row>
    <row r="210" spans="1:17">
      <c r="A210" s="174">
        <v>43860</v>
      </c>
      <c r="B210" s="96">
        <v>1.780944370994692E-3</v>
      </c>
      <c r="C210" s="96">
        <v>-2.9673612278020007E-3</v>
      </c>
      <c r="D210" s="96">
        <v>-1.3495481474884621E-2</v>
      </c>
      <c r="E210" s="96">
        <v>-1.9418085857101627E-2</v>
      </c>
      <c r="F210" s="96">
        <v>1.1621895205985527E-2</v>
      </c>
      <c r="G210" s="96">
        <v>-2.1164811192043158E-2</v>
      </c>
      <c r="H210" s="96">
        <v>-2.5879447987820721E-2</v>
      </c>
      <c r="J210" s="174">
        <v>43860</v>
      </c>
      <c r="K210" s="96">
        <f t="shared" si="21"/>
        <v>2.7673949062264292E-3</v>
      </c>
      <c r="L210" s="96">
        <f t="shared" si="22"/>
        <v>-2.7862896366432194E-3</v>
      </c>
      <c r="M210" s="96">
        <f t="shared" si="23"/>
        <v>-1.2735092502772896E-2</v>
      </c>
      <c r="N210" s="96">
        <f t="shared" si="24"/>
        <v>-1.9114168557371171E-2</v>
      </c>
      <c r="O210" s="96">
        <f t="shared" si="25"/>
        <v>1.4034941271671146E-2</v>
      </c>
      <c r="P210" s="96">
        <f t="shared" si="26"/>
        <v>-2.2014284431378137E-2</v>
      </c>
      <c r="Q210" s="96">
        <f t="shared" si="27"/>
        <v>-2.5105082227562574E-2</v>
      </c>
    </row>
    <row r="211" spans="1:17">
      <c r="A211" s="174">
        <v>43861</v>
      </c>
      <c r="B211" s="96">
        <v>0</v>
      </c>
      <c r="C211" s="96">
        <v>2.9673612278020081E-3</v>
      </c>
      <c r="D211" s="96">
        <v>-1.6317653879055589E-3</v>
      </c>
      <c r="E211" s="96">
        <v>-8.6154379056154005E-3</v>
      </c>
      <c r="F211" s="96">
        <v>-1.694955831377332E-2</v>
      </c>
      <c r="G211" s="96">
        <v>-5.3619431413853991E-3</v>
      </c>
      <c r="H211" s="96">
        <v>-7.5188324140273398E-3</v>
      </c>
      <c r="J211" s="174">
        <v>43861</v>
      </c>
      <c r="K211" s="96">
        <f t="shared" si="21"/>
        <v>9.8645053523173701E-4</v>
      </c>
      <c r="L211" s="96">
        <f t="shared" si="22"/>
        <v>3.1484328189607894E-3</v>
      </c>
      <c r="M211" s="96">
        <f t="shared" si="23"/>
        <v>-8.7137641579383338E-4</v>
      </c>
      <c r="N211" s="96">
        <f t="shared" si="24"/>
        <v>-8.311520605884944E-3</v>
      </c>
      <c r="O211" s="96">
        <f t="shared" si="25"/>
        <v>-1.4536512248087701E-2</v>
      </c>
      <c r="P211" s="96">
        <f t="shared" si="26"/>
        <v>-6.2114163807203762E-3</v>
      </c>
      <c r="Q211" s="96">
        <f t="shared" si="27"/>
        <v>-6.7444666537691926E-3</v>
      </c>
    </row>
    <row r="212" spans="1:17">
      <c r="A212" s="174">
        <v>43864</v>
      </c>
      <c r="B212" s="96">
        <v>8.8928418488403663E-4</v>
      </c>
      <c r="C212" s="96">
        <v>5.9084366861662683E-3</v>
      </c>
      <c r="D212" s="96">
        <v>1.6317653879054127E-3</v>
      </c>
      <c r="E212" s="96">
        <v>-1.9975695423643695E-2</v>
      </c>
      <c r="F212" s="96">
        <v>-2.7072579217633744E-2</v>
      </c>
      <c r="G212" s="96">
        <v>0</v>
      </c>
      <c r="H212" s="96">
        <v>-7.5757938084576558E-3</v>
      </c>
      <c r="J212" s="174">
        <v>43864</v>
      </c>
      <c r="K212" s="96">
        <f t="shared" si="21"/>
        <v>1.8757347201157736E-3</v>
      </c>
      <c r="L212" s="96">
        <f t="shared" si="22"/>
        <v>6.0895082773250496E-3</v>
      </c>
      <c r="M212" s="96">
        <f t="shared" si="23"/>
        <v>2.3921543600171381E-3</v>
      </c>
      <c r="N212" s="96">
        <f t="shared" si="24"/>
        <v>-1.9671778123913238E-2</v>
      </c>
      <c r="O212" s="96">
        <f t="shared" si="25"/>
        <v>-2.4659533151948125E-2</v>
      </c>
      <c r="P212" s="96">
        <f t="shared" si="26"/>
        <v>-8.494732393349773E-4</v>
      </c>
      <c r="Q212" s="96">
        <f t="shared" si="27"/>
        <v>-6.8014280481995086E-3</v>
      </c>
    </row>
    <row r="213" spans="1:17">
      <c r="A213" s="174">
        <v>43865</v>
      </c>
      <c r="B213" s="96">
        <v>7.9681696491768813E-3</v>
      </c>
      <c r="C213" s="96">
        <v>2.0408871631207033E-2</v>
      </c>
      <c r="D213" s="96">
        <v>3.7971295962086643E-3</v>
      </c>
      <c r="E213" s="96">
        <v>2.3677118526829976E-2</v>
      </c>
      <c r="F213" s="96">
        <v>1.3086337242893918E-2</v>
      </c>
      <c r="G213" s="96">
        <v>1.2024192966801591E-2</v>
      </c>
      <c r="H213" s="96">
        <v>3.3648034118232729E-2</v>
      </c>
      <c r="J213" s="174">
        <v>43865</v>
      </c>
      <c r="K213" s="96">
        <f t="shared" si="21"/>
        <v>8.9546201844086185E-3</v>
      </c>
      <c r="L213" s="96">
        <f t="shared" si="22"/>
        <v>2.0589943222365816E-2</v>
      </c>
      <c r="M213" s="96">
        <f t="shared" si="23"/>
        <v>4.5575185683203899E-3</v>
      </c>
      <c r="N213" s="96">
        <f t="shared" si="24"/>
        <v>2.3981035826560432E-2</v>
      </c>
      <c r="O213" s="96">
        <f t="shared" si="25"/>
        <v>1.5499383308579539E-2</v>
      </c>
      <c r="P213" s="96">
        <f t="shared" si="26"/>
        <v>1.1174719727466614E-2</v>
      </c>
      <c r="Q213" s="96">
        <f t="shared" si="27"/>
        <v>3.4422399878490877E-2</v>
      </c>
    </row>
    <row r="214" spans="1:17">
      <c r="A214" s="174">
        <v>43866</v>
      </c>
      <c r="B214" s="96">
        <v>1.5748356968139112E-2</v>
      </c>
      <c r="C214" s="96">
        <v>2.1621630044953172E-3</v>
      </c>
      <c r="D214" s="96">
        <v>-1.6255760827007402E-3</v>
      </c>
      <c r="E214" s="96">
        <v>-2.4660924951934427E-3</v>
      </c>
      <c r="F214" s="96">
        <v>-1.0840109462583367E-3</v>
      </c>
      <c r="G214" s="96">
        <v>3.9761483796394168E-3</v>
      </c>
      <c r="H214" s="96">
        <v>1.0969031370573937E-2</v>
      </c>
      <c r="J214" s="174">
        <v>43866</v>
      </c>
      <c r="K214" s="96">
        <f t="shared" si="21"/>
        <v>1.6734807503370849E-2</v>
      </c>
      <c r="L214" s="96">
        <f t="shared" si="22"/>
        <v>2.3432345956540986E-3</v>
      </c>
      <c r="M214" s="96">
        <f t="shared" si="23"/>
        <v>-8.6518711058901473E-4</v>
      </c>
      <c r="N214" s="96">
        <f t="shared" si="24"/>
        <v>-2.1621751954629871E-3</v>
      </c>
      <c r="O214" s="96">
        <f t="shared" si="25"/>
        <v>1.3290351194272828E-3</v>
      </c>
      <c r="P214" s="96">
        <f t="shared" si="26"/>
        <v>3.1266751403044397E-3</v>
      </c>
      <c r="Q214" s="96">
        <f t="shared" si="27"/>
        <v>1.1743397130832084E-2</v>
      </c>
    </row>
    <row r="215" spans="1:17">
      <c r="A215" s="174">
        <v>43867</v>
      </c>
      <c r="B215" s="96">
        <v>-4.349724126465759E-3</v>
      </c>
      <c r="C215" s="96">
        <v>7.8881728490060796E-3</v>
      </c>
      <c r="D215" s="96">
        <v>3.7889084569583012E-3</v>
      </c>
      <c r="E215" s="96">
        <v>0</v>
      </c>
      <c r="F215" s="96">
        <v>1.5070252920998173E-2</v>
      </c>
      <c r="G215" s="96">
        <v>-3.9761483796392945E-3</v>
      </c>
      <c r="H215" s="96">
        <v>7.2464085207672533E-3</v>
      </c>
      <c r="J215" s="174">
        <v>43867</v>
      </c>
      <c r="K215" s="96">
        <f t="shared" si="21"/>
        <v>-3.3632735912340218E-3</v>
      </c>
      <c r="L215" s="96">
        <f t="shared" si="22"/>
        <v>8.0692444401648609E-3</v>
      </c>
      <c r="M215" s="96">
        <f t="shared" si="23"/>
        <v>4.5492974290700268E-3</v>
      </c>
      <c r="N215" s="96">
        <f t="shared" si="24"/>
        <v>3.039172997304558E-4</v>
      </c>
      <c r="O215" s="96">
        <f t="shared" si="25"/>
        <v>1.7483298986683792E-2</v>
      </c>
      <c r="P215" s="96">
        <f t="shared" si="26"/>
        <v>-4.8256216189742716E-3</v>
      </c>
      <c r="Q215" s="96">
        <f t="shared" si="27"/>
        <v>8.0207742810254005E-3</v>
      </c>
    </row>
    <row r="216" spans="1:17">
      <c r="A216" s="174">
        <v>43868</v>
      </c>
      <c r="B216" s="96">
        <v>5.2174031396881402E-3</v>
      </c>
      <c r="C216" s="96">
        <v>1.980262729617973E-2</v>
      </c>
      <c r="D216" s="96">
        <v>6.9986826720389202E-3</v>
      </c>
      <c r="E216" s="96">
        <v>-1.2422519998557096E-2</v>
      </c>
      <c r="F216" s="96">
        <v>-2.1390382487494184E-3</v>
      </c>
      <c r="G216" s="96">
        <v>-1.7415041601678123E-2</v>
      </c>
      <c r="H216" s="96">
        <v>0</v>
      </c>
      <c r="J216" s="174">
        <v>43868</v>
      </c>
      <c r="K216" s="96">
        <f t="shared" si="21"/>
        <v>6.2038536749198774E-3</v>
      </c>
      <c r="L216" s="96">
        <f t="shared" si="22"/>
        <v>1.9983698887338513E-2</v>
      </c>
      <c r="M216" s="96">
        <f t="shared" si="23"/>
        <v>7.7590716441506453E-3</v>
      </c>
      <c r="N216" s="96">
        <f t="shared" si="24"/>
        <v>-1.211860269882664E-2</v>
      </c>
      <c r="O216" s="96">
        <f t="shared" si="25"/>
        <v>2.7400781693620114E-4</v>
      </c>
      <c r="P216" s="96">
        <f t="shared" si="26"/>
        <v>-1.8264514841013102E-2</v>
      </c>
      <c r="Q216" s="96">
        <f t="shared" si="27"/>
        <v>7.7436576025814708E-4</v>
      </c>
    </row>
    <row r="217" spans="1:17">
      <c r="A217" s="174">
        <v>43871</v>
      </c>
      <c r="B217" s="96">
        <v>-1.0462170406983296E-2</v>
      </c>
      <c r="C217" s="96">
        <v>-3.3466989490237457E-2</v>
      </c>
      <c r="D217" s="96">
        <v>6.9500413409722727E-3</v>
      </c>
      <c r="E217" s="96">
        <v>0</v>
      </c>
      <c r="F217" s="96">
        <v>-2.3836448154511299E-2</v>
      </c>
      <c r="G217" s="96">
        <v>-1.0869672236903879E-2</v>
      </c>
      <c r="H217" s="96">
        <v>0</v>
      </c>
      <c r="J217" s="174">
        <v>43871</v>
      </c>
      <c r="K217" s="96">
        <f t="shared" si="21"/>
        <v>-9.4757198717515586E-3</v>
      </c>
      <c r="L217" s="96">
        <f t="shared" si="22"/>
        <v>-3.3285917899078678E-2</v>
      </c>
      <c r="M217" s="96">
        <f t="shared" si="23"/>
        <v>7.7104303130839979E-3</v>
      </c>
      <c r="N217" s="96">
        <f t="shared" si="24"/>
        <v>3.039172997304558E-4</v>
      </c>
      <c r="O217" s="96">
        <f t="shared" si="25"/>
        <v>-2.1423402088825681E-2</v>
      </c>
      <c r="P217" s="96">
        <f t="shared" si="26"/>
        <v>-1.1719145476238856E-2</v>
      </c>
      <c r="Q217" s="96">
        <f t="shared" si="27"/>
        <v>7.7436576025814708E-4</v>
      </c>
    </row>
    <row r="218" spans="1:17">
      <c r="A218" s="174">
        <v>43872</v>
      </c>
      <c r="B218" s="96">
        <v>4.3725474126093357E-3</v>
      </c>
      <c r="C218" s="96">
        <v>4.3352669055394125E-3</v>
      </c>
      <c r="D218" s="96">
        <v>1.3756830709640783E-2</v>
      </c>
      <c r="E218" s="96">
        <v>-3.7570488777122881E-3</v>
      </c>
      <c r="F218" s="96">
        <v>-3.2948958968525379E-3</v>
      </c>
      <c r="G218" s="96">
        <v>1.2220111334775397E-2</v>
      </c>
      <c r="H218" s="96">
        <v>1.077209698191104E-2</v>
      </c>
      <c r="J218" s="174">
        <v>43872</v>
      </c>
      <c r="K218" s="96">
        <f t="shared" si="21"/>
        <v>5.3589979478410729E-3</v>
      </c>
      <c r="L218" s="96">
        <f t="shared" si="22"/>
        <v>4.5163384966981938E-3</v>
      </c>
      <c r="M218" s="96">
        <f t="shared" si="23"/>
        <v>1.4517219681752508E-2</v>
      </c>
      <c r="N218" s="96">
        <f t="shared" si="24"/>
        <v>-3.4531315779818324E-3</v>
      </c>
      <c r="O218" s="96">
        <f t="shared" si="25"/>
        <v>-8.8184983116691837E-4</v>
      </c>
      <c r="P218" s="96">
        <f t="shared" si="26"/>
        <v>1.137063809544042E-2</v>
      </c>
      <c r="Q218" s="96">
        <f t="shared" si="27"/>
        <v>1.1546462742169188E-2</v>
      </c>
    </row>
    <row r="219" spans="1:17">
      <c r="A219" s="174">
        <v>43873</v>
      </c>
      <c r="B219" s="96">
        <v>3.7675688830890057E-2</v>
      </c>
      <c r="C219" s="96">
        <v>-1.1602740752517085E-2</v>
      </c>
      <c r="D219" s="96">
        <v>-2.8245949223779081E-2</v>
      </c>
      <c r="E219" s="96">
        <v>0</v>
      </c>
      <c r="F219" s="96">
        <v>-6.6225407604934942E-3</v>
      </c>
      <c r="G219" s="96">
        <v>1.4735698653752965E-2</v>
      </c>
      <c r="H219" s="96">
        <v>-7.168489478612516E-3</v>
      </c>
      <c r="J219" s="174">
        <v>43873</v>
      </c>
      <c r="K219" s="96">
        <f t="shared" si="21"/>
        <v>3.8662139366121791E-2</v>
      </c>
      <c r="L219" s="96">
        <f t="shared" si="22"/>
        <v>-1.1421669161358304E-2</v>
      </c>
      <c r="M219" s="96">
        <f t="shared" si="23"/>
        <v>-2.7485560251667356E-2</v>
      </c>
      <c r="N219" s="96">
        <f t="shared" si="24"/>
        <v>3.039172997304558E-4</v>
      </c>
      <c r="O219" s="96">
        <f t="shared" si="25"/>
        <v>-4.2094946948078747E-3</v>
      </c>
      <c r="P219" s="96">
        <f t="shared" si="26"/>
        <v>1.3886225414417988E-2</v>
      </c>
      <c r="Q219" s="96">
        <f t="shared" si="27"/>
        <v>-6.3941237183543689E-3</v>
      </c>
    </row>
    <row r="220" spans="1:17">
      <c r="A220" s="174">
        <v>43874</v>
      </c>
      <c r="B220" s="96">
        <v>0</v>
      </c>
      <c r="C220" s="96">
        <v>1.0881500187533987E-2</v>
      </c>
      <c r="D220" s="96">
        <v>3.1917602968305162E-2</v>
      </c>
      <c r="E220" s="96">
        <v>2.8449661468083608E-2</v>
      </c>
      <c r="F220" s="96">
        <v>6.6225407604934569E-3</v>
      </c>
      <c r="G220" s="96">
        <v>-1.3387080782459296E-2</v>
      </c>
      <c r="H220" s="96">
        <v>7.168489478612497E-3</v>
      </c>
      <c r="J220" s="174">
        <v>43874</v>
      </c>
      <c r="K220" s="96">
        <f t="shared" si="21"/>
        <v>9.8645053523173701E-4</v>
      </c>
      <c r="L220" s="96">
        <f t="shared" si="22"/>
        <v>1.1062571778692768E-2</v>
      </c>
      <c r="M220" s="96">
        <f t="shared" si="23"/>
        <v>3.2677991940416887E-2</v>
      </c>
      <c r="N220" s="96">
        <f t="shared" si="24"/>
        <v>2.8753578767814064E-2</v>
      </c>
      <c r="O220" s="96">
        <f t="shared" si="25"/>
        <v>9.0355868261790765E-3</v>
      </c>
      <c r="P220" s="96">
        <f t="shared" si="26"/>
        <v>-1.4236554021794273E-2</v>
      </c>
      <c r="Q220" s="96">
        <f t="shared" si="27"/>
        <v>7.9428552388706442E-3</v>
      </c>
    </row>
    <row r="221" spans="1:17">
      <c r="A221" s="174">
        <v>43875</v>
      </c>
      <c r="B221" s="96">
        <v>6.7001925698195654E-3</v>
      </c>
      <c r="C221" s="96">
        <v>-4.3384015985980188E-3</v>
      </c>
      <c r="D221" s="96">
        <v>-2.1164811192043383E-2</v>
      </c>
      <c r="E221" s="96">
        <v>1.0915814876996187E-2</v>
      </c>
      <c r="F221" s="96">
        <v>-8.8398365691409516E-3</v>
      </c>
      <c r="G221" s="96">
        <v>1.4715984632513109E-2</v>
      </c>
      <c r="H221" s="96">
        <v>0</v>
      </c>
      <c r="J221" s="174">
        <v>43875</v>
      </c>
      <c r="K221" s="96">
        <f t="shared" si="21"/>
        <v>7.6866431050513027E-3</v>
      </c>
      <c r="L221" s="96">
        <f t="shared" si="22"/>
        <v>-4.1573300074392375E-3</v>
      </c>
      <c r="M221" s="96">
        <f t="shared" si="23"/>
        <v>-2.0404422219931658E-2</v>
      </c>
      <c r="N221" s="96">
        <f t="shared" si="24"/>
        <v>1.1219732176726643E-2</v>
      </c>
      <c r="O221" s="96">
        <f t="shared" si="25"/>
        <v>-6.426790503455332E-3</v>
      </c>
      <c r="P221" s="96">
        <f t="shared" si="26"/>
        <v>1.3866511393178132E-2</v>
      </c>
      <c r="Q221" s="96">
        <f t="shared" si="27"/>
        <v>7.7436576025814708E-4</v>
      </c>
    </row>
    <row r="222" spans="1:17">
      <c r="A222" s="174">
        <v>43878</v>
      </c>
      <c r="B222" s="96">
        <v>1.6680571006970134E-3</v>
      </c>
      <c r="C222" s="96">
        <v>0</v>
      </c>
      <c r="D222" s="96">
        <v>-2.6773777707164029E-3</v>
      </c>
      <c r="E222" s="96">
        <v>2.4096397201533296E-3</v>
      </c>
      <c r="F222" s="96">
        <v>1.1092624542857557E-3</v>
      </c>
      <c r="G222" s="96">
        <v>-5.3262442826740941E-3</v>
      </c>
      <c r="H222" s="96">
        <v>-1.8018505502678365E-2</v>
      </c>
      <c r="J222" s="174">
        <v>43878</v>
      </c>
      <c r="K222" s="96">
        <f t="shared" si="21"/>
        <v>2.6545076359287502E-3</v>
      </c>
      <c r="L222" s="96">
        <f t="shared" si="22"/>
        <v>1.8107159115878139E-4</v>
      </c>
      <c r="M222" s="96">
        <f t="shared" si="23"/>
        <v>-1.9169887986046773E-3</v>
      </c>
      <c r="N222" s="96">
        <f t="shared" si="24"/>
        <v>2.7135570198837853E-3</v>
      </c>
      <c r="O222" s="96">
        <f t="shared" si="25"/>
        <v>3.522308519971375E-3</v>
      </c>
      <c r="P222" s="96">
        <f t="shared" si="26"/>
        <v>-6.1757175220090712E-3</v>
      </c>
      <c r="Q222" s="96">
        <f t="shared" si="27"/>
        <v>-1.7244139742420218E-2</v>
      </c>
    </row>
    <row r="223" spans="1:17">
      <c r="A223" s="174">
        <v>43879</v>
      </c>
      <c r="B223" s="96">
        <v>-7.5282664207915245E-3</v>
      </c>
      <c r="C223" s="96">
        <v>0</v>
      </c>
      <c r="D223" s="96">
        <v>-3.7604127041321587E-3</v>
      </c>
      <c r="E223" s="96">
        <v>-7.2464085207673097E-3</v>
      </c>
      <c r="F223" s="96">
        <v>-8.9087448891095548E-3</v>
      </c>
      <c r="G223" s="96">
        <v>1.0624269920229204E-2</v>
      </c>
      <c r="H223" s="96">
        <v>7.2464085207672533E-3</v>
      </c>
      <c r="J223" s="174">
        <v>43879</v>
      </c>
      <c r="K223" s="96">
        <f t="shared" si="21"/>
        <v>-6.5418158855597873E-3</v>
      </c>
      <c r="L223" s="96">
        <f t="shared" si="22"/>
        <v>1.8107159115878139E-4</v>
      </c>
      <c r="M223" s="96">
        <f t="shared" si="23"/>
        <v>-3.0000237320204331E-3</v>
      </c>
      <c r="N223" s="96">
        <f t="shared" si="24"/>
        <v>-6.942491221036854E-3</v>
      </c>
      <c r="O223" s="96">
        <f t="shared" si="25"/>
        <v>-6.4956988234239352E-3</v>
      </c>
      <c r="P223" s="96">
        <f t="shared" si="26"/>
        <v>9.7747966808942269E-3</v>
      </c>
      <c r="Q223" s="96">
        <f t="shared" si="27"/>
        <v>8.0207742810254005E-3</v>
      </c>
    </row>
    <row r="224" spans="1:17">
      <c r="A224" s="174">
        <v>43880</v>
      </c>
      <c r="B224" s="96">
        <v>1.5000281259492598E-2</v>
      </c>
      <c r="C224" s="96">
        <v>2.2923639901936809E-2</v>
      </c>
      <c r="D224" s="96">
        <v>-4.3150013014132361E-3</v>
      </c>
      <c r="E224" s="96">
        <v>2.0396627907645654E-2</v>
      </c>
      <c r="F224" s="96">
        <v>-4.4843124473285759E-3</v>
      </c>
      <c r="G224" s="96">
        <v>-3.9708854294927317E-3</v>
      </c>
      <c r="H224" s="96">
        <v>-1.0889399799268319E-2</v>
      </c>
      <c r="J224" s="174">
        <v>43880</v>
      </c>
      <c r="K224" s="96">
        <f t="shared" si="21"/>
        <v>1.5986731794724336E-2</v>
      </c>
      <c r="L224" s="96">
        <f t="shared" si="22"/>
        <v>2.3104711493095592E-2</v>
      </c>
      <c r="M224" s="96">
        <f t="shared" si="23"/>
        <v>-3.5546123293015105E-3</v>
      </c>
      <c r="N224" s="96">
        <f t="shared" si="24"/>
        <v>2.070054520737611E-2</v>
      </c>
      <c r="O224" s="96">
        <f t="shared" si="25"/>
        <v>-2.0712663816429564E-3</v>
      </c>
      <c r="P224" s="96">
        <f t="shared" si="26"/>
        <v>-4.8203586688277088E-3</v>
      </c>
      <c r="Q224" s="96">
        <f t="shared" si="27"/>
        <v>-1.0115034039010172E-2</v>
      </c>
    </row>
    <row r="225" spans="1:17">
      <c r="A225" s="174">
        <v>43881</v>
      </c>
      <c r="B225" s="96">
        <v>1.6528929382995943E-3</v>
      </c>
      <c r="C225" s="96">
        <v>-7.0846620037342276E-4</v>
      </c>
      <c r="D225" s="96">
        <v>-2.9623669210225512E-2</v>
      </c>
      <c r="E225" s="96">
        <v>-2.3781224049673243E-3</v>
      </c>
      <c r="F225" s="96">
        <v>0</v>
      </c>
      <c r="G225" s="96">
        <v>1.709443335930004E-2</v>
      </c>
      <c r="H225" s="96">
        <v>0</v>
      </c>
      <c r="J225" s="174">
        <v>43881</v>
      </c>
      <c r="K225" s="96">
        <f t="shared" si="21"/>
        <v>2.6393434735313311E-3</v>
      </c>
      <c r="L225" s="96">
        <f t="shared" si="22"/>
        <v>-5.2739460921464134E-4</v>
      </c>
      <c r="M225" s="96">
        <f t="shared" si="23"/>
        <v>-2.8863280238113787E-2</v>
      </c>
      <c r="N225" s="96">
        <f t="shared" si="24"/>
        <v>-2.0742051052368687E-3</v>
      </c>
      <c r="O225" s="96">
        <f t="shared" si="25"/>
        <v>2.4130460656856196E-3</v>
      </c>
      <c r="P225" s="96">
        <f t="shared" si="26"/>
        <v>1.6244960119965061E-2</v>
      </c>
      <c r="Q225" s="96">
        <f t="shared" si="27"/>
        <v>7.7436576025814708E-4</v>
      </c>
    </row>
    <row r="226" spans="1:17">
      <c r="A226" s="174">
        <v>43882</v>
      </c>
      <c r="B226" s="96">
        <v>-1.3300279187481253E-2</v>
      </c>
      <c r="C226" s="96">
        <v>-1.4275759929371015E-2</v>
      </c>
      <c r="D226" s="96">
        <v>-3.4554556481185293E-2</v>
      </c>
      <c r="E226" s="96">
        <v>-2.2878782384930997E-2</v>
      </c>
      <c r="F226" s="96">
        <v>-2.618248594564376E-2</v>
      </c>
      <c r="G226" s="96">
        <v>-1.312354792980734E-2</v>
      </c>
      <c r="H226" s="96">
        <v>0</v>
      </c>
      <c r="J226" s="174">
        <v>43882</v>
      </c>
      <c r="K226" s="96">
        <f t="shared" si="21"/>
        <v>-1.2313828652249515E-2</v>
      </c>
      <c r="L226" s="96">
        <f t="shared" si="22"/>
        <v>-1.4094688338212234E-2</v>
      </c>
      <c r="M226" s="96">
        <f t="shared" si="23"/>
        <v>-3.3794167509073568E-2</v>
      </c>
      <c r="N226" s="96">
        <f t="shared" si="24"/>
        <v>-2.2574865085200541E-2</v>
      </c>
      <c r="O226" s="96">
        <f t="shared" si="25"/>
        <v>-2.3769439879958141E-2</v>
      </c>
      <c r="P226" s="96">
        <f t="shared" si="26"/>
        <v>-1.3973021169142317E-2</v>
      </c>
      <c r="Q226" s="96">
        <f t="shared" si="27"/>
        <v>7.7436576025814708E-4</v>
      </c>
    </row>
    <row r="227" spans="1:17">
      <c r="A227" s="174">
        <v>43885</v>
      </c>
      <c r="B227" s="96">
        <v>-8.6478996857650065E-2</v>
      </c>
      <c r="C227" s="96">
        <v>-4.4092373528331195E-2</v>
      </c>
      <c r="D227" s="96">
        <v>-0.10632159213737695</v>
      </c>
      <c r="E227" s="96">
        <v>-0.11747857530999151</v>
      </c>
      <c r="F227" s="96">
        <v>-0.10190628078973868</v>
      </c>
      <c r="G227" s="96">
        <v>-7.4006361626783923E-2</v>
      </c>
      <c r="H227" s="96">
        <v>-6.7950661908507667E-2</v>
      </c>
      <c r="J227" s="174">
        <v>43885</v>
      </c>
      <c r="K227" s="96">
        <f t="shared" si="21"/>
        <v>-8.5492546322418331E-2</v>
      </c>
      <c r="L227" s="96">
        <f t="shared" si="22"/>
        <v>-4.3911301937172416E-2</v>
      </c>
      <c r="M227" s="96">
        <f t="shared" si="23"/>
        <v>-0.10556120316526522</v>
      </c>
      <c r="N227" s="96">
        <f t="shared" si="24"/>
        <v>-0.11717465801026106</v>
      </c>
      <c r="O227" s="96">
        <f t="shared" si="25"/>
        <v>-9.9493234724053053E-2</v>
      </c>
      <c r="P227" s="96">
        <f t="shared" si="26"/>
        <v>-7.4855834866118895E-2</v>
      </c>
      <c r="Q227" s="96">
        <f t="shared" si="27"/>
        <v>-6.717629614824952E-2</v>
      </c>
    </row>
    <row r="228" spans="1:17">
      <c r="A228" s="174">
        <v>43886</v>
      </c>
      <c r="B228" s="96">
        <v>2.7892046531815384E-2</v>
      </c>
      <c r="C228" s="96">
        <v>2.155416033498601E-2</v>
      </c>
      <c r="D228" s="96">
        <v>5.0010420574661416E-2</v>
      </c>
      <c r="E228" s="96">
        <v>2.435844383204044E-2</v>
      </c>
      <c r="F228" s="96">
        <v>-2.3256862164267235E-2</v>
      </c>
      <c r="G228" s="96">
        <v>7.4006361626783854E-2</v>
      </c>
      <c r="H228" s="96">
        <v>-3.9138993211363287E-3</v>
      </c>
      <c r="J228" s="174">
        <v>43886</v>
      </c>
      <c r="K228" s="96">
        <f t="shared" si="21"/>
        <v>2.8878497067047121E-2</v>
      </c>
      <c r="L228" s="96">
        <f t="shared" si="22"/>
        <v>2.1735231926144793E-2</v>
      </c>
      <c r="M228" s="96">
        <f t="shared" si="23"/>
        <v>5.0770809546773141E-2</v>
      </c>
      <c r="N228" s="96">
        <f t="shared" si="24"/>
        <v>2.4662361131770897E-2</v>
      </c>
      <c r="O228" s="96">
        <f t="shared" si="25"/>
        <v>-2.0843816098581616E-2</v>
      </c>
      <c r="P228" s="96">
        <f t="shared" si="26"/>
        <v>7.3156888387448882E-2</v>
      </c>
      <c r="Q228" s="96">
        <f t="shared" si="27"/>
        <v>-3.1395335608781815E-3</v>
      </c>
    </row>
    <row r="229" spans="1:17">
      <c r="A229" s="174">
        <v>43887</v>
      </c>
      <c r="B229" s="96">
        <v>-1.3399039229248689E-2</v>
      </c>
      <c r="C229" s="96">
        <v>-1.4815085785140587E-2</v>
      </c>
      <c r="D229" s="96">
        <v>-5.1935348984245705E-2</v>
      </c>
      <c r="E229" s="96">
        <v>-2.1622464013165657E-2</v>
      </c>
      <c r="F229" s="96">
        <v>-4.0005334613699248E-2</v>
      </c>
      <c r="G229" s="96">
        <v>-4.1813238612652792E-2</v>
      </c>
      <c r="H229" s="96">
        <v>-2.7834798993443988E-2</v>
      </c>
      <c r="J229" s="174">
        <v>43887</v>
      </c>
      <c r="K229" s="96">
        <f t="shared" si="21"/>
        <v>-1.2412588694016952E-2</v>
      </c>
      <c r="L229" s="96">
        <f t="shared" si="22"/>
        <v>-1.4634014193981805E-2</v>
      </c>
      <c r="M229" s="96">
        <f t="shared" si="23"/>
        <v>-5.117496001213398E-2</v>
      </c>
      <c r="N229" s="96">
        <f t="shared" si="24"/>
        <v>-2.1318546713435201E-2</v>
      </c>
      <c r="O229" s="96">
        <f t="shared" si="25"/>
        <v>-3.7592288548013629E-2</v>
      </c>
      <c r="P229" s="96">
        <f t="shared" si="26"/>
        <v>-4.2662711851987771E-2</v>
      </c>
      <c r="Q229" s="96">
        <f t="shared" si="27"/>
        <v>-2.706043323318584E-2</v>
      </c>
    </row>
    <row r="230" spans="1:17">
      <c r="A230" s="174">
        <v>43888</v>
      </c>
      <c r="B230" s="96">
        <v>-5.546708151287251E-2</v>
      </c>
      <c r="C230" s="96">
        <v>-2.1116923440922808E-2</v>
      </c>
      <c r="D230" s="96">
        <v>-6.4324457131616303E-2</v>
      </c>
      <c r="E230" s="96">
        <v>-4.4700178917906938E-2</v>
      </c>
      <c r="F230" s="96">
        <v>-2.3400930164612473E-2</v>
      </c>
      <c r="G230" s="96">
        <v>-5.8131176562570872E-2</v>
      </c>
      <c r="H230" s="96">
        <v>-1.2170535620255179E-2</v>
      </c>
      <c r="J230" s="174">
        <v>43888</v>
      </c>
      <c r="K230" s="96">
        <f t="shared" si="21"/>
        <v>-5.4480630977640776E-2</v>
      </c>
      <c r="L230" s="96">
        <f t="shared" si="22"/>
        <v>-2.0935851849764025E-2</v>
      </c>
      <c r="M230" s="96">
        <f t="shared" si="23"/>
        <v>-6.3564068159504578E-2</v>
      </c>
      <c r="N230" s="96">
        <f t="shared" si="24"/>
        <v>-4.4396261618176482E-2</v>
      </c>
      <c r="O230" s="96">
        <f t="shared" si="25"/>
        <v>-2.0987884098926855E-2</v>
      </c>
      <c r="P230" s="96">
        <f t="shared" si="26"/>
        <v>-5.898064980190585E-2</v>
      </c>
      <c r="Q230" s="96">
        <f t="shared" si="27"/>
        <v>-1.1396169859997031E-2</v>
      </c>
    </row>
    <row r="231" spans="1:17">
      <c r="A231" s="174">
        <v>43889</v>
      </c>
      <c r="B231" s="96">
        <v>-8.1152321800226718E-2</v>
      </c>
      <c r="C231" s="96">
        <v>-2.3131332023418966E-2</v>
      </c>
      <c r="D231" s="96">
        <v>-2.6372104339195884E-2</v>
      </c>
      <c r="E231" s="96">
        <v>9.950330853168092E-3</v>
      </c>
      <c r="F231" s="96">
        <v>-0.11656511467068938</v>
      </c>
      <c r="G231" s="96">
        <v>-6.7950661908507667E-2</v>
      </c>
      <c r="H231" s="96">
        <v>-0.10309550902697412</v>
      </c>
      <c r="J231" s="174">
        <v>43889</v>
      </c>
      <c r="K231" s="96">
        <f t="shared" si="21"/>
        <v>-8.0165871264994984E-2</v>
      </c>
      <c r="L231" s="96">
        <f t="shared" si="22"/>
        <v>-2.2950260432260183E-2</v>
      </c>
      <c r="M231" s="96">
        <f t="shared" si="23"/>
        <v>-2.5611715367084158E-2</v>
      </c>
      <c r="N231" s="96">
        <f t="shared" si="24"/>
        <v>1.0254248152898549E-2</v>
      </c>
      <c r="O231" s="96">
        <f t="shared" si="25"/>
        <v>-0.11415206860500375</v>
      </c>
      <c r="P231" s="96">
        <f t="shared" si="26"/>
        <v>-6.8800135147842639E-2</v>
      </c>
      <c r="Q231" s="96">
        <f t="shared" si="27"/>
        <v>-0.10232114326671597</v>
      </c>
    </row>
    <row r="232" spans="1:17">
      <c r="A232" s="174">
        <v>43893</v>
      </c>
      <c r="B232" s="96">
        <v>3.7434821221133868E-2</v>
      </c>
      <c r="C232" s="96">
        <v>-1.5612805669524645E-3</v>
      </c>
      <c r="D232" s="96">
        <v>0.16075929504761455</v>
      </c>
      <c r="E232" s="96">
        <v>3.2013868245863962E-2</v>
      </c>
      <c r="F232" s="96">
        <v>3.9882586278319476E-2</v>
      </c>
      <c r="G232" s="96">
        <v>6.2094129795794741E-2</v>
      </c>
      <c r="H232" s="96">
        <v>2.2372297754532984E-2</v>
      </c>
      <c r="J232" s="174">
        <v>43893</v>
      </c>
      <c r="K232" s="96">
        <f t="shared" si="21"/>
        <v>3.8421271756365602E-2</v>
      </c>
      <c r="L232" s="96">
        <f t="shared" si="22"/>
        <v>-1.3802089757936832E-3</v>
      </c>
      <c r="M232" s="96">
        <f t="shared" si="23"/>
        <v>0.16151968401972627</v>
      </c>
      <c r="N232" s="96">
        <f t="shared" si="24"/>
        <v>3.2317785545594419E-2</v>
      </c>
      <c r="O232" s="96">
        <f t="shared" si="25"/>
        <v>4.2295632344005095E-2</v>
      </c>
      <c r="P232" s="96">
        <f t="shared" si="26"/>
        <v>6.1244656556459762E-2</v>
      </c>
      <c r="Q232" s="96">
        <f t="shared" si="27"/>
        <v>2.3146663514791131E-2</v>
      </c>
    </row>
    <row r="233" spans="1:17">
      <c r="A233" s="174">
        <v>43894</v>
      </c>
      <c r="B233" s="96">
        <v>2.2583188505119201E-2</v>
      </c>
      <c r="C233" s="96">
        <v>-3.9138993211363287E-3</v>
      </c>
      <c r="D233" s="96">
        <v>2.2499468937714318E-2</v>
      </c>
      <c r="E233" s="96">
        <v>-4.118056608917486E-3</v>
      </c>
      <c r="F233" s="96">
        <v>-4.5214847188460071E-3</v>
      </c>
      <c r="G233" s="96">
        <v>-8.8496152769824993E-3</v>
      </c>
      <c r="H233" s="96">
        <v>3.9050514871873034E-2</v>
      </c>
      <c r="J233" s="174">
        <v>43894</v>
      </c>
      <c r="K233" s="96">
        <f t="shared" si="21"/>
        <v>2.3569639040350938E-2</v>
      </c>
      <c r="L233" s="96">
        <f t="shared" si="22"/>
        <v>-3.7328277299775474E-3</v>
      </c>
      <c r="M233" s="96">
        <f t="shared" si="23"/>
        <v>2.3259857909826043E-2</v>
      </c>
      <c r="N233" s="96">
        <f t="shared" si="24"/>
        <v>-3.8141393091870304E-3</v>
      </c>
      <c r="O233" s="96">
        <f t="shared" si="25"/>
        <v>-2.1084386531603876E-3</v>
      </c>
      <c r="P233" s="96">
        <f t="shared" si="26"/>
        <v>-9.6990885163174764E-3</v>
      </c>
      <c r="Q233" s="96">
        <f t="shared" si="27"/>
        <v>3.9824880632131181E-2</v>
      </c>
    </row>
    <row r="234" spans="1:17">
      <c r="A234" s="174">
        <v>43895</v>
      </c>
      <c r="B234" s="96">
        <v>-1.0737048000956794E-2</v>
      </c>
      <c r="C234" s="96">
        <v>-3.2685253127193462E-2</v>
      </c>
      <c r="D234" s="96">
        <v>-0.10094664376379356</v>
      </c>
      <c r="E234" s="96">
        <v>-8.1648765148507538E-2</v>
      </c>
      <c r="F234" s="96">
        <v>-1.5220994010355355E-2</v>
      </c>
      <c r="G234" s="96">
        <v>-3.7740327982847086E-2</v>
      </c>
      <c r="H234" s="96">
        <v>-3.9050514871873027E-2</v>
      </c>
      <c r="J234" s="174">
        <v>43895</v>
      </c>
      <c r="K234" s="96">
        <f t="shared" si="21"/>
        <v>-9.7505974657250572E-3</v>
      </c>
      <c r="L234" s="96">
        <f t="shared" si="22"/>
        <v>-3.2504181536034682E-2</v>
      </c>
      <c r="M234" s="96">
        <f t="shared" si="23"/>
        <v>-0.10018625479168183</v>
      </c>
      <c r="N234" s="96">
        <f t="shared" si="24"/>
        <v>-8.1344847848777088E-2</v>
      </c>
      <c r="O234" s="96">
        <f t="shared" si="25"/>
        <v>-1.2807947944669735E-2</v>
      </c>
      <c r="P234" s="96">
        <f t="shared" si="26"/>
        <v>-3.8589801222182064E-2</v>
      </c>
      <c r="Q234" s="96">
        <f t="shared" si="27"/>
        <v>-3.8276149111614879E-2</v>
      </c>
    </row>
    <row r="235" spans="1:17">
      <c r="A235" s="174">
        <v>43896</v>
      </c>
      <c r="B235" s="96">
        <v>-5.9123051014113331E-2</v>
      </c>
      <c r="C235" s="96">
        <v>-3.7148307774551262E-2</v>
      </c>
      <c r="D235" s="96">
        <v>-5.2521209133553758E-2</v>
      </c>
      <c r="E235" s="96">
        <v>-5.2079149044889569E-2</v>
      </c>
      <c r="F235" s="96">
        <v>-6.658560475929598E-2</v>
      </c>
      <c r="G235" s="96">
        <v>-3.9220713153281267E-2</v>
      </c>
      <c r="H235" s="96">
        <v>1.7544309650909525E-2</v>
      </c>
      <c r="J235" s="174">
        <v>43896</v>
      </c>
      <c r="K235" s="96">
        <f t="shared" si="21"/>
        <v>-5.8136600478881598E-2</v>
      </c>
      <c r="L235" s="96">
        <f t="shared" si="22"/>
        <v>-3.6967236183392482E-2</v>
      </c>
      <c r="M235" s="96">
        <f t="shared" si="23"/>
        <v>-5.1760820161442032E-2</v>
      </c>
      <c r="N235" s="96">
        <f t="shared" si="24"/>
        <v>-5.1775231745159113E-2</v>
      </c>
      <c r="O235" s="96">
        <f t="shared" si="25"/>
        <v>-6.4172558693610354E-2</v>
      </c>
      <c r="P235" s="96">
        <f t="shared" si="26"/>
        <v>-4.0070186392616246E-2</v>
      </c>
      <c r="Q235" s="96">
        <f t="shared" si="27"/>
        <v>1.8318675411167672E-2</v>
      </c>
    </row>
    <row r="236" spans="1:17">
      <c r="A236" s="174">
        <v>43899</v>
      </c>
      <c r="B236" s="96">
        <v>-0.11052159296105805</v>
      </c>
      <c r="C236" s="96">
        <v>-5.5329582052261392E-2</v>
      </c>
      <c r="D236" s="96">
        <v>-3.0494393354066979E-2</v>
      </c>
      <c r="E236" s="96">
        <v>-0.14165051706302692</v>
      </c>
      <c r="F236" s="96">
        <v>-0.22007449519679184</v>
      </c>
      <c r="G236" s="96">
        <v>-0.12783337150988489</v>
      </c>
      <c r="H236" s="96">
        <v>-0.10536051565782628</v>
      </c>
      <c r="J236" s="174">
        <v>43899</v>
      </c>
      <c r="K236" s="96">
        <f t="shared" si="21"/>
        <v>-0.10953514242582632</v>
      </c>
      <c r="L236" s="96">
        <f t="shared" si="22"/>
        <v>-5.5148510461102612E-2</v>
      </c>
      <c r="M236" s="96">
        <f t="shared" si="23"/>
        <v>-2.9734004381955254E-2</v>
      </c>
      <c r="N236" s="96">
        <f t="shared" si="24"/>
        <v>-0.14134659976329647</v>
      </c>
      <c r="O236" s="96">
        <f t="shared" si="25"/>
        <v>-0.21766144913110622</v>
      </c>
      <c r="P236" s="96">
        <f t="shared" si="26"/>
        <v>-0.12868284474921987</v>
      </c>
      <c r="Q236" s="96">
        <f t="shared" si="27"/>
        <v>-0.10458614989756813</v>
      </c>
    </row>
    <row r="237" spans="1:17">
      <c r="A237" s="174">
        <v>43900</v>
      </c>
      <c r="B237" s="96">
        <v>1.5575740326557778E-2</v>
      </c>
      <c r="C237" s="96">
        <v>1.3245226750020723E-2</v>
      </c>
      <c r="D237" s="96">
        <v>6.2733585691255353E-2</v>
      </c>
      <c r="E237" s="96">
        <v>0.14479023706769459</v>
      </c>
      <c r="F237" s="96">
        <v>7.0013800621058664E-2</v>
      </c>
      <c r="G237" s="96">
        <v>7.020425867324856E-2</v>
      </c>
      <c r="H237" s="96">
        <v>-9.7088141269608269E-3</v>
      </c>
      <c r="J237" s="174">
        <v>43900</v>
      </c>
      <c r="K237" s="96">
        <f t="shared" si="21"/>
        <v>1.6562190861789516E-2</v>
      </c>
      <c r="L237" s="96">
        <f t="shared" si="22"/>
        <v>1.3426298341179504E-2</v>
      </c>
      <c r="M237" s="96">
        <f t="shared" si="23"/>
        <v>6.3493974663367078E-2</v>
      </c>
      <c r="N237" s="96">
        <f t="shared" si="24"/>
        <v>0.14509415436742504</v>
      </c>
      <c r="O237" s="96">
        <f t="shared" si="25"/>
        <v>7.2426846686744289E-2</v>
      </c>
      <c r="P237" s="96">
        <f t="shared" si="26"/>
        <v>6.9354785433913588E-2</v>
      </c>
      <c r="Q237" s="96">
        <f t="shared" si="27"/>
        <v>-8.9344483667026797E-3</v>
      </c>
    </row>
    <row r="238" spans="1:17">
      <c r="A238" s="174">
        <v>43901</v>
      </c>
      <c r="B238" s="96">
        <v>-1.7187056651314988E-3</v>
      </c>
      <c r="C238" s="96">
        <v>-1.859283307661597E-2</v>
      </c>
      <c r="D238" s="96">
        <v>-8.6951293473524427E-2</v>
      </c>
      <c r="E238" s="96">
        <v>-8.672643611293343E-2</v>
      </c>
      <c r="F238" s="96">
        <v>-5.6822335866696216E-2</v>
      </c>
      <c r="G238" s="96">
        <v>-5.2185753170570309E-2</v>
      </c>
      <c r="H238" s="96">
        <v>-9.8040000966208556E-3</v>
      </c>
      <c r="J238" s="174">
        <v>43901</v>
      </c>
      <c r="K238" s="96">
        <f t="shared" si="21"/>
        <v>-7.3225512989976175E-4</v>
      </c>
      <c r="L238" s="96">
        <f t="shared" si="22"/>
        <v>-1.8411761485457187E-2</v>
      </c>
      <c r="M238" s="96">
        <f t="shared" si="23"/>
        <v>-8.6190904501412702E-2</v>
      </c>
      <c r="N238" s="96">
        <f t="shared" si="24"/>
        <v>-8.6422518813202981E-2</v>
      </c>
      <c r="O238" s="96">
        <f t="shared" si="25"/>
        <v>-5.4409289801010598E-2</v>
      </c>
      <c r="P238" s="96">
        <f t="shared" si="26"/>
        <v>-5.3035226409905288E-2</v>
      </c>
      <c r="Q238" s="96">
        <f t="shared" si="27"/>
        <v>-9.0296343363627084E-3</v>
      </c>
    </row>
    <row r="239" spans="1:17">
      <c r="A239" s="174">
        <v>43902</v>
      </c>
      <c r="B239" s="96">
        <v>-0.11921755031925256</v>
      </c>
      <c r="C239" s="96">
        <v>-0.11343592966337167</v>
      </c>
      <c r="D239" s="96">
        <v>-8.8126240862194685E-2</v>
      </c>
      <c r="E239" s="96">
        <v>-9.3090423066011854E-2</v>
      </c>
      <c r="F239" s="96">
        <v>1.0075567602997706E-3</v>
      </c>
      <c r="G239" s="96">
        <v>-1.801850550267825E-2</v>
      </c>
      <c r="H239" s="96">
        <v>-1.4888612493750637E-2</v>
      </c>
      <c r="J239" s="174">
        <v>43902</v>
      </c>
      <c r="K239" s="96">
        <f t="shared" si="21"/>
        <v>-0.11823109978402083</v>
      </c>
      <c r="L239" s="96">
        <f t="shared" si="22"/>
        <v>-0.11325485807221289</v>
      </c>
      <c r="M239" s="96">
        <f t="shared" si="23"/>
        <v>-8.736585189008296E-2</v>
      </c>
      <c r="N239" s="96">
        <f t="shared" si="24"/>
        <v>-9.2786505766281405E-2</v>
      </c>
      <c r="O239" s="96">
        <f t="shared" si="25"/>
        <v>3.4206028259853903E-3</v>
      </c>
      <c r="P239" s="96">
        <f t="shared" si="26"/>
        <v>-1.8867978742013229E-2</v>
      </c>
      <c r="Q239" s="96">
        <f t="shared" si="27"/>
        <v>-1.4114246733492489E-2</v>
      </c>
    </row>
    <row r="240" spans="1:17">
      <c r="A240" s="174">
        <v>43903</v>
      </c>
      <c r="B240" s="96">
        <v>-2.1548336206202948E-2</v>
      </c>
      <c r="C240" s="96">
        <v>3.3467690471084929E-2</v>
      </c>
      <c r="D240" s="96">
        <v>-6.3191363514785463E-3</v>
      </c>
      <c r="E240" s="96">
        <v>1.3047715392475675E-2</v>
      </c>
      <c r="F240" s="96">
        <v>-2.2404195753847531E-2</v>
      </c>
      <c r="G240" s="96">
        <v>1.6231194928582552E-2</v>
      </c>
      <c r="H240" s="96">
        <v>0</v>
      </c>
      <c r="J240" s="174">
        <v>43903</v>
      </c>
      <c r="K240" s="96">
        <f t="shared" si="21"/>
        <v>-2.0561885670971211E-2</v>
      </c>
      <c r="L240" s="96">
        <f t="shared" si="22"/>
        <v>3.3648762062243709E-2</v>
      </c>
      <c r="M240" s="96">
        <f t="shared" si="23"/>
        <v>-5.5587473793668211E-3</v>
      </c>
      <c r="N240" s="96">
        <f t="shared" si="24"/>
        <v>1.3351632692206131E-2</v>
      </c>
      <c r="O240" s="96">
        <f t="shared" si="25"/>
        <v>-1.9991149688161913E-2</v>
      </c>
      <c r="P240" s="96">
        <f t="shared" si="26"/>
        <v>1.5381721689247575E-2</v>
      </c>
      <c r="Q240" s="96">
        <f t="shared" si="27"/>
        <v>7.7436576025814708E-4</v>
      </c>
    </row>
    <row r="241" spans="1:17">
      <c r="A241" s="174">
        <v>43906</v>
      </c>
      <c r="B241" s="96">
        <v>-0.25670374780651151</v>
      </c>
      <c r="C241" s="96">
        <v>-0.10988833710608634</v>
      </c>
      <c r="D241" s="96">
        <v>-0.10166950171261722</v>
      </c>
      <c r="E241" s="96">
        <v>-0.19237189264745613</v>
      </c>
      <c r="F241" s="96">
        <v>-8.4860335711315654E-2</v>
      </c>
      <c r="G241" s="96">
        <v>-5.7053189448837603E-2</v>
      </c>
      <c r="H241" s="96">
        <v>-5.1293294387550578E-2</v>
      </c>
      <c r="J241" s="174">
        <v>43906</v>
      </c>
      <c r="K241" s="96">
        <f t="shared" si="21"/>
        <v>-0.25571729727127979</v>
      </c>
      <c r="L241" s="96">
        <f t="shared" si="22"/>
        <v>-0.10970726551492756</v>
      </c>
      <c r="M241" s="96">
        <f t="shared" si="23"/>
        <v>-0.1009091127405055</v>
      </c>
      <c r="N241" s="96">
        <f t="shared" si="24"/>
        <v>-0.19206797534772568</v>
      </c>
      <c r="O241" s="96">
        <f t="shared" si="25"/>
        <v>-8.2447289645630029E-2</v>
      </c>
      <c r="P241" s="96">
        <f t="shared" si="26"/>
        <v>-5.7902662688172582E-2</v>
      </c>
      <c r="Q241" s="96">
        <f t="shared" si="27"/>
        <v>-5.0518928627292431E-2</v>
      </c>
    </row>
    <row r="242" spans="1:17">
      <c r="A242" s="174">
        <v>43907</v>
      </c>
      <c r="B242" s="96">
        <v>3.1908668453828774E-2</v>
      </c>
      <c r="C242" s="96">
        <v>9.1423062152902346E-3</v>
      </c>
      <c r="D242" s="96">
        <v>-1.9486887673496735E-2</v>
      </c>
      <c r="E242" s="96">
        <v>9.2142224571973436E-2</v>
      </c>
      <c r="F242" s="96">
        <v>-2.2446698538238618E-3</v>
      </c>
      <c r="G242" s="96">
        <v>0.10251556352559499</v>
      </c>
      <c r="H242" s="96">
        <v>-2.6668247082161294E-2</v>
      </c>
      <c r="J242" s="174">
        <v>43907</v>
      </c>
      <c r="K242" s="96">
        <f t="shared" si="21"/>
        <v>3.2895118989060508E-2</v>
      </c>
      <c r="L242" s="96">
        <f t="shared" si="22"/>
        <v>9.323377806449016E-3</v>
      </c>
      <c r="M242" s="96">
        <f t="shared" si="23"/>
        <v>-1.872649870138501E-2</v>
      </c>
      <c r="N242" s="96">
        <f t="shared" si="24"/>
        <v>9.2446141871703885E-2</v>
      </c>
      <c r="O242" s="96">
        <f t="shared" si="25"/>
        <v>1.6837621186175777E-4</v>
      </c>
      <c r="P242" s="96">
        <f t="shared" si="26"/>
        <v>0.10166609028626002</v>
      </c>
      <c r="Q242" s="96">
        <f t="shared" si="27"/>
        <v>-2.5893881321903147E-2</v>
      </c>
    </row>
    <row r="243" spans="1:17">
      <c r="A243" s="174">
        <v>43908</v>
      </c>
      <c r="B243" s="96">
        <v>-2.7651531330510008E-2</v>
      </c>
      <c r="C243" s="96">
        <v>7.2270862022831797E-2</v>
      </c>
      <c r="D243" s="96">
        <v>8.9405459688071415E-4</v>
      </c>
      <c r="E243" s="96">
        <v>3.0659196218349827E-3</v>
      </c>
      <c r="F243" s="96">
        <v>4.9325066562501491E-2</v>
      </c>
      <c r="G243" s="96">
        <v>4.0206420478040607E-2</v>
      </c>
      <c r="H243" s="96">
        <v>2.139118998131756E-2</v>
      </c>
      <c r="J243" s="174">
        <v>43908</v>
      </c>
      <c r="K243" s="96">
        <f t="shared" si="21"/>
        <v>-2.6665080795278271E-2</v>
      </c>
      <c r="L243" s="96">
        <f t="shared" si="22"/>
        <v>7.2451933613990577E-2</v>
      </c>
      <c r="M243" s="96">
        <f t="shared" si="23"/>
        <v>1.6544435689924398E-3</v>
      </c>
      <c r="N243" s="96">
        <f t="shared" si="24"/>
        <v>3.3698369215654383E-3</v>
      </c>
      <c r="O243" s="96">
        <f t="shared" si="25"/>
        <v>5.1738112628187109E-2</v>
      </c>
      <c r="P243" s="96">
        <f t="shared" si="26"/>
        <v>3.9356947238705628E-2</v>
      </c>
      <c r="Q243" s="96">
        <f t="shared" si="27"/>
        <v>2.2165555741575707E-2</v>
      </c>
    </row>
    <row r="244" spans="1:17">
      <c r="A244" s="174">
        <v>43909</v>
      </c>
      <c r="B244" s="96">
        <v>5.5363166038848069E-2</v>
      </c>
      <c r="C244" s="96">
        <v>0.12703624113686673</v>
      </c>
      <c r="D244" s="96">
        <v>5.9835791610665046E-2</v>
      </c>
      <c r="E244" s="96">
        <v>-1.4388737452099669E-2</v>
      </c>
      <c r="F244" s="96">
        <v>0.14970997120519366</v>
      </c>
      <c r="G244" s="96">
        <v>0.12051602451245237</v>
      </c>
      <c r="H244" s="96">
        <v>4.1456713678346128E-2</v>
      </c>
      <c r="J244" s="174">
        <v>43909</v>
      </c>
      <c r="K244" s="96">
        <f t="shared" si="21"/>
        <v>5.6349616574079803E-2</v>
      </c>
      <c r="L244" s="96">
        <f t="shared" si="22"/>
        <v>0.12721731272802553</v>
      </c>
      <c r="M244" s="96">
        <f t="shared" si="23"/>
        <v>6.0596180582776771E-2</v>
      </c>
      <c r="N244" s="96">
        <f t="shared" si="24"/>
        <v>-1.4084820152369212E-2</v>
      </c>
      <c r="O244" s="96">
        <f t="shared" si="25"/>
        <v>0.15212301727087929</v>
      </c>
      <c r="P244" s="96">
        <f t="shared" si="26"/>
        <v>0.1196665512731174</v>
      </c>
      <c r="Q244" s="96">
        <f t="shared" si="27"/>
        <v>4.2231079438604276E-2</v>
      </c>
    </row>
    <row r="245" spans="1:17">
      <c r="A245" s="174">
        <v>43910</v>
      </c>
      <c r="B245" s="96">
        <v>5.6264838586137844E-2</v>
      </c>
      <c r="C245" s="96">
        <v>3.2789822822990755E-2</v>
      </c>
      <c r="D245" s="96">
        <v>-4.6520015634892928E-2</v>
      </c>
      <c r="E245" s="96">
        <v>5.0464793925909121E-2</v>
      </c>
      <c r="F245" s="96">
        <v>5.3776396780804203E-2</v>
      </c>
      <c r="G245" s="96">
        <v>-1.1713164663653203E-2</v>
      </c>
      <c r="H245" s="96">
        <v>5.4334350963329517E-2</v>
      </c>
      <c r="J245" s="174">
        <v>43910</v>
      </c>
      <c r="K245" s="96">
        <f t="shared" si="21"/>
        <v>5.7251289121369578E-2</v>
      </c>
      <c r="L245" s="96">
        <f t="shared" si="22"/>
        <v>3.2970894414149535E-2</v>
      </c>
      <c r="M245" s="96">
        <f t="shared" si="23"/>
        <v>-4.5759626662781203E-2</v>
      </c>
      <c r="N245" s="96">
        <f t="shared" si="24"/>
        <v>5.0768711225639578E-2</v>
      </c>
      <c r="O245" s="96">
        <f t="shared" si="25"/>
        <v>5.6189442846489822E-2</v>
      </c>
      <c r="P245" s="96">
        <f t="shared" si="26"/>
        <v>-1.2562637902988181E-2</v>
      </c>
      <c r="Q245" s="96">
        <f t="shared" si="27"/>
        <v>5.5108716723587664E-2</v>
      </c>
    </row>
    <row r="246" spans="1:17">
      <c r="A246" s="174">
        <v>43913</v>
      </c>
      <c r="B246" s="96">
        <v>-7.5745974157960277E-2</v>
      </c>
      <c r="C246" s="96">
        <v>-3.2789822822990838E-2</v>
      </c>
      <c r="D246" s="96">
        <v>-0.13176927763112334</v>
      </c>
      <c r="E246" s="96">
        <v>-5.6695343676545294E-2</v>
      </c>
      <c r="F246" s="96">
        <v>-7.800871016857211E-2</v>
      </c>
      <c r="G246" s="96">
        <v>-5.9152951204978488E-2</v>
      </c>
      <c r="H246" s="96">
        <v>-7.7441925973479139E-2</v>
      </c>
      <c r="J246" s="174">
        <v>43913</v>
      </c>
      <c r="K246" s="96">
        <f t="shared" si="21"/>
        <v>-7.4759523622728544E-2</v>
      </c>
      <c r="L246" s="96">
        <f t="shared" si="22"/>
        <v>-3.2608751231832059E-2</v>
      </c>
      <c r="M246" s="96">
        <f t="shared" si="23"/>
        <v>-0.13100888865901161</v>
      </c>
      <c r="N246" s="96">
        <f t="shared" si="24"/>
        <v>-5.6391426376814838E-2</v>
      </c>
      <c r="O246" s="96">
        <f t="shared" si="25"/>
        <v>-7.5595664102886484E-2</v>
      </c>
      <c r="P246" s="96">
        <f t="shared" si="26"/>
        <v>-6.0002424444313467E-2</v>
      </c>
      <c r="Q246" s="96">
        <f t="shared" si="27"/>
        <v>-7.6667560213220992E-2</v>
      </c>
    </row>
    <row r="247" spans="1:17">
      <c r="A247" s="174">
        <v>43914</v>
      </c>
      <c r="B247" s="96">
        <v>7.4985806884562814E-2</v>
      </c>
      <c r="C247" s="96">
        <v>4.0400853221126694E-2</v>
      </c>
      <c r="D247" s="96">
        <v>0.13967445713823656</v>
      </c>
      <c r="E247" s="96">
        <v>0.11592946700706044</v>
      </c>
      <c r="F247" s="96">
        <v>3.7041271680349076E-2</v>
      </c>
      <c r="G247" s="96">
        <v>3.8318864302136602E-2</v>
      </c>
      <c r="H247" s="96">
        <v>8.7011376989629699E-2</v>
      </c>
      <c r="J247" s="174">
        <v>43914</v>
      </c>
      <c r="K247" s="96">
        <f t="shared" si="21"/>
        <v>7.5972257419794548E-2</v>
      </c>
      <c r="L247" s="96">
        <f t="shared" si="22"/>
        <v>4.0581924812285473E-2</v>
      </c>
      <c r="M247" s="96">
        <f t="shared" si="23"/>
        <v>0.14043484611034829</v>
      </c>
      <c r="N247" s="96">
        <f t="shared" si="24"/>
        <v>0.11623338430679089</v>
      </c>
      <c r="O247" s="96">
        <f t="shared" si="25"/>
        <v>3.9454317746034695E-2</v>
      </c>
      <c r="P247" s="96">
        <f t="shared" si="26"/>
        <v>3.7469391062801623E-2</v>
      </c>
      <c r="Q247" s="96">
        <f t="shared" si="27"/>
        <v>8.7785742749887846E-2</v>
      </c>
    </row>
    <row r="248" spans="1:17">
      <c r="A248" s="174">
        <v>43916</v>
      </c>
      <c r="B248" s="96">
        <v>7.3292865465473062E-2</v>
      </c>
      <c r="C248" s="96">
        <v>1.0892441166423754E-2</v>
      </c>
      <c r="D248" s="96">
        <v>8.4675609504313992E-2</v>
      </c>
      <c r="E248" s="96">
        <v>5.5920789919598687E-2</v>
      </c>
      <c r="F248" s="96">
        <v>-5.4168236473149695E-2</v>
      </c>
      <c r="G248" s="96">
        <v>1.1958288988873576E-2</v>
      </c>
      <c r="H248" s="96">
        <v>9.4787439545437387E-3</v>
      </c>
      <c r="J248" s="174">
        <v>43916</v>
      </c>
      <c r="K248" s="96">
        <f t="shared" si="21"/>
        <v>7.4279316000704795E-2</v>
      </c>
      <c r="L248" s="96">
        <f t="shared" si="22"/>
        <v>1.1073512757582536E-2</v>
      </c>
      <c r="M248" s="96">
        <f t="shared" si="23"/>
        <v>8.5435998476425717E-2</v>
      </c>
      <c r="N248" s="96">
        <f t="shared" si="24"/>
        <v>5.6224707219329144E-2</v>
      </c>
      <c r="O248" s="96">
        <f t="shared" si="25"/>
        <v>-5.1755190407464076E-2</v>
      </c>
      <c r="P248" s="96">
        <f t="shared" si="26"/>
        <v>1.1108815749538599E-2</v>
      </c>
      <c r="Q248" s="96">
        <f t="shared" si="27"/>
        <v>1.0253109714801886E-2</v>
      </c>
    </row>
    <row r="249" spans="1:17">
      <c r="A249" s="174">
        <v>43917</v>
      </c>
      <c r="B249" s="96">
        <v>-2.070763032748954E-2</v>
      </c>
      <c r="C249" s="96">
        <v>-7.3467151881872514E-2</v>
      </c>
      <c r="D249" s="96">
        <v>-2.7711634708337929E-2</v>
      </c>
      <c r="E249" s="96">
        <v>-2.1277398447284965E-2</v>
      </c>
      <c r="F249" s="96">
        <v>5.7416425676751828E-3</v>
      </c>
      <c r="G249" s="96">
        <v>-2.9761926730461127E-3</v>
      </c>
      <c r="H249" s="96">
        <v>-3.8466280827796052E-2</v>
      </c>
      <c r="J249" s="174">
        <v>43917</v>
      </c>
      <c r="K249" s="96">
        <f t="shared" si="21"/>
        <v>-1.9721179792257803E-2</v>
      </c>
      <c r="L249" s="96">
        <f t="shared" si="22"/>
        <v>-7.3286080290713734E-2</v>
      </c>
      <c r="M249" s="96">
        <f t="shared" si="23"/>
        <v>-2.6951245736226204E-2</v>
      </c>
      <c r="N249" s="96">
        <f t="shared" si="24"/>
        <v>-2.0973481147554509E-2</v>
      </c>
      <c r="O249" s="96">
        <f t="shared" si="25"/>
        <v>8.1546886333608015E-3</v>
      </c>
      <c r="P249" s="96">
        <f t="shared" si="26"/>
        <v>-3.8256659123810897E-3</v>
      </c>
      <c r="Q249" s="96">
        <f t="shared" si="27"/>
        <v>-3.7691915067537905E-2</v>
      </c>
    </row>
    <row r="250" spans="1:17">
      <c r="A250" s="177" t="s">
        <v>175</v>
      </c>
      <c r="B250" s="176">
        <f t="shared" ref="B250:H250" si="28">AVERAGE(B3:B249)</f>
        <v>-9.8645053523173701E-4</v>
      </c>
      <c r="C250" s="176">
        <f t="shared" si="28"/>
        <v>-1.8107159115878139E-4</v>
      </c>
      <c r="D250" s="176">
        <f t="shared" si="28"/>
        <v>-7.6038897211172551E-4</v>
      </c>
      <c r="E250" s="176">
        <f t="shared" si="28"/>
        <v>-3.039172997304558E-4</v>
      </c>
      <c r="F250" s="176">
        <f t="shared" si="28"/>
        <v>-2.4130460656856196E-3</v>
      </c>
      <c r="G250" s="176">
        <f t="shared" si="28"/>
        <v>8.494732393349773E-4</v>
      </c>
      <c r="H250" s="176">
        <f t="shared" si="28"/>
        <v>-7.7436576025814708E-4</v>
      </c>
    </row>
  </sheetData>
  <mergeCells count="3">
    <mergeCell ref="A1:H1"/>
    <mergeCell ref="J1:Q1"/>
    <mergeCell ref="S13:Z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03877-2435-4BC4-9B1F-4530CA561DFD}">
  <sheetPr>
    <tabColor theme="9" tint="0.59999389629810485"/>
  </sheetPr>
  <dimension ref="A1:BO250"/>
  <sheetViews>
    <sheetView topLeftCell="O1" workbookViewId="0">
      <selection activeCell="V2" sqref="V2:AA11"/>
    </sheetView>
  </sheetViews>
  <sheetFormatPr baseColWidth="10" defaultColWidth="8.83203125" defaultRowHeight="15"/>
  <cols>
    <col min="1" max="1" width="10.5" bestFit="1" customWidth="1"/>
    <col min="15" max="15" width="11.5" bestFit="1" customWidth="1"/>
    <col min="18" max="18" width="15.5" bestFit="1" customWidth="1"/>
    <col min="22" max="22" width="8.33203125" customWidth="1"/>
    <col min="23" max="23" width="10.5" customWidth="1"/>
    <col min="24" max="24" width="12.33203125" customWidth="1"/>
    <col min="25" max="25" width="14.1640625" customWidth="1"/>
    <col min="26" max="26" width="10.6640625" bestFit="1" customWidth="1"/>
    <col min="27" max="27" width="9.6640625" bestFit="1" customWidth="1"/>
    <col min="36" max="36" width="10.33203125" customWidth="1"/>
  </cols>
  <sheetData>
    <row r="1" spans="1:67" ht="21.5" customHeight="1">
      <c r="A1" s="396" t="s">
        <v>171</v>
      </c>
      <c r="B1" s="396"/>
      <c r="C1" s="396"/>
      <c r="D1" s="396"/>
      <c r="E1" s="396"/>
      <c r="F1" s="396"/>
      <c r="G1" s="396"/>
      <c r="H1" s="396"/>
      <c r="J1" s="405" t="s">
        <v>172</v>
      </c>
      <c r="K1" s="405"/>
      <c r="L1" s="405"/>
      <c r="M1" s="405"/>
      <c r="O1" s="406" t="s">
        <v>179</v>
      </c>
      <c r="P1" s="406"/>
      <c r="Q1" s="406"/>
      <c r="R1" s="406"/>
      <c r="S1" s="406"/>
      <c r="T1" s="406"/>
      <c r="V1" s="408" t="s">
        <v>192</v>
      </c>
      <c r="W1" s="409"/>
      <c r="X1" s="409"/>
      <c r="Y1" s="409"/>
      <c r="Z1" s="409"/>
      <c r="AA1" s="410"/>
    </row>
    <row r="2" spans="1:67" ht="14.5" customHeight="1">
      <c r="A2" s="180"/>
      <c r="B2" s="173" t="s">
        <v>43</v>
      </c>
      <c r="C2" s="173" t="s">
        <v>47</v>
      </c>
      <c r="D2" s="173" t="s">
        <v>12</v>
      </c>
      <c r="E2" s="173" t="s">
        <v>14</v>
      </c>
      <c r="F2" s="173" t="s">
        <v>16</v>
      </c>
      <c r="G2" s="173" t="s">
        <v>37</v>
      </c>
      <c r="H2" s="173" t="s">
        <v>85</v>
      </c>
      <c r="J2" s="163"/>
      <c r="K2" s="182" t="s">
        <v>173</v>
      </c>
      <c r="L2" s="182" t="s">
        <v>191</v>
      </c>
      <c r="M2" s="182" t="s">
        <v>174</v>
      </c>
      <c r="O2" s="76" t="s">
        <v>180</v>
      </c>
      <c r="P2" s="76" t="s">
        <v>181</v>
      </c>
      <c r="Q2" s="76" t="s">
        <v>182</v>
      </c>
      <c r="R2" s="76" t="s">
        <v>183</v>
      </c>
      <c r="S2" s="76"/>
      <c r="T2" s="76"/>
      <c r="V2" s="205" t="s">
        <v>127</v>
      </c>
      <c r="W2" s="197" t="s">
        <v>187</v>
      </c>
      <c r="X2" s="197" t="s">
        <v>188</v>
      </c>
      <c r="Y2" s="244" t="s">
        <v>193</v>
      </c>
      <c r="Z2" s="245" t="s">
        <v>228</v>
      </c>
      <c r="AA2" s="246" t="s">
        <v>227</v>
      </c>
    </row>
    <row r="3" spans="1:67" ht="14.5" customHeight="1">
      <c r="A3" s="181">
        <v>43552</v>
      </c>
      <c r="B3" s="96">
        <v>2.0152943582152701E-2</v>
      </c>
      <c r="C3" s="96">
        <v>2.2892055187478333E-2</v>
      </c>
      <c r="D3" s="96">
        <v>2.1681066061323948E-2</v>
      </c>
      <c r="E3" s="96">
        <v>-1.2547216052088528E-2</v>
      </c>
      <c r="F3" s="96">
        <v>9.4192219164915582E-3</v>
      </c>
      <c r="G3" s="96">
        <v>-1.2951152347078006E-2</v>
      </c>
      <c r="H3" s="96">
        <v>0</v>
      </c>
      <c r="J3" s="173" t="s">
        <v>43</v>
      </c>
      <c r="K3" s="187">
        <f>AVERAGE(B3:B249)</f>
        <v>-9.8645053523173701E-4</v>
      </c>
      <c r="L3" s="187">
        <f>STDEV(B3:B249)</f>
        <v>2.8673642215780282E-2</v>
      </c>
      <c r="M3" s="187">
        <f>K3/L3</f>
        <v>-3.4402693868058824E-2</v>
      </c>
      <c r="O3" s="76" t="s">
        <v>184</v>
      </c>
      <c r="P3" s="186">
        <v>8.494732393349773E-4</v>
      </c>
      <c r="Q3" s="186">
        <v>1.9720994512796044E-2</v>
      </c>
      <c r="R3" s="186">
        <v>3.5896071533674391E-2</v>
      </c>
      <c r="S3" s="76"/>
      <c r="T3" s="76"/>
      <c r="V3" s="206">
        <v>1</v>
      </c>
      <c r="W3" s="173" t="s">
        <v>43</v>
      </c>
      <c r="X3" s="212">
        <f t="shared" ref="X3:X9" si="0">T5*0.7</f>
        <v>4.9527352069129199E-2</v>
      </c>
      <c r="Y3" s="382">
        <f>100000*X3</f>
        <v>4952.7352069129201</v>
      </c>
      <c r="Z3" s="380">
        <f>Y3/AA3</f>
        <v>687.87988984901665</v>
      </c>
      <c r="AA3" s="381">
        <v>7.2</v>
      </c>
    </row>
    <row r="4" spans="1:67" ht="14.5" customHeight="1">
      <c r="A4" s="181">
        <v>43553</v>
      </c>
      <c r="B4" s="96">
        <v>1.8667501560250377E-2</v>
      </c>
      <c r="C4" s="96">
        <v>8.3787185463115568E-4</v>
      </c>
      <c r="D4" s="96">
        <v>-1.3413818242013361E-3</v>
      </c>
      <c r="E4" s="96">
        <v>1.5701007362315708E-2</v>
      </c>
      <c r="F4" s="96">
        <v>3.1201273362436777E-3</v>
      </c>
      <c r="G4" s="96">
        <v>2.2100347000665922E-2</v>
      </c>
      <c r="H4" s="96">
        <v>0</v>
      </c>
      <c r="J4" s="173" t="s">
        <v>47</v>
      </c>
      <c r="K4" s="187">
        <f>AVERAGE(C3:C249)</f>
        <v>-1.8107159115878139E-4</v>
      </c>
      <c r="L4" s="187">
        <f>STDEV(C3:C249)</f>
        <v>1.9731233408002626E-2</v>
      </c>
      <c r="M4" s="187">
        <f t="shared" ref="M4:M9" si="1">K4/L4</f>
        <v>-9.176901788883713E-3</v>
      </c>
      <c r="O4" s="407" t="s">
        <v>185</v>
      </c>
      <c r="P4" s="407"/>
      <c r="Q4" s="407"/>
      <c r="R4" s="407"/>
      <c r="S4" s="407"/>
      <c r="T4" s="407"/>
      <c r="V4" s="207">
        <v>2</v>
      </c>
      <c r="W4" s="173" t="s">
        <v>47</v>
      </c>
      <c r="X4" s="211">
        <f t="shared" si="0"/>
        <v>0.2110613296126615</v>
      </c>
      <c r="Y4" s="382">
        <f t="shared" ref="Y4:Y10" si="2">100000*X4</f>
        <v>21106.13296126615</v>
      </c>
      <c r="Z4" s="380">
        <f t="shared" ref="Z4:Z9" si="3">Y4/AA4</f>
        <v>1776.6105186250968</v>
      </c>
      <c r="AA4" s="381">
        <v>11.88</v>
      </c>
    </row>
    <row r="5" spans="1:67">
      <c r="A5" s="181">
        <v>43556</v>
      </c>
      <c r="B5" s="96">
        <v>1.0820274361708076E-2</v>
      </c>
      <c r="C5" s="96">
        <v>5.0125418235444138E-3</v>
      </c>
      <c r="D5" s="96">
        <v>-1.3431835464676259E-3</v>
      </c>
      <c r="E5" s="96">
        <v>2.92337303446875E-2</v>
      </c>
      <c r="F5" s="96">
        <v>1.1357891844409582E-2</v>
      </c>
      <c r="G5" s="96">
        <v>1.0869672236903891E-2</v>
      </c>
      <c r="H5" s="96">
        <v>4.040409537005127E-3</v>
      </c>
      <c r="J5" s="173" t="s">
        <v>12</v>
      </c>
      <c r="K5" s="187">
        <f>AVERAGE(D3:D249)</f>
        <v>-7.6038897211172551E-4</v>
      </c>
      <c r="L5" s="187">
        <f>STDEV(D3:D249)</f>
        <v>3.0741949442704159E-2</v>
      </c>
      <c r="M5" s="187">
        <f t="shared" si="1"/>
        <v>-2.4734572331820193E-2</v>
      </c>
      <c r="O5" s="190" t="s">
        <v>43</v>
      </c>
      <c r="P5" s="96">
        <v>0.1</v>
      </c>
      <c r="Q5" s="96">
        <v>0.08</v>
      </c>
      <c r="R5" s="96">
        <v>0.04</v>
      </c>
      <c r="S5" s="96">
        <v>0.05</v>
      </c>
      <c r="T5" s="213">
        <v>7.0753360098756005E-2</v>
      </c>
      <c r="U5" s="198"/>
      <c r="V5" s="207">
        <v>3</v>
      </c>
      <c r="W5" s="173" t="s">
        <v>12</v>
      </c>
      <c r="X5" s="211">
        <f t="shared" si="0"/>
        <v>3.4999999999999996E-2</v>
      </c>
      <c r="Y5" s="382">
        <f t="shared" si="2"/>
        <v>3499.9999999999995</v>
      </c>
      <c r="Z5" s="380">
        <f t="shared" si="3"/>
        <v>243.39360222531289</v>
      </c>
      <c r="AA5" s="381">
        <v>14.38</v>
      </c>
    </row>
    <row r="6" spans="1:67">
      <c r="A6" s="181">
        <v>43557</v>
      </c>
      <c r="B6" s="96">
        <v>2.1500760809192152E-3</v>
      </c>
      <c r="C6" s="96">
        <v>0</v>
      </c>
      <c r="D6" s="96">
        <v>-4.7154011252384439E-3</v>
      </c>
      <c r="E6" s="96">
        <v>3.0534374868904698E-3</v>
      </c>
      <c r="F6" s="96">
        <v>-4.1152321451066549E-3</v>
      </c>
      <c r="G6" s="96">
        <v>1.9625964456748444E-2</v>
      </c>
      <c r="H6" s="96">
        <v>1.600034134644112E-2</v>
      </c>
      <c r="J6" s="173" t="s">
        <v>14</v>
      </c>
      <c r="K6" s="187">
        <f>AVERAGE(E3:E249)</f>
        <v>-3.039172997304558E-4</v>
      </c>
      <c r="L6" s="187">
        <f>STDEV(E3:E249)</f>
        <v>3.1261317355251839E-2</v>
      </c>
      <c r="M6" s="187">
        <f t="shared" si="1"/>
        <v>-9.7218327774468635E-3</v>
      </c>
      <c r="O6" s="190" t="s">
        <v>47</v>
      </c>
      <c r="P6" s="96">
        <v>0.18</v>
      </c>
      <c r="Q6" s="96">
        <v>0.18</v>
      </c>
      <c r="R6" s="96">
        <v>0.2</v>
      </c>
      <c r="S6" s="96">
        <v>0.35</v>
      </c>
      <c r="T6" s="213">
        <v>0.30151618516094503</v>
      </c>
      <c r="U6" s="198"/>
      <c r="V6" s="207">
        <v>4</v>
      </c>
      <c r="W6" s="173" t="s">
        <v>14</v>
      </c>
      <c r="X6" s="211">
        <f t="shared" si="0"/>
        <v>3.4999999999999996E-2</v>
      </c>
      <c r="Y6" s="382">
        <f t="shared" si="2"/>
        <v>3499.9999999999995</v>
      </c>
      <c r="Z6" s="380">
        <f t="shared" si="3"/>
        <v>603.44827586206895</v>
      </c>
      <c r="AA6" s="381">
        <v>5.8</v>
      </c>
    </row>
    <row r="7" spans="1:67">
      <c r="A7" s="181">
        <v>43558</v>
      </c>
      <c r="B7" s="96">
        <v>-1.2970350442627404E-2</v>
      </c>
      <c r="C7" s="96">
        <v>1.4888612493750559E-2</v>
      </c>
      <c r="D7" s="96">
        <v>-6.7544750963796684E-4</v>
      </c>
      <c r="E7" s="96">
        <v>8.9457465584582667E-3</v>
      </c>
      <c r="F7" s="96">
        <v>-1.1404996613990245E-2</v>
      </c>
      <c r="G7" s="96">
        <v>1.0544913176614819E-2</v>
      </c>
      <c r="H7" s="96">
        <v>-3.9761483796392945E-3</v>
      </c>
      <c r="J7" s="173" t="s">
        <v>16</v>
      </c>
      <c r="K7" s="187">
        <f>AVERAGE(F3:F249)</f>
        <v>-2.4130460656856196E-3</v>
      </c>
      <c r="L7" s="187">
        <f>STDEV(F3:F249)</f>
        <v>2.747416319707658E-2</v>
      </c>
      <c r="M7" s="187">
        <f t="shared" si="1"/>
        <v>-8.782964738093943E-2</v>
      </c>
      <c r="O7" s="190" t="s">
        <v>12</v>
      </c>
      <c r="P7" s="96">
        <v>0.1</v>
      </c>
      <c r="Q7" s="96">
        <v>7.4999999999999997E-2</v>
      </c>
      <c r="R7" s="96">
        <v>0.05</v>
      </c>
      <c r="S7" s="96">
        <v>0.04</v>
      </c>
      <c r="T7" s="213">
        <v>0.05</v>
      </c>
      <c r="U7" s="198"/>
      <c r="V7" s="207">
        <v>5</v>
      </c>
      <c r="W7" s="173" t="s">
        <v>16</v>
      </c>
      <c r="X7" s="211">
        <f t="shared" si="0"/>
        <v>5.3269734005356464E-2</v>
      </c>
      <c r="Y7" s="382">
        <f t="shared" si="2"/>
        <v>5326.9734005356468</v>
      </c>
      <c r="Z7" s="380">
        <f t="shared" si="3"/>
        <v>484.27030913960425</v>
      </c>
      <c r="AA7" s="381">
        <v>11</v>
      </c>
    </row>
    <row r="8" spans="1:67">
      <c r="A8" s="181">
        <v>43559</v>
      </c>
      <c r="B8" s="96">
        <v>-1.6331867095784843E-3</v>
      </c>
      <c r="C8" s="96">
        <v>-4.9382816405825663E-3</v>
      </c>
      <c r="D8" s="96">
        <v>-4.7409502955304845E-3</v>
      </c>
      <c r="E8" s="96">
        <v>-5.901604177230073E-3</v>
      </c>
      <c r="F8" s="96">
        <v>-5.2274034351517994E-3</v>
      </c>
      <c r="G8" s="96">
        <v>0</v>
      </c>
      <c r="H8" s="96">
        <v>-2.0121403199421063E-2</v>
      </c>
      <c r="J8" s="173" t="s">
        <v>37</v>
      </c>
      <c r="K8" s="188">
        <f>AVERAGE(G3:G249)</f>
        <v>8.494732393349773E-4</v>
      </c>
      <c r="L8" s="187">
        <f>STDEV(G3:G249)</f>
        <v>2.3664796815943485E-2</v>
      </c>
      <c r="M8" s="188">
        <f t="shared" si="1"/>
        <v>3.5896071533674391E-2</v>
      </c>
      <c r="O8" s="190" t="s">
        <v>14</v>
      </c>
      <c r="P8" s="96">
        <v>0.1</v>
      </c>
      <c r="Q8" s="96">
        <v>7.4999999999999997E-2</v>
      </c>
      <c r="R8" s="96">
        <v>0.05</v>
      </c>
      <c r="S8" s="96">
        <v>0.06</v>
      </c>
      <c r="T8" s="213">
        <v>0.05</v>
      </c>
      <c r="U8" s="198"/>
      <c r="V8" s="207">
        <v>6</v>
      </c>
      <c r="W8" s="173" t="s">
        <v>37</v>
      </c>
      <c r="X8" s="211">
        <f t="shared" si="0"/>
        <v>6.6190608187990302E-2</v>
      </c>
      <c r="Y8" s="382">
        <f t="shared" si="2"/>
        <v>6619.0608187990301</v>
      </c>
      <c r="Z8" s="380">
        <f t="shared" si="3"/>
        <v>1039.0990296387802</v>
      </c>
      <c r="AA8" s="381">
        <v>6.37</v>
      </c>
    </row>
    <row r="9" spans="1:67">
      <c r="A9" s="181">
        <v>43560</v>
      </c>
      <c r="B9" s="96">
        <v>1.6331867095785997E-3</v>
      </c>
      <c r="C9" s="96">
        <v>4.9382816405825767E-3</v>
      </c>
      <c r="D9" s="96">
        <v>8.113634774169631E-3</v>
      </c>
      <c r="E9" s="96">
        <v>8.9186767318388104E-3</v>
      </c>
      <c r="F9" s="96">
        <v>-5.2548728383585855E-3</v>
      </c>
      <c r="G9" s="96">
        <v>1.7467253349418002E-3</v>
      </c>
      <c r="H9" s="96">
        <v>1.6129381929883498E-2</v>
      </c>
      <c r="J9" s="173" t="s">
        <v>85</v>
      </c>
      <c r="K9" s="187">
        <f>AVERAGE(H3:H249)</f>
        <v>-7.7436576025814708E-4</v>
      </c>
      <c r="L9" s="188">
        <f>STDEV(H3:H249)</f>
        <v>1.9720994512796044E-2</v>
      </c>
      <c r="M9" s="187">
        <f t="shared" si="1"/>
        <v>-3.9266060327520343E-2</v>
      </c>
      <c r="O9" s="190" t="s">
        <v>16</v>
      </c>
      <c r="P9" s="96">
        <v>0.11</v>
      </c>
      <c r="Q9" s="96">
        <v>0.1</v>
      </c>
      <c r="R9" s="96">
        <v>0.12</v>
      </c>
      <c r="S9" s="96">
        <v>7.0000000000000007E-2</v>
      </c>
      <c r="T9" s="213">
        <v>7.6099620007652094E-2</v>
      </c>
      <c r="U9" s="198"/>
      <c r="V9" s="207">
        <v>7</v>
      </c>
      <c r="W9" s="173" t="s">
        <v>85</v>
      </c>
      <c r="X9" s="211">
        <f t="shared" si="0"/>
        <v>0.24995095638733919</v>
      </c>
      <c r="Y9" s="382">
        <f t="shared" si="2"/>
        <v>24995.095638733917</v>
      </c>
      <c r="Z9" s="380">
        <f t="shared" si="3"/>
        <v>1190.2426494635199</v>
      </c>
      <c r="AA9" s="381">
        <v>21</v>
      </c>
    </row>
    <row r="10" spans="1:67">
      <c r="A10" s="181">
        <v>43563</v>
      </c>
      <c r="B10" s="96">
        <v>1.0820274361708076E-2</v>
      </c>
      <c r="C10" s="96">
        <v>8.2068121142913535E-4</v>
      </c>
      <c r="D10" s="96">
        <v>3.3613477027049274E-3</v>
      </c>
      <c r="E10" s="96">
        <v>0</v>
      </c>
      <c r="F10" s="96">
        <v>-8.4656590245482388E-3</v>
      </c>
      <c r="G10" s="96">
        <v>1.214238682572534E-2</v>
      </c>
      <c r="H10" s="96">
        <v>7.9681696491768813E-3</v>
      </c>
      <c r="O10" s="190" t="s">
        <v>37</v>
      </c>
      <c r="P10" s="96">
        <v>0.15</v>
      </c>
      <c r="Q10" s="96">
        <v>0.12</v>
      </c>
      <c r="R10" s="96">
        <v>0.15</v>
      </c>
      <c r="S10" s="96">
        <v>7.0000000000000007E-2</v>
      </c>
      <c r="T10" s="213">
        <v>9.4558011697129005E-2</v>
      </c>
      <c r="U10" s="198"/>
      <c r="V10" s="208">
        <v>8</v>
      </c>
      <c r="W10" s="204" t="s">
        <v>194</v>
      </c>
      <c r="X10" s="209">
        <v>0.3</v>
      </c>
      <c r="Y10" s="382">
        <f t="shared" si="2"/>
        <v>30000</v>
      </c>
      <c r="Z10" s="233"/>
      <c r="AA10" s="247"/>
    </row>
    <row r="11" spans="1:67" ht="16" thickBot="1">
      <c r="A11" s="181">
        <v>43564</v>
      </c>
      <c r="B11" s="96">
        <v>1.3893565369686662E-2</v>
      </c>
      <c r="C11" s="96">
        <v>-4.1101578618278753E-3</v>
      </c>
      <c r="D11" s="96">
        <v>0</v>
      </c>
      <c r="E11" s="96">
        <v>2.6442908133874368E-2</v>
      </c>
      <c r="F11" s="96">
        <v>9.5188450092068399E-3</v>
      </c>
      <c r="G11" s="96">
        <v>1.3698844358161927E-2</v>
      </c>
      <c r="H11" s="96">
        <v>3.9604012160969143E-3</v>
      </c>
      <c r="O11" s="190" t="s">
        <v>85</v>
      </c>
      <c r="P11" s="96">
        <v>0.26</v>
      </c>
      <c r="Q11" s="96">
        <v>0.37</v>
      </c>
      <c r="R11" s="96">
        <v>0.39</v>
      </c>
      <c r="S11" s="96">
        <v>0.36</v>
      </c>
      <c r="T11" s="213">
        <v>0.35707279483905602</v>
      </c>
      <c r="U11" s="198"/>
      <c r="V11" s="400" t="s">
        <v>168</v>
      </c>
      <c r="W11" s="401"/>
      <c r="X11" s="210">
        <f>SUM(X3:X10)</f>
        <v>0.99999998026247661</v>
      </c>
      <c r="Y11" s="383">
        <f>SUM(Y3:Y10)</f>
        <v>99999.99802624766</v>
      </c>
      <c r="Z11" s="248"/>
      <c r="AA11" s="249"/>
    </row>
    <row r="12" spans="1:67">
      <c r="A12" s="181">
        <v>43565</v>
      </c>
      <c r="B12" s="96">
        <v>-7.4571561080821634E-3</v>
      </c>
      <c r="C12" s="96">
        <v>1.3093476747019604E-2</v>
      </c>
      <c r="D12" s="96">
        <v>-4.0349752121791056E-3</v>
      </c>
      <c r="E12" s="96">
        <v>-1.0087770810268449E-2</v>
      </c>
      <c r="F12" s="96">
        <v>-8.4567100182235087E-3</v>
      </c>
      <c r="G12" s="96">
        <v>0</v>
      </c>
      <c r="H12" s="96">
        <v>0</v>
      </c>
      <c r="O12" s="76" t="s">
        <v>186</v>
      </c>
      <c r="P12" s="200">
        <f>SUM(P5:P11)</f>
        <v>1</v>
      </c>
      <c r="Q12" s="110">
        <f>SUM(Q5:Q11)</f>
        <v>1</v>
      </c>
      <c r="R12" s="96">
        <f>SUM(R5:R11)</f>
        <v>1</v>
      </c>
      <c r="S12" s="96">
        <f>SUM(S5:S11)</f>
        <v>0.99999999999999989</v>
      </c>
      <c r="T12" s="96">
        <f>SUM(T5:T11)</f>
        <v>0.99999997180353817</v>
      </c>
      <c r="V12" s="199"/>
      <c r="W12" s="189"/>
      <c r="X12" s="140"/>
      <c r="Y12" s="140"/>
      <c r="Z12" s="140"/>
    </row>
    <row r="13" spans="1:67" ht="16">
      <c r="A13" s="181">
        <v>43566</v>
      </c>
      <c r="B13" s="96">
        <v>1.0687187081115956E-3</v>
      </c>
      <c r="C13" s="96">
        <v>1.8526506529604993E-2</v>
      </c>
      <c r="D13" s="96">
        <v>-2.6990569691649467E-3</v>
      </c>
      <c r="E13" s="96">
        <v>1.4028526967496337E-3</v>
      </c>
      <c r="F13" s="96">
        <v>1.1609629077838942E-2</v>
      </c>
      <c r="G13" s="96">
        <v>2.3530497410194036E-2</v>
      </c>
      <c r="H13" s="96">
        <v>0</v>
      </c>
      <c r="O13" s="76" t="s">
        <v>190</v>
      </c>
      <c r="P13" s="201">
        <f>4%*28/250</f>
        <v>4.4800000000000005E-3</v>
      </c>
      <c r="Q13" s="202">
        <f>4%*28/250</f>
        <v>4.4800000000000005E-3</v>
      </c>
      <c r="R13" s="163">
        <f>4%*28/250</f>
        <v>4.4800000000000005E-3</v>
      </c>
      <c r="S13" s="163">
        <f>4%*28/250</f>
        <v>4.4800000000000005E-3</v>
      </c>
      <c r="T13" s="163">
        <f>4%*28/250</f>
        <v>4.4800000000000005E-3</v>
      </c>
      <c r="U13" s="155"/>
      <c r="V13" s="318"/>
      <c r="W13" s="123"/>
      <c r="X13" s="149"/>
      <c r="Y13" s="149"/>
      <c r="Z13" s="149"/>
      <c r="AA13" s="155"/>
      <c r="AB13" s="155"/>
      <c r="AC13" s="155"/>
      <c r="AD13" s="155"/>
      <c r="AE13" s="155"/>
      <c r="AF13" s="155"/>
      <c r="AG13" s="398"/>
      <c r="AH13" s="398"/>
      <c r="AI13" s="398"/>
      <c r="AJ13" s="398"/>
      <c r="AK13" s="398"/>
      <c r="AL13" s="398"/>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row>
    <row r="14" spans="1:67">
      <c r="A14" s="181">
        <v>43567</v>
      </c>
      <c r="B14" s="96">
        <v>0</v>
      </c>
      <c r="C14" s="96">
        <v>-8.8176924026441943E-3</v>
      </c>
      <c r="D14" s="96">
        <v>1.6750810424815351E-2</v>
      </c>
      <c r="E14" s="96">
        <v>7.2942047625859782E-3</v>
      </c>
      <c r="F14" s="96">
        <v>6.2761712292362043E-3</v>
      </c>
      <c r="G14" s="96">
        <v>-3.3277900926745796E-3</v>
      </c>
      <c r="H14" s="96">
        <v>5.7597491783336542E-2</v>
      </c>
      <c r="O14" s="76" t="s">
        <v>189</v>
      </c>
      <c r="P14" s="201">
        <f t="array" ref="P14">SQRT(MMULT(MMULT(TRANSPOSE(P5:P11),K22:Q28),P5:P11))</f>
        <v>1.862039605486927E-2</v>
      </c>
      <c r="Q14" s="203">
        <f t="array" ref="Q14">SQRT(MMULT(MMULT(TRANSPOSE(Q5:Q11),$K$22:$Q$28),Q5:Q11))</f>
        <v>1.7980788258396739E-2</v>
      </c>
      <c r="R14" s="203">
        <f t="array" ref="R14">SQRT(MMULT(MMULT(TRANSPOSE(R5:R11),$K$22:$Q$28),R5:R11))</f>
        <v>1.7653131585391231E-2</v>
      </c>
      <c r="S14" s="203">
        <f t="array" ref="S14">SQRT(MMULT(MMULT(TRANSPOSE(S5:S11),$K$22:$Q$28),S5:S11))</f>
        <v>1.726853923480107E-2</v>
      </c>
      <c r="T14" s="203">
        <f t="array" ref="T14">SQRT(MMULT(MMULT(TRANSPOSE(T5:T11),$K$22:$Q$28),T5:T11))</f>
        <v>1.7412389940381537E-2</v>
      </c>
      <c r="U14" s="155"/>
      <c r="V14" s="411"/>
      <c r="W14" s="411"/>
      <c r="X14" s="411"/>
      <c r="Y14" s="411"/>
      <c r="Z14" s="411"/>
      <c r="AA14" s="411"/>
      <c r="AB14" s="149"/>
      <c r="AC14" s="149"/>
      <c r="AD14" s="319"/>
      <c r="AE14" s="319"/>
      <c r="AF14" s="155"/>
      <c r="AG14" s="150"/>
      <c r="AH14" s="150"/>
      <c r="AI14" s="150"/>
      <c r="AJ14" s="150"/>
      <c r="AK14" s="150"/>
      <c r="AL14" s="15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row>
    <row r="15" spans="1:67">
      <c r="A15" s="181">
        <v>43570</v>
      </c>
      <c r="B15" s="96">
        <v>0</v>
      </c>
      <c r="C15" s="96">
        <v>-1.6116038943415328E-3</v>
      </c>
      <c r="D15" s="96">
        <v>5.9622568144180434E-3</v>
      </c>
      <c r="E15" s="96">
        <v>-1.3926501283721847E-3</v>
      </c>
      <c r="F15" s="96">
        <v>5.2002197271074982E-3</v>
      </c>
      <c r="G15" s="96">
        <v>4.9875415110391882E-3</v>
      </c>
      <c r="H15" s="96">
        <v>4.0224801310508797E-2</v>
      </c>
      <c r="O15" s="76" t="s">
        <v>174</v>
      </c>
      <c r="P15" s="163">
        <f>P13/P14</f>
        <v>0.24059638617775114</v>
      </c>
      <c r="Q15" s="163">
        <f t="shared" ref="Q15:T15" si="4">Q13/Q14</f>
        <v>0.24915481655304586</v>
      </c>
      <c r="R15" s="163">
        <f t="shared" si="4"/>
        <v>0.25377933531676633</v>
      </c>
      <c r="S15" s="163">
        <f t="shared" si="4"/>
        <v>0.25943132416038484</v>
      </c>
      <c r="T15" s="163">
        <f t="shared" si="4"/>
        <v>0.25728805840778429</v>
      </c>
      <c r="U15" s="155"/>
      <c r="V15" s="149"/>
      <c r="W15" s="149"/>
      <c r="X15" s="149"/>
      <c r="Y15" s="149"/>
      <c r="Z15" s="149"/>
      <c r="AA15" s="149"/>
      <c r="AB15" s="149"/>
      <c r="AC15" s="149"/>
      <c r="AD15" s="319"/>
      <c r="AE15" s="319"/>
      <c r="AF15" s="155"/>
      <c r="AG15" s="317"/>
      <c r="AH15" s="323"/>
      <c r="AI15" s="324"/>
      <c r="AJ15" s="329"/>
      <c r="AK15" s="330"/>
      <c r="AL15" s="149"/>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row>
    <row r="16" spans="1:67">
      <c r="A16" s="181">
        <v>43571</v>
      </c>
      <c r="B16" s="96">
        <v>-2.1385807979624927E-3</v>
      </c>
      <c r="C16" s="96">
        <v>7.2318515264951869E-3</v>
      </c>
      <c r="D16" s="96">
        <v>3.5683318735638396E-2</v>
      </c>
      <c r="E16" s="96">
        <v>-1.1838144480031792E-2</v>
      </c>
      <c r="F16" s="96">
        <v>0</v>
      </c>
      <c r="G16" s="96">
        <v>8.2576852389816373E-3</v>
      </c>
      <c r="H16" s="96">
        <v>2.8270433938255526E-2</v>
      </c>
      <c r="O16" s="140"/>
      <c r="P16" s="140"/>
      <c r="Q16" s="140"/>
      <c r="R16" s="140"/>
      <c r="U16" s="155"/>
      <c r="V16" s="149"/>
      <c r="W16" s="322"/>
      <c r="X16" s="322"/>
      <c r="Y16" s="322"/>
      <c r="Z16" s="149"/>
      <c r="AA16" s="149"/>
      <c r="AB16" s="149"/>
      <c r="AC16" s="149"/>
      <c r="AD16" s="320"/>
      <c r="AE16" s="319"/>
      <c r="AF16" s="155"/>
      <c r="AG16" s="317"/>
      <c r="AH16" s="323"/>
      <c r="AI16" s="324"/>
      <c r="AJ16" s="329"/>
      <c r="AK16" s="330"/>
      <c r="AL16" s="149"/>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row>
    <row r="17" spans="1:67">
      <c r="A17" s="181">
        <v>43572</v>
      </c>
      <c r="B17" s="96">
        <v>1.0698620898509212E-3</v>
      </c>
      <c r="C17" s="96">
        <v>-1.9402387146750365E-2</v>
      </c>
      <c r="D17" s="96">
        <v>2.8896482923724286E-2</v>
      </c>
      <c r="E17" s="96">
        <v>1.4621507959336958E-2</v>
      </c>
      <c r="F17" s="96">
        <v>-1.3577232065155372E-2</v>
      </c>
      <c r="G17" s="96">
        <v>-1.6460909066686805E-3</v>
      </c>
      <c r="H17" s="96">
        <v>3.4782643763247925E-3</v>
      </c>
      <c r="O17" s="140"/>
      <c r="P17" s="140"/>
      <c r="Q17" s="140"/>
      <c r="R17" s="140"/>
      <c r="U17" s="155"/>
      <c r="V17" s="412"/>
      <c r="W17" s="412"/>
      <c r="X17" s="412"/>
      <c r="Y17" s="412"/>
      <c r="Z17" s="412"/>
      <c r="AA17" s="412"/>
      <c r="AB17" s="149"/>
      <c r="AC17" s="149"/>
      <c r="AD17" s="320"/>
      <c r="AE17" s="319"/>
      <c r="AF17" s="155"/>
      <c r="AG17" s="317"/>
      <c r="AH17" s="323"/>
      <c r="AI17" s="324"/>
      <c r="AJ17" s="329"/>
      <c r="AK17" s="330"/>
      <c r="AL17" s="149"/>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row>
    <row r="18" spans="1:67">
      <c r="A18" s="181">
        <v>43573</v>
      </c>
      <c r="B18" s="96">
        <v>0</v>
      </c>
      <c r="C18" s="96">
        <v>5.6980211146377959E-3</v>
      </c>
      <c r="D18" s="96">
        <v>-5.5883411500499301E-3</v>
      </c>
      <c r="E18" s="96">
        <v>0</v>
      </c>
      <c r="F18" s="96">
        <v>-1.0520779508037803E-3</v>
      </c>
      <c r="G18" s="96">
        <v>9.8361448767129694E-3</v>
      </c>
      <c r="H18" s="96">
        <v>-1.0471299867295478E-2</v>
      </c>
      <c r="U18" s="155"/>
      <c r="V18" s="323"/>
      <c r="W18" s="198"/>
      <c r="X18" s="198"/>
      <c r="Y18" s="198"/>
      <c r="Z18" s="198"/>
      <c r="AA18" s="324"/>
      <c r="AB18" s="324"/>
      <c r="AC18" s="149"/>
      <c r="AD18" s="319"/>
      <c r="AE18" s="319"/>
      <c r="AF18" s="155"/>
      <c r="AG18" s="317"/>
      <c r="AH18" s="323"/>
      <c r="AI18" s="324"/>
      <c r="AJ18" s="329"/>
      <c r="AK18" s="330"/>
      <c r="AL18" s="149"/>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row>
    <row r="19" spans="1:67" ht="16" thickBot="1">
      <c r="A19" s="181">
        <v>43578</v>
      </c>
      <c r="B19" s="96">
        <v>2.1362964757818174E-3</v>
      </c>
      <c r="C19" s="96">
        <v>-6.5146810211937538E-3</v>
      </c>
      <c r="D19" s="96">
        <v>-1.1271252699625771E-2</v>
      </c>
      <c r="E19" s="96">
        <v>-1.3055827351415125E-2</v>
      </c>
      <c r="F19" s="96">
        <v>-2.1074823395646983E-3</v>
      </c>
      <c r="G19" s="96">
        <v>-4.9059787688545183E-3</v>
      </c>
      <c r="H19" s="96">
        <v>0</v>
      </c>
      <c r="U19" s="155"/>
      <c r="V19" s="323"/>
      <c r="W19" s="198"/>
      <c r="X19" s="198"/>
      <c r="Y19" s="198"/>
      <c r="Z19" s="198"/>
      <c r="AA19" s="324"/>
      <c r="AB19" s="324"/>
      <c r="AC19" s="149"/>
      <c r="AD19" s="320"/>
      <c r="AE19" s="319"/>
      <c r="AF19" s="155"/>
      <c r="AG19" s="317"/>
      <c r="AH19" s="323"/>
      <c r="AI19" s="324"/>
      <c r="AJ19" s="329"/>
      <c r="AK19" s="330"/>
      <c r="AL19" s="149"/>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row>
    <row r="20" spans="1:67">
      <c r="A20" s="181">
        <v>43579</v>
      </c>
      <c r="B20" s="96">
        <v>0</v>
      </c>
      <c r="C20" s="96">
        <v>8.1665990655596524E-4</v>
      </c>
      <c r="D20" s="96">
        <v>1.9950786419348693E-2</v>
      </c>
      <c r="E20" s="96">
        <v>-5.9626726166491948E-3</v>
      </c>
      <c r="F20" s="96">
        <v>1.0542963549059923E-3</v>
      </c>
      <c r="G20" s="96">
        <v>-1.486402263214928E-2</v>
      </c>
      <c r="H20" s="96">
        <v>-1.4134510934904693E-2</v>
      </c>
      <c r="J20" s="402" t="s">
        <v>178</v>
      </c>
      <c r="K20" s="403"/>
      <c r="L20" s="403"/>
      <c r="M20" s="403"/>
      <c r="N20" s="403"/>
      <c r="O20" s="403"/>
      <c r="P20" s="403"/>
      <c r="Q20" s="404"/>
      <c r="U20" s="155"/>
      <c r="V20" s="323"/>
      <c r="W20" s="198"/>
      <c r="X20" s="198"/>
      <c r="Y20" s="198"/>
      <c r="Z20" s="198"/>
      <c r="AA20" s="324"/>
      <c r="AB20" s="324"/>
      <c r="AC20" s="149"/>
      <c r="AD20" s="319"/>
      <c r="AE20" s="319"/>
      <c r="AF20" s="155"/>
      <c r="AG20" s="317"/>
      <c r="AH20" s="323"/>
      <c r="AI20" s="324"/>
      <c r="AJ20" s="329"/>
      <c r="AK20" s="330"/>
      <c r="AL20" s="149"/>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row>
    <row r="21" spans="1:67">
      <c r="A21" s="181">
        <v>43580</v>
      </c>
      <c r="B21" s="96">
        <v>-3.2061585656328498E-3</v>
      </c>
      <c r="C21" s="96">
        <v>4.0733253876358688E-3</v>
      </c>
      <c r="D21" s="96">
        <v>3.0816665374081144E-3</v>
      </c>
      <c r="E21" s="96">
        <v>5.9626726166492287E-3</v>
      </c>
      <c r="F21" s="96">
        <v>1.1524485851953918E-2</v>
      </c>
      <c r="G21" s="96">
        <v>9.9338565242906747E-3</v>
      </c>
      <c r="H21" s="96">
        <v>3.5524016043677006E-3</v>
      </c>
      <c r="J21" s="191"/>
      <c r="K21" s="173" t="s">
        <v>43</v>
      </c>
      <c r="L21" s="173" t="s">
        <v>47</v>
      </c>
      <c r="M21" s="173" t="s">
        <v>12</v>
      </c>
      <c r="N21" s="173" t="s">
        <v>14</v>
      </c>
      <c r="O21" s="173" t="s">
        <v>16</v>
      </c>
      <c r="P21" s="173" t="s">
        <v>37</v>
      </c>
      <c r="Q21" s="192" t="s">
        <v>85</v>
      </c>
      <c r="U21" s="155"/>
      <c r="V21" s="323"/>
      <c r="W21" s="198"/>
      <c r="X21" s="198"/>
      <c r="Y21" s="198"/>
      <c r="Z21" s="198"/>
      <c r="AA21" s="324"/>
      <c r="AB21" s="324"/>
      <c r="AC21" s="149"/>
      <c r="AD21" s="321"/>
      <c r="AE21" s="319"/>
      <c r="AF21" s="155"/>
      <c r="AG21" s="317"/>
      <c r="AH21" s="323"/>
      <c r="AI21" s="324"/>
      <c r="AJ21" s="329"/>
      <c r="AK21" s="330"/>
      <c r="AL21" s="149"/>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row>
    <row r="22" spans="1:67">
      <c r="A22" s="181">
        <v>43585</v>
      </c>
      <c r="B22" s="96">
        <v>2.6409055645296838E-2</v>
      </c>
      <c r="C22" s="96">
        <v>6.483004878078312E-3</v>
      </c>
      <c r="D22" s="96">
        <v>-3.0816665374081122E-3</v>
      </c>
      <c r="E22" s="96">
        <v>2.9680565411466346E-3</v>
      </c>
      <c r="F22" s="96">
        <v>8.2988028146950641E-3</v>
      </c>
      <c r="G22" s="96">
        <v>-1.9967385513868497E-2</v>
      </c>
      <c r="H22" s="96">
        <v>7.0671672230923528E-3</v>
      </c>
      <c r="J22" s="191" t="s">
        <v>43</v>
      </c>
      <c r="K22" s="163">
        <v>8.1884910302821841E-4</v>
      </c>
      <c r="L22" s="163">
        <v>3.4566304666766009E-4</v>
      </c>
      <c r="M22" s="163">
        <v>4.8448799738289369E-4</v>
      </c>
      <c r="N22" s="163">
        <v>5.6261432484998276E-4</v>
      </c>
      <c r="O22" s="163">
        <v>4.0390071097522309E-4</v>
      </c>
      <c r="P22" s="163">
        <v>3.5447104477716806E-4</v>
      </c>
      <c r="Q22" s="193">
        <v>2.7780467788308803E-4</v>
      </c>
      <c r="U22" s="155"/>
      <c r="V22" s="323"/>
      <c r="W22" s="198"/>
      <c r="X22" s="198"/>
      <c r="Y22" s="198"/>
      <c r="Z22" s="198"/>
      <c r="AA22" s="324"/>
      <c r="AB22" s="324"/>
      <c r="AC22" s="149"/>
      <c r="AD22" s="319"/>
      <c r="AE22" s="319"/>
      <c r="AF22" s="155"/>
      <c r="AG22" s="318"/>
      <c r="AH22" s="331"/>
      <c r="AI22" s="324"/>
      <c r="AJ22" s="329"/>
      <c r="AK22" s="149"/>
      <c r="AL22" s="149"/>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row>
    <row r="23" spans="1:67">
      <c r="A23" s="181">
        <v>43587</v>
      </c>
      <c r="B23" s="96">
        <v>-1.0430792642827065E-3</v>
      </c>
      <c r="C23" s="96">
        <v>-1.0556330265714136E-2</v>
      </c>
      <c r="D23" s="96">
        <v>-9.3023926623134485E-3</v>
      </c>
      <c r="E23" s="96">
        <v>2.8037401544295714E-3</v>
      </c>
      <c r="F23" s="96">
        <v>-3.1039859375909962E-3</v>
      </c>
      <c r="G23" s="96">
        <v>8.3682496705165792E-3</v>
      </c>
      <c r="H23" s="96">
        <v>3.1198370855861333E-2</v>
      </c>
      <c r="J23" s="191" t="s">
        <v>47</v>
      </c>
      <c r="K23" s="163">
        <v>3.4566304666766009E-4</v>
      </c>
      <c r="L23" s="163">
        <v>3.8774537110552787E-4</v>
      </c>
      <c r="M23" s="163">
        <v>2.8652605879451705E-4</v>
      </c>
      <c r="N23" s="163">
        <v>3.291618082471584E-4</v>
      </c>
      <c r="O23" s="163">
        <v>2.9508737473163957E-4</v>
      </c>
      <c r="P23" s="163">
        <v>2.5406097119453551E-4</v>
      </c>
      <c r="Q23" s="193">
        <v>1.6939762659213045E-4</v>
      </c>
      <c r="U23" s="155"/>
      <c r="V23" s="323"/>
      <c r="W23" s="198"/>
      <c r="X23" s="198"/>
      <c r="Y23" s="198"/>
      <c r="Z23" s="198"/>
      <c r="AA23" s="324"/>
      <c r="AB23" s="324"/>
      <c r="AC23" s="149"/>
      <c r="AD23" s="320"/>
      <c r="AE23" s="319"/>
      <c r="AF23" s="155"/>
      <c r="AG23" s="399"/>
      <c r="AH23" s="399"/>
      <c r="AI23" s="198"/>
      <c r="AJ23" s="329"/>
      <c r="AK23" s="149"/>
      <c r="AL23" s="149"/>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row>
    <row r="24" spans="1:67">
      <c r="A24" s="181">
        <v>43588</v>
      </c>
      <c r="B24" s="96">
        <v>-1.5248205421734563E-2</v>
      </c>
      <c r="C24" s="96">
        <v>-2.0619287202735703E-2</v>
      </c>
      <c r="D24" s="96">
        <v>2.4891114282669258E-3</v>
      </c>
      <c r="E24" s="96">
        <v>-1.315190399319878E-2</v>
      </c>
      <c r="F24" s="96">
        <v>-1.0368067284402492E-3</v>
      </c>
      <c r="G24" s="96">
        <v>1.3245226750020723E-2</v>
      </c>
      <c r="H24" s="96">
        <v>-3.418806748785609E-3</v>
      </c>
      <c r="J24" s="191" t="s">
        <v>12</v>
      </c>
      <c r="K24" s="163">
        <v>4.8448799738289369E-4</v>
      </c>
      <c r="L24" s="163">
        <v>2.8652605879451705E-4</v>
      </c>
      <c r="M24" s="163">
        <v>9.4124127150726079E-4</v>
      </c>
      <c r="N24" s="163">
        <v>5.8123424440000384E-4</v>
      </c>
      <c r="O24" s="163">
        <v>3.6502863000104232E-4</v>
      </c>
      <c r="P24" s="163">
        <v>3.8581779286427298E-4</v>
      </c>
      <c r="Q24" s="193">
        <v>2.5487148482684609E-4</v>
      </c>
      <c r="U24" s="155"/>
      <c r="V24" s="323"/>
      <c r="W24" s="198"/>
      <c r="X24" s="198"/>
      <c r="Y24" s="198"/>
      <c r="Z24" s="198"/>
      <c r="AA24" s="324"/>
      <c r="AB24" s="324"/>
      <c r="AC24" s="149"/>
      <c r="AD24" s="320"/>
      <c r="AE24" s="319"/>
      <c r="AF24" s="155"/>
      <c r="AG24" s="149"/>
      <c r="AH24" s="149"/>
      <c r="AI24" s="149"/>
      <c r="AJ24" s="149"/>
      <c r="AK24" s="149"/>
      <c r="AL24" s="149"/>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row>
    <row r="25" spans="1:67">
      <c r="A25" s="181">
        <v>43591</v>
      </c>
      <c r="B25" s="96">
        <v>-2.4674068733486987E-2</v>
      </c>
      <c r="C25" s="96">
        <v>-2.1053409197832381E-2</v>
      </c>
      <c r="D25" s="96">
        <v>-1.1878851778105954E-2</v>
      </c>
      <c r="E25" s="96">
        <v>-1.9575702690905621E-2</v>
      </c>
      <c r="F25" s="96">
        <v>-2.0768439448392282E-3</v>
      </c>
      <c r="G25" s="96">
        <v>-2.1613476420537188E-2</v>
      </c>
      <c r="H25" s="96">
        <v>-4.1964199099032082E-2</v>
      </c>
      <c r="J25" s="191" t="s">
        <v>14</v>
      </c>
      <c r="K25" s="163">
        <v>5.6261432484998276E-4</v>
      </c>
      <c r="L25" s="163">
        <v>3.291618082471584E-4</v>
      </c>
      <c r="M25" s="163">
        <v>5.8123424440000384E-4</v>
      </c>
      <c r="N25" s="163">
        <v>9.733134042319815E-4</v>
      </c>
      <c r="O25" s="163">
        <v>4.3349651295088366E-4</v>
      </c>
      <c r="P25" s="163">
        <v>4.3347143347994985E-4</v>
      </c>
      <c r="Q25" s="193">
        <v>2.6093394376415491E-4</v>
      </c>
      <c r="U25" s="155"/>
      <c r="V25" s="149"/>
      <c r="W25" s="325"/>
      <c r="X25" s="322"/>
      <c r="Y25" s="198"/>
      <c r="Z25" s="198"/>
      <c r="AA25" s="198"/>
      <c r="AB25" s="198"/>
      <c r="AC25" s="149"/>
      <c r="AD25" s="319"/>
      <c r="AE25" s="319"/>
      <c r="AF25" s="155"/>
      <c r="AG25" s="149"/>
      <c r="AH25" s="149"/>
      <c r="AI25" s="149"/>
      <c r="AJ25" s="149"/>
      <c r="AK25" s="149"/>
      <c r="AL25" s="149"/>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row>
    <row r="26" spans="1:67">
      <c r="A26" s="181">
        <v>43592</v>
      </c>
      <c r="B26" s="96">
        <v>1.6278694788049227E-3</v>
      </c>
      <c r="C26" s="96">
        <v>-1.4573768445318783E-2</v>
      </c>
      <c r="D26" s="96">
        <v>1.8692133012152546E-2</v>
      </c>
      <c r="E26" s="96">
        <v>-3.0583524844648153E-3</v>
      </c>
      <c r="F26" s="96">
        <v>-2.0811662038245117E-3</v>
      </c>
      <c r="G26" s="96">
        <v>1.1696039763191236E-2</v>
      </c>
      <c r="H26" s="96">
        <v>0</v>
      </c>
      <c r="J26" s="191" t="s">
        <v>16</v>
      </c>
      <c r="K26" s="163">
        <v>4.0390071097522309E-4</v>
      </c>
      <c r="L26" s="163">
        <v>2.9508737473163957E-4</v>
      </c>
      <c r="M26" s="163">
        <v>3.6502863000104232E-4</v>
      </c>
      <c r="N26" s="163">
        <v>4.3349651295088366E-4</v>
      </c>
      <c r="O26" s="163">
        <v>7.5177365292057033E-4</v>
      </c>
      <c r="P26" s="163">
        <v>4.1010786167508837E-4</v>
      </c>
      <c r="Q26" s="193">
        <v>2.9236971482639069E-4</v>
      </c>
      <c r="U26" s="155"/>
      <c r="V26" s="149"/>
      <c r="W26" s="123"/>
      <c r="X26" s="326"/>
      <c r="Y26" s="149"/>
      <c r="Z26" s="149"/>
      <c r="AA26" s="149"/>
      <c r="AB26" s="149"/>
      <c r="AC26" s="149"/>
      <c r="AD26" s="320"/>
      <c r="AE26" s="319"/>
      <c r="AF26" s="155"/>
      <c r="AG26" s="149"/>
      <c r="AH26" s="149"/>
      <c r="AI26" s="149"/>
      <c r="AJ26" s="149"/>
      <c r="AK26" s="149"/>
      <c r="AL26" s="149"/>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row>
    <row r="27" spans="1:67">
      <c r="A27" s="181">
        <v>43593</v>
      </c>
      <c r="B27" s="96">
        <v>-1.4197027794216961E-2</v>
      </c>
      <c r="C27" s="96">
        <v>-6.9324367756447907E-3</v>
      </c>
      <c r="D27" s="96">
        <v>-4.1593897298837015E-2</v>
      </c>
      <c r="E27" s="96">
        <v>-9.0688880661080485E-3</v>
      </c>
      <c r="F27" s="96">
        <v>-1.9990144876502271E-2</v>
      </c>
      <c r="G27" s="96">
        <v>-1.0016778243471232E-2</v>
      </c>
      <c r="H27" s="96">
        <v>7.1174677688639549E-3</v>
      </c>
      <c r="J27" s="191" t="s">
        <v>37</v>
      </c>
      <c r="K27" s="163">
        <v>3.5447104477716806E-4</v>
      </c>
      <c r="L27" s="163">
        <v>2.5406097119453551E-4</v>
      </c>
      <c r="M27" s="163">
        <v>3.8581779286427298E-4</v>
      </c>
      <c r="N27" s="163">
        <v>4.3347143347994985E-4</v>
      </c>
      <c r="O27" s="163">
        <v>4.1010786167508837E-4</v>
      </c>
      <c r="P27" s="163">
        <v>5.5775531033041572E-4</v>
      </c>
      <c r="Q27" s="193">
        <v>2.2262911280316694E-4</v>
      </c>
      <c r="U27" s="155"/>
      <c r="V27" s="149"/>
      <c r="W27" s="123"/>
      <c r="X27" s="327"/>
      <c r="Y27" s="327"/>
      <c r="Z27" s="327"/>
      <c r="AA27" s="327"/>
      <c r="AB27" s="327"/>
      <c r="AC27" s="328"/>
      <c r="AD27" s="320"/>
      <c r="AE27" s="319"/>
      <c r="AF27" s="155"/>
      <c r="AG27" s="149"/>
      <c r="AH27" s="149"/>
      <c r="AI27" s="149"/>
      <c r="AJ27" s="149"/>
      <c r="AK27" s="149"/>
      <c r="AL27" s="149"/>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row>
    <row r="28" spans="1:67" ht="16" thickBot="1">
      <c r="A28" s="181">
        <v>43594</v>
      </c>
      <c r="B28" s="96">
        <v>-3.0713229885406833E-2</v>
      </c>
      <c r="C28" s="96">
        <v>-1.5775962594167435E-2</v>
      </c>
      <c r="D28" s="96">
        <v>-1.4258180627056076E-2</v>
      </c>
      <c r="E28" s="96">
        <v>-4.5654734444689603E-3</v>
      </c>
      <c r="F28" s="96">
        <v>-3.3498540074484009E-2</v>
      </c>
      <c r="G28" s="96">
        <v>-3.4133006369458582E-2</v>
      </c>
      <c r="H28" s="96">
        <v>-2.5135973271542274E-2</v>
      </c>
      <c r="J28" s="194" t="s">
        <v>85</v>
      </c>
      <c r="K28" s="195">
        <v>2.7780467788308803E-4</v>
      </c>
      <c r="L28" s="195">
        <v>1.6939762659213045E-4</v>
      </c>
      <c r="M28" s="195">
        <v>2.5487148482684609E-4</v>
      </c>
      <c r="N28" s="195">
        <v>2.6093394376415491E-4</v>
      </c>
      <c r="O28" s="195">
        <v>2.9236971482639069E-4</v>
      </c>
      <c r="P28" s="195">
        <v>2.2262911280316694E-4</v>
      </c>
      <c r="Q28" s="196">
        <v>3.8734305929205679E-4</v>
      </c>
      <c r="U28" s="155"/>
      <c r="V28" s="149"/>
      <c r="W28" s="149"/>
      <c r="X28" s="149"/>
      <c r="Y28" s="149"/>
      <c r="Z28" s="149"/>
      <c r="AA28" s="149"/>
      <c r="AB28" s="149"/>
      <c r="AC28" s="149"/>
      <c r="AD28" s="319"/>
      <c r="AE28" s="319"/>
      <c r="AF28" s="155"/>
      <c r="AG28" s="149"/>
      <c r="AH28" s="149"/>
      <c r="AI28" s="149"/>
      <c r="AJ28" s="149"/>
      <c r="AK28" s="149"/>
      <c r="AL28" s="149"/>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row>
    <row r="29" spans="1:67">
      <c r="A29" s="181">
        <v>43595</v>
      </c>
      <c r="B29" s="96">
        <v>1.07170070800383E-2</v>
      </c>
      <c r="C29" s="96">
        <v>1.7652255245691492E-3</v>
      </c>
      <c r="D29" s="96">
        <v>-1.4464420491566612E-2</v>
      </c>
      <c r="E29" s="96">
        <v>1.4697479578867161E-3</v>
      </c>
      <c r="F29" s="96">
        <v>-1.5504186535965086E-2</v>
      </c>
      <c r="G29" s="96">
        <v>1.7212128881121426E-2</v>
      </c>
      <c r="H29" s="96">
        <v>1.8018505502678212E-2</v>
      </c>
      <c r="U29" s="155"/>
      <c r="V29" s="149"/>
      <c r="W29" s="149"/>
      <c r="X29" s="149"/>
      <c r="Y29" s="149"/>
      <c r="Z29" s="149"/>
      <c r="AA29" s="149"/>
      <c r="AB29" s="149"/>
      <c r="AC29" s="149"/>
      <c r="AD29" s="319"/>
      <c r="AE29" s="319"/>
      <c r="AF29" s="155"/>
      <c r="AG29" s="149"/>
      <c r="AH29" s="149"/>
      <c r="AI29" s="149"/>
      <c r="AJ29" s="149"/>
      <c r="AK29" s="149"/>
      <c r="AL29" s="149"/>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row>
    <row r="30" spans="1:67">
      <c r="A30" s="181">
        <v>43598</v>
      </c>
      <c r="B30" s="96">
        <v>-1.3556466083608075E-2</v>
      </c>
      <c r="C30" s="96">
        <v>0</v>
      </c>
      <c r="D30" s="96">
        <v>-2.0067563050809142E-2</v>
      </c>
      <c r="E30" s="96">
        <v>-1.5458291701420834E-2</v>
      </c>
      <c r="F30" s="96">
        <v>-1.9155515289753716E-2</v>
      </c>
      <c r="G30" s="96">
        <v>-2.0690393257446166E-2</v>
      </c>
      <c r="H30" s="96">
        <v>-3.2670782289548707E-2</v>
      </c>
      <c r="U30" s="155"/>
      <c r="V30" s="149"/>
      <c r="W30" s="149"/>
      <c r="X30" s="149"/>
      <c r="Y30" s="149"/>
      <c r="Z30" s="149"/>
      <c r="AA30" s="149"/>
      <c r="AB30" s="149"/>
      <c r="AC30" s="149"/>
      <c r="AD30" s="155"/>
      <c r="AE30" s="155"/>
      <c r="AF30" s="155"/>
      <c r="AG30" s="149"/>
      <c r="AH30" s="149"/>
      <c r="AI30" s="149"/>
      <c r="AJ30" s="149"/>
      <c r="AK30" s="149"/>
      <c r="AL30" s="149"/>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row>
    <row r="31" spans="1:67">
      <c r="A31" s="181">
        <v>43599</v>
      </c>
      <c r="B31" s="96">
        <v>-1.9409165131132878E-2</v>
      </c>
      <c r="C31" s="96">
        <v>1.0526412986987603E-2</v>
      </c>
      <c r="D31" s="96">
        <v>-1.29209550074613E-2</v>
      </c>
      <c r="E31" s="96">
        <v>1.0878630442396208E-2</v>
      </c>
      <c r="F31" s="96">
        <v>-2.1852508437623493E-2</v>
      </c>
      <c r="G31" s="96">
        <v>3.4782643763247925E-3</v>
      </c>
      <c r="H31" s="96">
        <v>1.1009285508369175E-2</v>
      </c>
      <c r="U31" s="155"/>
      <c r="V31" s="149"/>
      <c r="W31" s="149"/>
      <c r="X31" s="149"/>
      <c r="Y31" s="149"/>
      <c r="Z31" s="149"/>
      <c r="AA31" s="149"/>
      <c r="AB31" s="149"/>
      <c r="AC31" s="149"/>
      <c r="AD31" s="155"/>
      <c r="AE31" s="155"/>
      <c r="AF31" s="155"/>
      <c r="AG31" s="149"/>
      <c r="AH31" s="149"/>
      <c r="AI31" s="149"/>
      <c r="AJ31" s="149"/>
      <c r="AK31" s="149"/>
      <c r="AL31" s="149"/>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row>
    <row r="32" spans="1:67">
      <c r="A32" s="181">
        <v>43600</v>
      </c>
      <c r="B32" s="96">
        <v>-2.9420808747892629E-2</v>
      </c>
      <c r="C32" s="96">
        <v>-9.6449673591819558E-3</v>
      </c>
      <c r="D32" s="96">
        <v>-1.3783815751177337E-2</v>
      </c>
      <c r="E32" s="96">
        <v>-1.5529801618126926E-2</v>
      </c>
      <c r="F32" s="96">
        <v>-1.996543124569793E-2</v>
      </c>
      <c r="G32" s="96">
        <v>1.0362787035546658E-2</v>
      </c>
      <c r="H32" s="96">
        <v>-3.6563112031104319E-3</v>
      </c>
      <c r="V32" s="140"/>
      <c r="W32" s="140"/>
      <c r="X32" s="140"/>
      <c r="Y32" s="140"/>
      <c r="Z32" s="140"/>
      <c r="AA32" s="140"/>
      <c r="AB32" s="140"/>
      <c r="AC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row>
    <row r="33" spans="1:67">
      <c r="A33" s="181">
        <v>43601</v>
      </c>
      <c r="B33" s="96">
        <v>-3.5893793023571946E-3</v>
      </c>
      <c r="C33" s="96">
        <v>-1.7636688874967041E-3</v>
      </c>
      <c r="D33" s="96">
        <v>6.2262394150978777E-3</v>
      </c>
      <c r="E33" s="96">
        <v>9.2808090744727831E-3</v>
      </c>
      <c r="F33" s="96">
        <v>1.4134510934904934E-2</v>
      </c>
      <c r="G33" s="96">
        <v>-3.4423441909729015E-3</v>
      </c>
      <c r="H33" s="96">
        <v>0</v>
      </c>
      <c r="V33" s="140"/>
      <c r="W33" s="140"/>
      <c r="X33" s="140"/>
      <c r="Y33" s="140"/>
      <c r="Z33" s="140"/>
      <c r="AA33" s="140"/>
      <c r="AB33" s="140"/>
      <c r="AC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row>
    <row r="34" spans="1:67">
      <c r="A34" s="181">
        <v>43602</v>
      </c>
      <c r="B34" s="96">
        <v>7.7607696547124707E-3</v>
      </c>
      <c r="C34" s="96">
        <v>1.7636688874967138E-3</v>
      </c>
      <c r="D34" s="96">
        <v>1.709443335930004E-2</v>
      </c>
      <c r="E34" s="96">
        <v>1.648261457717386E-3</v>
      </c>
      <c r="F34" s="96">
        <v>-5.8651194523981339E-3</v>
      </c>
      <c r="G34" s="96">
        <v>1.722653311446156E-3</v>
      </c>
      <c r="H34" s="96">
        <v>0</v>
      </c>
      <c r="V34" s="140"/>
      <c r="W34" s="140"/>
      <c r="X34" s="140"/>
      <c r="Y34" s="140"/>
      <c r="Z34" s="140"/>
      <c r="AA34" s="140"/>
      <c r="AB34" s="140"/>
      <c r="AC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row>
    <row r="35" spans="1:67">
      <c r="A35" s="181">
        <v>43605</v>
      </c>
      <c r="B35" s="96">
        <v>-2.3815205349764271E-3</v>
      </c>
      <c r="C35" s="96">
        <v>1.7605638350329589E-3</v>
      </c>
      <c r="D35" s="96">
        <v>-2.7493140580198732E-2</v>
      </c>
      <c r="E35" s="96">
        <v>-1.409758815011382E-2</v>
      </c>
      <c r="F35" s="96">
        <v>-8.2693914825067421E-3</v>
      </c>
      <c r="G35" s="96">
        <v>3.4364294985813186E-3</v>
      </c>
      <c r="H35" s="96">
        <v>7.2993024816115351E-3</v>
      </c>
      <c r="V35" s="140"/>
      <c r="W35" s="140"/>
      <c r="X35" s="140"/>
      <c r="Y35" s="140"/>
      <c r="Z35" s="140"/>
      <c r="AA35" s="140"/>
      <c r="AB35" s="140"/>
      <c r="AC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row>
    <row r="36" spans="1:67">
      <c r="A36" s="181">
        <v>43606</v>
      </c>
      <c r="B36" s="96">
        <v>5.9591206101707484E-4</v>
      </c>
      <c r="C36" s="96">
        <v>7.0114222378040826E-3</v>
      </c>
      <c r="D36" s="96">
        <v>4.895607043277405E-2</v>
      </c>
      <c r="E36" s="96">
        <v>4.0106856625232216E-2</v>
      </c>
      <c r="F36" s="96">
        <v>2.3447733081572632E-2</v>
      </c>
      <c r="G36" s="96">
        <v>1.0238997301094286E-2</v>
      </c>
      <c r="H36" s="96">
        <v>0</v>
      </c>
      <c r="V36" s="140"/>
      <c r="W36" s="140"/>
      <c r="X36" s="140"/>
      <c r="Y36" s="140"/>
      <c r="Z36" s="140"/>
      <c r="AA36" s="140"/>
      <c r="AB36" s="140"/>
      <c r="AC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row>
    <row r="37" spans="1:67">
      <c r="A37" s="181">
        <v>43607</v>
      </c>
      <c r="B37" s="96">
        <v>0</v>
      </c>
      <c r="C37" s="96">
        <v>-2.4758116919139237E-2</v>
      </c>
      <c r="D37" s="96">
        <v>-1.3360252166340493E-2</v>
      </c>
      <c r="E37" s="96">
        <v>-3.0534374868903431E-3</v>
      </c>
      <c r="F37" s="96">
        <v>-2.8203984616221735E-2</v>
      </c>
      <c r="G37" s="96">
        <v>-6.8143364197301654E-3</v>
      </c>
      <c r="H37" s="96">
        <v>-1.4652276786870375E-2</v>
      </c>
      <c r="V37" s="140"/>
      <c r="W37" s="140"/>
      <c r="X37" s="140"/>
      <c r="Y37" s="140"/>
      <c r="Z37" s="140"/>
      <c r="AA37" s="140"/>
      <c r="AB37" s="140"/>
      <c r="AC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row>
    <row r="38" spans="1:67">
      <c r="A38" s="181">
        <v>43608</v>
      </c>
      <c r="B38" s="96">
        <v>1.6542974453757221E-2</v>
      </c>
      <c r="C38" s="96">
        <v>1.0685765080461316E-2</v>
      </c>
      <c r="D38" s="96">
        <v>-1.1498266687373134E-2</v>
      </c>
      <c r="E38" s="96">
        <v>-1.3775438643266602E-2</v>
      </c>
      <c r="F38" s="96">
        <v>3.2828270313335649E-2</v>
      </c>
      <c r="G38" s="96">
        <v>1.7079423451563376E-3</v>
      </c>
      <c r="H38" s="96">
        <v>1.4652276786870415E-2</v>
      </c>
      <c r="V38" s="140"/>
      <c r="W38" s="140"/>
      <c r="X38" s="140"/>
      <c r="Y38" s="140"/>
      <c r="Z38" s="140"/>
      <c r="AA38" s="140"/>
      <c r="AB38" s="140"/>
      <c r="AC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row>
    <row r="39" spans="1:67">
      <c r="A39" s="181">
        <v>43609</v>
      </c>
      <c r="B39" s="96">
        <v>7.0069187766383422E-3</v>
      </c>
      <c r="C39" s="96">
        <v>1.4072351838678037E-2</v>
      </c>
      <c r="D39" s="96">
        <v>2.0202707317519469E-2</v>
      </c>
      <c r="E39" s="96">
        <v>9.2585734061609061E-3</v>
      </c>
      <c r="F39" s="96">
        <v>-4.6242856971137917E-3</v>
      </c>
      <c r="G39" s="96">
        <v>5.1063940745740555E-3</v>
      </c>
      <c r="H39" s="96">
        <v>-7.299302481611496E-3</v>
      </c>
      <c r="V39" s="140"/>
      <c r="W39" s="140"/>
      <c r="X39" s="140"/>
      <c r="Y39" s="140"/>
      <c r="Z39" s="140"/>
      <c r="AA39" s="140"/>
      <c r="AB39" s="140"/>
      <c r="AC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row>
    <row r="40" spans="1:67">
      <c r="A40" s="181">
        <v>43612</v>
      </c>
      <c r="B40" s="96">
        <v>5.6446987659210822E-2</v>
      </c>
      <c r="C40" s="96">
        <v>3.8548670117235243E-2</v>
      </c>
      <c r="D40" s="96">
        <v>4.8790164169432049E-2</v>
      </c>
      <c r="E40" s="96">
        <v>0.10808920653061971</v>
      </c>
      <c r="F40" s="96">
        <v>2.8557051908742061E-2</v>
      </c>
      <c r="G40" s="96">
        <v>4.4820779881933163E-2</v>
      </c>
      <c r="H40" s="96">
        <v>3.9502442976246173E-2</v>
      </c>
      <c r="V40" s="140"/>
      <c r="W40" s="140"/>
      <c r="X40" s="140"/>
      <c r="Y40" s="140"/>
      <c r="Z40" s="140"/>
      <c r="AA40" s="140"/>
      <c r="AB40" s="140"/>
      <c r="AC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row>
    <row r="41" spans="1:67">
      <c r="A41" s="181">
        <v>43613</v>
      </c>
      <c r="B41" s="96">
        <v>8.7604590053613381E-3</v>
      </c>
      <c r="C41" s="96">
        <v>-2.1232220105774167E-2</v>
      </c>
      <c r="D41" s="96">
        <v>1.7621601349819629E-2</v>
      </c>
      <c r="E41" s="96">
        <v>1.0824959568738612E-2</v>
      </c>
      <c r="F41" s="96">
        <v>-1.7036187152567852E-2</v>
      </c>
      <c r="G41" s="96">
        <v>5.0643732818754936E-2</v>
      </c>
      <c r="H41" s="96">
        <v>3.5149421074445919E-3</v>
      </c>
      <c r="V41" s="140"/>
      <c r="W41" s="140"/>
      <c r="X41" s="140"/>
      <c r="Y41" s="140"/>
      <c r="Z41" s="140"/>
      <c r="AA41" s="140"/>
      <c r="AB41" s="140"/>
      <c r="AC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row>
    <row r="42" spans="1:67">
      <c r="A42" s="181">
        <v>43614</v>
      </c>
      <c r="B42" s="96">
        <v>-3.2761850861054852E-3</v>
      </c>
      <c r="C42" s="96">
        <v>3.789927259098573E-2</v>
      </c>
      <c r="D42" s="96">
        <v>-1.4452026588540452E-2</v>
      </c>
      <c r="E42" s="96">
        <v>-1.2928250023051934E-3</v>
      </c>
      <c r="F42" s="96">
        <v>7.9863516326499229E-3</v>
      </c>
      <c r="G42" s="96">
        <v>-2.500130220541727E-2</v>
      </c>
      <c r="H42" s="96">
        <v>-1.7699577099400975E-2</v>
      </c>
      <c r="V42" s="140"/>
      <c r="W42" s="140"/>
      <c r="X42" s="140"/>
      <c r="Y42" s="140"/>
      <c r="Z42" s="140"/>
      <c r="AA42" s="140"/>
      <c r="AB42" s="140"/>
      <c r="AC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row>
    <row r="43" spans="1:67">
      <c r="A43" s="181">
        <v>43615</v>
      </c>
      <c r="B43" s="96">
        <v>1.5197860909431522E-2</v>
      </c>
      <c r="C43" s="96">
        <v>1.3136477905369981E-2</v>
      </c>
      <c r="D43" s="96">
        <v>1.2578782206859965E-2</v>
      </c>
      <c r="E43" s="96">
        <v>2.5839807659250678E-3</v>
      </c>
      <c r="F43" s="96">
        <v>2.2701485345390775E-3</v>
      </c>
      <c r="G43" s="96">
        <v>1.4140062773812693E-2</v>
      </c>
      <c r="H43" s="96">
        <v>3.1637084943182445E-2</v>
      </c>
      <c r="V43" s="140"/>
      <c r="W43" s="140"/>
      <c r="X43" s="140"/>
      <c r="Y43" s="140"/>
      <c r="Z43" s="140"/>
      <c r="AA43" s="140"/>
      <c r="AB43" s="140"/>
      <c r="AC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row>
    <row r="44" spans="1:67">
      <c r="A44" s="181">
        <v>43616</v>
      </c>
      <c r="B44" s="96">
        <v>9.1158334080096333E-3</v>
      </c>
      <c r="C44" s="96">
        <v>-8.1599351732930254E-4</v>
      </c>
      <c r="D44" s="96">
        <v>-6.2696130135953742E-3</v>
      </c>
      <c r="E44" s="96">
        <v>1.2112723797721475E-2</v>
      </c>
      <c r="F44" s="96">
        <v>3.1252543504104315E-2</v>
      </c>
      <c r="G44" s="96">
        <v>2.465456156394058E-2</v>
      </c>
      <c r="H44" s="96">
        <v>0</v>
      </c>
      <c r="V44" s="140"/>
      <c r="W44" s="140"/>
      <c r="X44" s="140"/>
      <c r="Y44" s="140"/>
      <c r="Z44" s="140"/>
      <c r="AA44" s="140"/>
      <c r="AB44" s="140"/>
      <c r="AC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row>
    <row r="45" spans="1:67">
      <c r="A45" s="181">
        <v>43619</v>
      </c>
      <c r="B45" s="96">
        <v>1.6936998497648716E-2</v>
      </c>
      <c r="C45" s="96">
        <v>1.6997576368571077E-2</v>
      </c>
      <c r="D45" s="96">
        <v>3.096222560396689E-2</v>
      </c>
      <c r="E45" s="96">
        <v>6.6351623396074593E-3</v>
      </c>
      <c r="F45" s="96">
        <v>-1.1049836186584935E-2</v>
      </c>
      <c r="G45" s="96">
        <v>1.5106027431013096E-2</v>
      </c>
      <c r="H45" s="96">
        <v>1.3745920904635136E-2</v>
      </c>
      <c r="V45" s="140"/>
      <c r="W45" s="140"/>
      <c r="X45" s="140"/>
      <c r="Y45" s="140"/>
      <c r="Z45" s="140"/>
      <c r="AA45" s="140"/>
      <c r="AB45" s="140"/>
      <c r="AC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row>
    <row r="46" spans="1:67">
      <c r="A46" s="181">
        <v>43620</v>
      </c>
      <c r="B46" s="96">
        <v>-2.4976057816479592E-2</v>
      </c>
      <c r="C46" s="96">
        <v>-3.2154368539744657E-3</v>
      </c>
      <c r="D46" s="96">
        <v>-1.3505423199807007E-2</v>
      </c>
      <c r="E46" s="96">
        <v>-6.6351623396075071E-3</v>
      </c>
      <c r="F46" s="96">
        <v>1.1104942840271153E-3</v>
      </c>
      <c r="G46" s="96">
        <v>-4.5078964391899283E-3</v>
      </c>
      <c r="H46" s="96">
        <v>-3.418806748785609E-3</v>
      </c>
      <c r="V46" s="140"/>
      <c r="W46" s="140"/>
      <c r="X46" s="140"/>
      <c r="Y46" s="140"/>
      <c r="Z46" s="140"/>
      <c r="AA46" s="140"/>
      <c r="AB46" s="140"/>
      <c r="AC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row>
    <row r="47" spans="1:67">
      <c r="A47" s="181">
        <v>43621</v>
      </c>
      <c r="B47" s="96">
        <v>0</v>
      </c>
      <c r="C47" s="96">
        <v>-3.2258092488825657E-3</v>
      </c>
      <c r="D47" s="96">
        <v>1.8978224941161873E-2</v>
      </c>
      <c r="E47" s="96">
        <v>-1.2756007682470716E-3</v>
      </c>
      <c r="F47" s="96">
        <v>-1.1104942840271764E-3</v>
      </c>
      <c r="G47" s="96">
        <v>-1.5071592905713629E-3</v>
      </c>
      <c r="H47" s="96">
        <v>6.8259650703998906E-3</v>
      </c>
      <c r="V47" s="140"/>
      <c r="W47" s="140"/>
      <c r="X47" s="140"/>
      <c r="Y47" s="140"/>
      <c r="Z47" s="140"/>
      <c r="AA47" s="140"/>
      <c r="AB47" s="140"/>
      <c r="AC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row>
    <row r="48" spans="1:67">
      <c r="A48" s="181">
        <v>43622</v>
      </c>
      <c r="B48" s="96">
        <v>1.7072544416498681E-2</v>
      </c>
      <c r="C48" s="96">
        <v>-2.0400544300491302E-2</v>
      </c>
      <c r="D48" s="96">
        <v>-2.4286593601266274E-3</v>
      </c>
      <c r="E48" s="96">
        <v>0</v>
      </c>
      <c r="F48" s="96">
        <v>0</v>
      </c>
      <c r="G48" s="96">
        <v>-3.2186686495901333E-2</v>
      </c>
      <c r="H48" s="96">
        <v>-3.4071583216141975E-3</v>
      </c>
      <c r="V48" s="140"/>
      <c r="W48" s="140"/>
      <c r="X48" s="140"/>
      <c r="Y48" s="140"/>
      <c r="Z48" s="140"/>
      <c r="AA48" s="140"/>
      <c r="AB48" s="140"/>
      <c r="AC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row>
    <row r="49" spans="1:67">
      <c r="A49" s="181">
        <v>43623</v>
      </c>
      <c r="B49" s="96">
        <v>6.3278000638193809E-3</v>
      </c>
      <c r="C49" s="96">
        <v>-8.2474231479049472E-4</v>
      </c>
      <c r="D49" s="96">
        <v>-1.6549565581035274E-2</v>
      </c>
      <c r="E49" s="96">
        <v>-6.6880363132982394E-3</v>
      </c>
      <c r="F49" s="96">
        <v>-1.5677812719229904E-2</v>
      </c>
      <c r="G49" s="96">
        <v>1.0844413014128876E-2</v>
      </c>
      <c r="H49" s="96">
        <v>6.8027473227523999E-3</v>
      </c>
      <c r="V49" s="140"/>
      <c r="W49" s="140"/>
      <c r="X49" s="140"/>
      <c r="Y49" s="140"/>
      <c r="Z49" s="140"/>
      <c r="AA49" s="140"/>
      <c r="AB49" s="140"/>
      <c r="AC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row>
    <row r="50" spans="1:67">
      <c r="A50" s="181">
        <v>43626</v>
      </c>
      <c r="B50" s="96">
        <v>3.805956182434498E-2</v>
      </c>
      <c r="C50" s="96">
        <v>2.6060106669865087E-2</v>
      </c>
      <c r="D50" s="96">
        <v>1.9584469276189394E-2</v>
      </c>
      <c r="E50" s="96">
        <v>2.9126223511017124E-2</v>
      </c>
      <c r="F50" s="96">
        <v>1.3453117697118676E-2</v>
      </c>
      <c r="G50" s="96">
        <v>4.0760359338873974E-2</v>
      </c>
      <c r="H50" s="96">
        <v>0</v>
      </c>
      <c r="V50" s="140"/>
      <c r="W50" s="140"/>
      <c r="X50" s="140"/>
      <c r="Y50" s="140"/>
      <c r="Z50" s="140"/>
      <c r="AA50" s="140"/>
      <c r="AB50" s="140"/>
      <c r="AC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row>
    <row r="51" spans="1:67">
      <c r="A51" s="181">
        <v>43627</v>
      </c>
      <c r="B51" s="96">
        <v>6.0538980171823418E-3</v>
      </c>
      <c r="C51" s="96">
        <v>3.2102756302481894E-3</v>
      </c>
      <c r="D51" s="96">
        <v>-9.7442914746781635E-3</v>
      </c>
      <c r="E51" s="96">
        <v>4.8321193814954574E-2</v>
      </c>
      <c r="F51" s="96">
        <v>-6.7039357221903295E-3</v>
      </c>
      <c r="G51" s="96">
        <v>0</v>
      </c>
      <c r="H51" s="96">
        <v>0</v>
      </c>
      <c r="V51" s="140"/>
      <c r="W51" s="140"/>
      <c r="X51" s="140"/>
      <c r="Y51" s="140"/>
      <c r="Z51" s="140"/>
      <c r="AA51" s="140"/>
      <c r="AB51" s="140"/>
      <c r="AC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row>
    <row r="52" spans="1:67">
      <c r="A52" s="181">
        <v>43628</v>
      </c>
      <c r="B52" s="96">
        <v>-1.5101893460037928E-2</v>
      </c>
      <c r="C52" s="96">
        <v>-9.6619109117369716E-3</v>
      </c>
      <c r="D52" s="96">
        <v>-1.6661909682435534E-2</v>
      </c>
      <c r="E52" s="96">
        <v>-7.4270898436153412E-3</v>
      </c>
      <c r="F52" s="96">
        <v>-1.3544225107757149E-2</v>
      </c>
      <c r="G52" s="96">
        <v>5.899722127188322E-3</v>
      </c>
      <c r="H52" s="96">
        <v>-6.8027473227525231E-3</v>
      </c>
      <c r="V52" s="140"/>
      <c r="W52" s="140"/>
      <c r="X52" s="140"/>
      <c r="Y52" s="140"/>
      <c r="Z52" s="140"/>
      <c r="AA52" s="140"/>
      <c r="AB52" s="140"/>
      <c r="AC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row>
    <row r="53" spans="1:67">
      <c r="A53" s="181">
        <v>43629</v>
      </c>
      <c r="B53" s="96">
        <v>1.5604734522576588E-2</v>
      </c>
      <c r="C53" s="96">
        <v>2.0024697947283433E-2</v>
      </c>
      <c r="D53" s="96">
        <v>-2.2656727481891417E-2</v>
      </c>
      <c r="E53" s="96">
        <v>9.9345144499760618E-3</v>
      </c>
      <c r="F53" s="96">
        <v>-2.2989518224698833E-2</v>
      </c>
      <c r="G53" s="96">
        <v>1.8937201019750782E-2</v>
      </c>
      <c r="H53" s="96">
        <v>6.8027473227523999E-3</v>
      </c>
      <c r="V53" s="140"/>
      <c r="W53" s="140"/>
      <c r="X53" s="140"/>
      <c r="Y53" s="140"/>
      <c r="Z53" s="140"/>
      <c r="AA53" s="140"/>
      <c r="AB53" s="140"/>
      <c r="AC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row>
    <row r="54" spans="1:67">
      <c r="A54" s="181">
        <v>43630</v>
      </c>
      <c r="B54" s="96">
        <v>-1.152808802881298E-2</v>
      </c>
      <c r="C54" s="96">
        <v>-4.7694843990351687E-3</v>
      </c>
      <c r="D54" s="96">
        <v>-1.5394787682555021E-2</v>
      </c>
      <c r="E54" s="96">
        <v>4.9960661375374679E-3</v>
      </c>
      <c r="F54" s="96">
        <v>-1.1696039763191187E-2</v>
      </c>
      <c r="G54" s="96">
        <v>2.8818463748889502E-3</v>
      </c>
      <c r="H54" s="96">
        <v>0</v>
      </c>
      <c r="V54" s="140"/>
      <c r="W54" s="140"/>
      <c r="X54" s="140"/>
      <c r="Y54" s="140"/>
      <c r="Z54" s="140"/>
      <c r="AA54" s="140"/>
      <c r="AB54" s="140"/>
      <c r="AC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row>
    <row r="55" spans="1:67">
      <c r="A55" s="181">
        <v>43634</v>
      </c>
      <c r="B55" s="96">
        <v>1.3035095899294899E-2</v>
      </c>
      <c r="C55" s="96">
        <v>1.1093616148503259E-2</v>
      </c>
      <c r="D55" s="96">
        <v>4.980543953468982E-2</v>
      </c>
      <c r="E55" s="96">
        <v>1.4710933784845902E-2</v>
      </c>
      <c r="F55" s="96">
        <v>-2.3557136924590365E-3</v>
      </c>
      <c r="G55" s="96">
        <v>7.168489478612497E-3</v>
      </c>
      <c r="H55" s="96">
        <v>0</v>
      </c>
      <c r="V55" s="140"/>
      <c r="W55" s="140"/>
      <c r="X55" s="140"/>
      <c r="Y55" s="140"/>
      <c r="Z55" s="140"/>
      <c r="AA55" s="140"/>
      <c r="AB55" s="140"/>
      <c r="AC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row>
    <row r="56" spans="1:67">
      <c r="A56" s="181">
        <v>43635</v>
      </c>
      <c r="B56" s="96">
        <v>-1.7622493719346159E-2</v>
      </c>
      <c r="C56" s="96">
        <v>-7.1174677688639896E-3</v>
      </c>
      <c r="D56" s="96">
        <v>-1.8467225931647741E-3</v>
      </c>
      <c r="E56" s="96">
        <v>-6.092442203404512E-3</v>
      </c>
      <c r="F56" s="96">
        <v>3.9311420214888142E-2</v>
      </c>
      <c r="G56" s="96">
        <v>-2.0202707317519355E-2</v>
      </c>
      <c r="H56" s="96">
        <v>0</v>
      </c>
      <c r="V56" s="140"/>
      <c r="W56" s="140"/>
      <c r="X56" s="140"/>
      <c r="Y56" s="140"/>
      <c r="Z56" s="140"/>
      <c r="AA56" s="140"/>
      <c r="AB56" s="140"/>
      <c r="AC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row>
    <row r="57" spans="1:67">
      <c r="A57" s="181">
        <v>43636</v>
      </c>
      <c r="B57" s="96">
        <v>-2.557676978726746E-3</v>
      </c>
      <c r="C57" s="96">
        <v>-7.9681696491768449E-3</v>
      </c>
      <c r="D57" s="96">
        <v>1.9524720296572162E-2</v>
      </c>
      <c r="E57" s="96">
        <v>2.4673735003214159E-3</v>
      </c>
      <c r="F57" s="96">
        <v>-7.9681696491769576E-3</v>
      </c>
      <c r="G57" s="96">
        <v>1.4566644964641641E-3</v>
      </c>
      <c r="H57" s="96">
        <v>-1.7094433359300068E-2</v>
      </c>
      <c r="V57" s="140"/>
      <c r="W57" s="140"/>
      <c r="X57" s="140"/>
      <c r="Y57" s="140"/>
      <c r="Z57" s="140"/>
      <c r="AA57" s="140"/>
      <c r="AB57" s="140"/>
      <c r="AC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row>
    <row r="58" spans="1:67">
      <c r="A58" s="181">
        <v>43637</v>
      </c>
      <c r="B58" s="96">
        <v>2.2686814613461885E-2</v>
      </c>
      <c r="C58" s="96">
        <v>-2.6754737308819613E-2</v>
      </c>
      <c r="D58" s="96">
        <v>1.3801599215988294E-2</v>
      </c>
      <c r="E58" s="96">
        <v>6.0774739334963869E-3</v>
      </c>
      <c r="F58" s="96">
        <v>-4.6792161506758939E-2</v>
      </c>
      <c r="G58" s="96">
        <v>1.8746042821055412E-2</v>
      </c>
      <c r="H58" s="96">
        <v>1.0291686036547724E-2</v>
      </c>
      <c r="V58" s="140"/>
      <c r="W58" s="140"/>
      <c r="X58" s="140"/>
      <c r="Y58" s="140"/>
      <c r="Z58" s="140"/>
      <c r="AA58" s="140"/>
      <c r="AB58" s="140"/>
      <c r="AC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row>
    <row r="59" spans="1:67">
      <c r="A59" s="181">
        <v>43640</v>
      </c>
      <c r="B59" s="96">
        <v>2.4238214818385256E-2</v>
      </c>
      <c r="C59" s="96">
        <v>1.8722565611555362E-2</v>
      </c>
      <c r="D59" s="96">
        <v>-7.7774846126074468E-3</v>
      </c>
      <c r="E59" s="96">
        <v>6.040761252130409E-3</v>
      </c>
      <c r="F59" s="96">
        <v>2.9500664396697841E-2</v>
      </c>
      <c r="G59" s="96">
        <v>1.4184634991956381E-2</v>
      </c>
      <c r="H59" s="96">
        <v>0</v>
      </c>
      <c r="V59" s="140"/>
      <c r="W59" s="140"/>
      <c r="X59" s="140"/>
      <c r="Y59" s="140"/>
      <c r="Z59" s="140"/>
      <c r="AA59" s="140"/>
      <c r="AB59" s="140"/>
      <c r="AC59" s="140"/>
    </row>
    <row r="60" spans="1:67">
      <c r="A60" s="181">
        <v>43641</v>
      </c>
      <c r="B60" s="96">
        <v>-1.5762320230795344E-2</v>
      </c>
      <c r="C60" s="96">
        <v>8.0321716972642527E-3</v>
      </c>
      <c r="D60" s="96">
        <v>-9.0498355199178145E-3</v>
      </c>
      <c r="E60" s="96">
        <v>6.0044894552537297E-3</v>
      </c>
      <c r="F60" s="96">
        <v>0</v>
      </c>
      <c r="G60" s="96">
        <v>-1.4094435032336043E-3</v>
      </c>
      <c r="H60" s="96">
        <v>3.4071583216141346E-3</v>
      </c>
      <c r="V60" s="140"/>
      <c r="W60" s="140"/>
      <c r="X60" s="140"/>
      <c r="Y60" s="140"/>
      <c r="Z60" s="140"/>
      <c r="AA60" s="140"/>
      <c r="AB60" s="140"/>
      <c r="AC60" s="140"/>
    </row>
    <row r="61" spans="1:67">
      <c r="A61" s="181">
        <v>43642</v>
      </c>
      <c r="B61" s="96">
        <v>-5.8157703901277939E-2</v>
      </c>
      <c r="C61" s="96">
        <v>7.9681696491768813E-3</v>
      </c>
      <c r="D61" s="96">
        <v>1.2048338516174355E-2</v>
      </c>
      <c r="E61" s="96">
        <v>3.295005256813717E-2</v>
      </c>
      <c r="F61" s="96">
        <v>-1.1634672632980698E-3</v>
      </c>
      <c r="G61" s="96">
        <v>2.2316128322547243E-2</v>
      </c>
      <c r="H61" s="96">
        <v>0</v>
      </c>
      <c r="V61" s="140"/>
      <c r="W61" s="140"/>
      <c r="X61" s="140"/>
      <c r="Y61" s="140"/>
      <c r="Z61" s="140"/>
      <c r="AA61" s="140"/>
      <c r="AB61" s="140"/>
      <c r="AC61" s="140"/>
    </row>
    <row r="62" spans="1:67">
      <c r="A62" s="181">
        <v>43643</v>
      </c>
      <c r="B62" s="96">
        <v>3.0063423005240654E-2</v>
      </c>
      <c r="C62" s="96">
        <v>2.0424904852040942E-2</v>
      </c>
      <c r="D62" s="96">
        <v>0</v>
      </c>
      <c r="E62" s="96">
        <v>3.201825774058762E-2</v>
      </c>
      <c r="F62" s="96">
        <v>-1.0532572499893268E-2</v>
      </c>
      <c r="G62" s="96">
        <v>2.317758831270559E-2</v>
      </c>
      <c r="H62" s="96">
        <v>3.3955890011383287E-3</v>
      </c>
      <c r="V62" s="140"/>
      <c r="W62" s="140"/>
      <c r="X62" s="140"/>
      <c r="Y62" s="140"/>
      <c r="Z62" s="140"/>
      <c r="AA62" s="140"/>
      <c r="AB62" s="140"/>
      <c r="AC62" s="140"/>
    </row>
    <row r="63" spans="1:67">
      <c r="A63" s="181">
        <v>43644</v>
      </c>
      <c r="B63" s="96">
        <v>5.0932166738162921E-3</v>
      </c>
      <c r="C63" s="96">
        <v>1.0827638652063393E-2</v>
      </c>
      <c r="D63" s="96">
        <v>1.7804624633506686E-2</v>
      </c>
      <c r="E63" s="96">
        <v>1.2219144854719796E-2</v>
      </c>
      <c r="F63" s="96">
        <v>9.367750003600241E-3</v>
      </c>
      <c r="G63" s="96">
        <v>-1.220354128072889E-2</v>
      </c>
      <c r="H63" s="96">
        <v>1.3468217050866611E-2</v>
      </c>
      <c r="V63" s="140"/>
      <c r="W63" s="140"/>
      <c r="X63" s="140"/>
      <c r="Y63" s="140"/>
      <c r="Z63" s="140"/>
      <c r="AA63" s="140"/>
      <c r="AB63" s="140"/>
      <c r="AC63" s="140"/>
    </row>
    <row r="64" spans="1:67">
      <c r="A64" s="181">
        <v>43647</v>
      </c>
      <c r="B64" s="96">
        <v>-5.0932166738163242E-3</v>
      </c>
      <c r="C64" s="96">
        <v>-8.4975405104406633E-3</v>
      </c>
      <c r="D64" s="96">
        <v>1.4598799421152631E-2</v>
      </c>
      <c r="E64" s="96">
        <v>4.4508153018307059E-2</v>
      </c>
      <c r="F64" s="96">
        <v>2.5317807984290001E-2</v>
      </c>
      <c r="G64" s="96">
        <v>5.4421903026850363E-3</v>
      </c>
      <c r="H64" s="96">
        <v>6.6666913581892974E-3</v>
      </c>
      <c r="V64" s="140"/>
      <c r="W64" s="140"/>
      <c r="X64" s="140"/>
      <c r="Y64" s="140"/>
      <c r="Z64" s="140"/>
      <c r="AA64" s="140"/>
      <c r="AB64" s="140"/>
      <c r="AC64" s="140"/>
    </row>
    <row r="65" spans="1:29">
      <c r="A65" s="181">
        <v>43648</v>
      </c>
      <c r="B65" s="96">
        <v>5.0932166738162921E-3</v>
      </c>
      <c r="C65" s="96">
        <v>5.4158739730326378E-3</v>
      </c>
      <c r="D65" s="96">
        <v>0</v>
      </c>
      <c r="E65" s="96">
        <v>-3.1627723190590855E-3</v>
      </c>
      <c r="F65" s="96">
        <v>1.1357184639274286E-3</v>
      </c>
      <c r="G65" s="96">
        <v>-2.7173929765000266E-3</v>
      </c>
      <c r="H65" s="96">
        <v>2.9462032730316067E-2</v>
      </c>
      <c r="V65" s="140"/>
      <c r="W65" s="140"/>
      <c r="X65" s="140"/>
      <c r="Y65" s="140"/>
      <c r="Z65" s="140"/>
      <c r="AA65" s="140"/>
      <c r="AB65" s="140"/>
      <c r="AC65" s="140"/>
    </row>
    <row r="66" spans="1:29">
      <c r="A66" s="181">
        <v>43649</v>
      </c>
      <c r="B66" s="96">
        <v>1.5025745307095039E-2</v>
      </c>
      <c r="C66" s="96">
        <v>7.7130740422382677E-4</v>
      </c>
      <c r="D66" s="96">
        <v>2.0086758566737511E-2</v>
      </c>
      <c r="E66" s="96">
        <v>-1.0187334629423242E-3</v>
      </c>
      <c r="F66" s="96">
        <v>2.7981680106799849E-2</v>
      </c>
      <c r="G66" s="96">
        <v>3.3447934067540125E-2</v>
      </c>
      <c r="H66" s="96">
        <v>-6.4725145056174788E-3</v>
      </c>
      <c r="V66" s="140"/>
      <c r="W66" s="140"/>
      <c r="X66" s="140"/>
      <c r="Y66" s="140"/>
      <c r="Z66" s="140"/>
      <c r="AA66" s="140"/>
      <c r="AB66" s="140"/>
      <c r="AC66" s="140"/>
    </row>
    <row r="67" spans="1:29">
      <c r="A67" s="181">
        <v>43650</v>
      </c>
      <c r="B67" s="96">
        <v>-1.0059434993177827E-2</v>
      </c>
      <c r="C67" s="96">
        <v>-1.0073700066537508E-2</v>
      </c>
      <c r="D67" s="96">
        <v>2.3583350136085597E-2</v>
      </c>
      <c r="E67" s="96">
        <v>2.8359609627443307E-2</v>
      </c>
      <c r="F67" s="96">
        <v>6.6006840313518724E-3</v>
      </c>
      <c r="G67" s="96">
        <v>0</v>
      </c>
      <c r="H67" s="96">
        <v>-2.6317308317373417E-2</v>
      </c>
      <c r="V67" s="140"/>
      <c r="W67" s="140"/>
      <c r="X67" s="140"/>
      <c r="Y67" s="140"/>
      <c r="Z67" s="140"/>
      <c r="AA67" s="140"/>
      <c r="AB67" s="140"/>
      <c r="AC67" s="140"/>
    </row>
    <row r="68" spans="1:29">
      <c r="A68" s="181">
        <v>43651</v>
      </c>
      <c r="B68" s="96">
        <v>1.5051458139595646E-2</v>
      </c>
      <c r="C68" s="96">
        <v>-1.4117881545784932E-2</v>
      </c>
      <c r="D68" s="96">
        <v>4.2374617655711717E-2</v>
      </c>
      <c r="E68" s="96">
        <v>2.3499775915898382E-2</v>
      </c>
      <c r="F68" s="96">
        <v>5.4674821821336156E-3</v>
      </c>
      <c r="G68" s="96">
        <v>-1.0582109330536972E-2</v>
      </c>
      <c r="H68" s="96">
        <v>-1.6807118316381289E-2</v>
      </c>
      <c r="V68" s="140"/>
      <c r="W68" s="140"/>
      <c r="X68" s="140"/>
      <c r="Y68" s="140"/>
      <c r="Z68" s="140"/>
      <c r="AA68" s="140"/>
      <c r="AB68" s="140"/>
      <c r="AC68" s="140"/>
    </row>
    <row r="69" spans="1:29">
      <c r="A69" s="181">
        <v>43654</v>
      </c>
      <c r="B69" s="96">
        <v>0</v>
      </c>
      <c r="C69" s="96">
        <v>7.8957761701758207E-4</v>
      </c>
      <c r="D69" s="96">
        <v>-2.969178980740304E-2</v>
      </c>
      <c r="E69" s="96">
        <v>-1.320508418656844E-2</v>
      </c>
      <c r="F69" s="96">
        <v>-1.9824437784844544E-2</v>
      </c>
      <c r="G69" s="96">
        <v>-1.3306721857050613E-3</v>
      </c>
      <c r="H69" s="96">
        <v>0</v>
      </c>
      <c r="V69" s="140"/>
      <c r="W69" s="140"/>
      <c r="X69" s="140"/>
      <c r="Y69" s="140"/>
      <c r="Z69" s="140"/>
      <c r="AA69" s="140"/>
      <c r="AB69" s="140"/>
      <c r="AC69" s="140"/>
    </row>
    <row r="70" spans="1:29">
      <c r="A70" s="181">
        <v>43655</v>
      </c>
      <c r="B70" s="96">
        <v>-4.1066854028148858E-2</v>
      </c>
      <c r="C70" s="96">
        <v>-2.6390975855805909E-2</v>
      </c>
      <c r="D70" s="96">
        <v>-5.8093581028915854E-2</v>
      </c>
      <c r="E70" s="96">
        <v>-7.2282527636871485E-2</v>
      </c>
      <c r="F70" s="96">
        <v>-3.0493610562640629E-2</v>
      </c>
      <c r="G70" s="96">
        <v>-3.6614259378418314E-2</v>
      </c>
      <c r="H70" s="96">
        <v>-3.3955890011382718E-3</v>
      </c>
      <c r="V70" s="140"/>
      <c r="W70" s="140"/>
      <c r="X70" s="140"/>
      <c r="Y70" s="140"/>
      <c r="Z70" s="140"/>
      <c r="AA70" s="140"/>
      <c r="AB70" s="140"/>
      <c r="AC70" s="140"/>
    </row>
    <row r="71" spans="1:29">
      <c r="A71" s="181">
        <v>43656</v>
      </c>
      <c r="B71" s="96">
        <v>8.7815017541132689E-3</v>
      </c>
      <c r="C71" s="96">
        <v>9.6774948820654381E-3</v>
      </c>
      <c r="D71" s="96">
        <v>1.2694919481248944E-2</v>
      </c>
      <c r="E71" s="96">
        <v>3.0452180053129167E-2</v>
      </c>
      <c r="F71" s="96">
        <v>2.4916351264534418E-2</v>
      </c>
      <c r="G71" s="96">
        <v>2.1858793812499017E-2</v>
      </c>
      <c r="H71" s="96">
        <v>0</v>
      </c>
      <c r="V71" s="140"/>
      <c r="W71" s="140"/>
      <c r="X71" s="140"/>
      <c r="Y71" s="140"/>
      <c r="Z71" s="140"/>
      <c r="AA71" s="140"/>
      <c r="AB71" s="140"/>
      <c r="AC71" s="140"/>
    </row>
    <row r="72" spans="1:29">
      <c r="A72" s="181">
        <v>43657</v>
      </c>
      <c r="B72" s="96">
        <v>-1.7640801973017428E-2</v>
      </c>
      <c r="C72" s="96">
        <v>4.0048111195124915E-3</v>
      </c>
      <c r="D72" s="96">
        <v>2.9380644393219961E-2</v>
      </c>
      <c r="E72" s="96">
        <v>3.176046226968929E-3</v>
      </c>
      <c r="F72" s="96">
        <v>7.7994824348238895E-3</v>
      </c>
      <c r="G72" s="96">
        <v>1.6086137751624225E-2</v>
      </c>
      <c r="H72" s="96">
        <v>-3.4071583216141975E-3</v>
      </c>
      <c r="V72" s="140"/>
      <c r="W72" s="140"/>
      <c r="X72" s="140"/>
      <c r="Y72" s="140"/>
      <c r="Z72" s="140"/>
      <c r="AA72" s="140"/>
      <c r="AB72" s="140"/>
      <c r="AC72" s="140"/>
    </row>
    <row r="73" spans="1:29">
      <c r="A73" s="181">
        <v>43658</v>
      </c>
      <c r="B73" s="96">
        <v>1.4034223794001554E-2</v>
      </c>
      <c r="C73" s="96">
        <v>-7.9968017056429011E-4</v>
      </c>
      <c r="D73" s="96">
        <v>-1.4017611079311347E-2</v>
      </c>
      <c r="E73" s="96">
        <v>0</v>
      </c>
      <c r="F73" s="96">
        <v>8.839836569141021E-3</v>
      </c>
      <c r="G73" s="96">
        <v>1.0582109330537008E-2</v>
      </c>
      <c r="H73" s="96">
        <v>2.0270964373618985E-2</v>
      </c>
      <c r="V73" s="140"/>
      <c r="W73" s="140"/>
      <c r="X73" s="140"/>
      <c r="Y73" s="140"/>
      <c r="Z73" s="140"/>
      <c r="AA73" s="140"/>
      <c r="AB73" s="140"/>
      <c r="AC73" s="140"/>
    </row>
    <row r="74" spans="1:29">
      <c r="A74" s="181">
        <v>43661</v>
      </c>
      <c r="B74" s="96">
        <v>2.5774538728946632E-3</v>
      </c>
      <c r="C74" s="96">
        <v>0</v>
      </c>
      <c r="D74" s="96">
        <v>1.1787955752042393E-2</v>
      </c>
      <c r="E74" s="96">
        <v>1.2716088748175411E-2</v>
      </c>
      <c r="F74" s="96">
        <v>-4.5001968912086847E-2</v>
      </c>
      <c r="G74" s="96">
        <v>-2.6350476380050023E-3</v>
      </c>
      <c r="H74" s="96">
        <v>-6.7114345879868038E-3</v>
      </c>
      <c r="V74" s="140"/>
      <c r="W74" s="140"/>
      <c r="X74" s="140"/>
      <c r="Y74" s="140"/>
      <c r="Z74" s="140"/>
      <c r="AA74" s="140"/>
      <c r="AB74" s="140"/>
      <c r="AC74" s="140"/>
    </row>
    <row r="75" spans="1:29">
      <c r="A75" s="181">
        <v>43662</v>
      </c>
      <c r="B75" s="96">
        <v>-3.0937427996398075E-3</v>
      </c>
      <c r="C75" s="96">
        <v>0</v>
      </c>
      <c r="D75" s="96">
        <v>1.6727073875033088E-3</v>
      </c>
      <c r="E75" s="96">
        <v>-5.2693658558174402E-3</v>
      </c>
      <c r="F75" s="96">
        <v>5.2673239408738332E-2</v>
      </c>
      <c r="G75" s="96">
        <v>6.5746456420853853E-3</v>
      </c>
      <c r="H75" s="96">
        <v>3.3613477027049274E-3</v>
      </c>
      <c r="V75" s="140"/>
      <c r="W75" s="140"/>
      <c r="X75" s="140"/>
      <c r="Y75" s="140"/>
      <c r="Z75" s="140"/>
      <c r="AA75" s="140"/>
      <c r="AB75" s="140"/>
      <c r="AC75" s="140"/>
    </row>
    <row r="76" spans="1:29">
      <c r="A76" s="181">
        <v>43663</v>
      </c>
      <c r="B76" s="96">
        <v>2.3376759907068806E-2</v>
      </c>
      <c r="C76" s="96">
        <v>-3.2051309489483358E-3</v>
      </c>
      <c r="D76" s="96">
        <v>2.7816429618767705E-3</v>
      </c>
      <c r="E76" s="96">
        <v>1.9921642642687778E-2</v>
      </c>
      <c r="F76" s="96">
        <v>-2.1857932199802082E-3</v>
      </c>
      <c r="G76" s="96">
        <v>-3.9395980040803141E-3</v>
      </c>
      <c r="H76" s="96">
        <v>0</v>
      </c>
      <c r="V76" s="140"/>
      <c r="W76" s="140"/>
      <c r="X76" s="140"/>
      <c r="Y76" s="140"/>
      <c r="Z76" s="140"/>
      <c r="AA76" s="140"/>
      <c r="AB76" s="140"/>
      <c r="AC76" s="140"/>
    </row>
    <row r="77" spans="1:29">
      <c r="A77" s="181">
        <v>43664</v>
      </c>
      <c r="B77" s="96">
        <v>-7.4944648939505405E-3</v>
      </c>
      <c r="C77" s="96">
        <v>2.4048107781791494E-3</v>
      </c>
      <c r="D77" s="96">
        <v>-2.7816429618768026E-3</v>
      </c>
      <c r="E77" s="96">
        <v>-9.4105316673855095E-3</v>
      </c>
      <c r="F77" s="96">
        <v>5.8434040436616201E-2</v>
      </c>
      <c r="G77" s="96">
        <v>-1.3166558847467851E-3</v>
      </c>
      <c r="H77" s="96">
        <v>-3.3613477027048832E-3</v>
      </c>
      <c r="V77" s="140"/>
      <c r="W77" s="140"/>
      <c r="X77" s="140"/>
      <c r="Y77" s="140"/>
      <c r="Z77" s="140"/>
      <c r="AA77" s="140"/>
      <c r="AB77" s="140"/>
      <c r="AC77" s="140"/>
    </row>
    <row r="78" spans="1:29">
      <c r="A78" s="181">
        <v>43665</v>
      </c>
      <c r="B78" s="96">
        <v>8.5029361371444061E-3</v>
      </c>
      <c r="C78" s="96">
        <v>-7.2318515264950889E-3</v>
      </c>
      <c r="D78" s="96">
        <v>-8.3916576362482887E-3</v>
      </c>
      <c r="E78" s="96">
        <v>-1.264918639734651E-2</v>
      </c>
      <c r="F78" s="96">
        <v>1.3326696463699736E-2</v>
      </c>
      <c r="G78" s="96">
        <v>1.3166558847469028E-3</v>
      </c>
      <c r="H78" s="96">
        <v>6.7114345879867778E-3</v>
      </c>
      <c r="V78" s="140"/>
      <c r="W78" s="140"/>
      <c r="X78" s="140"/>
      <c r="Y78" s="140"/>
      <c r="Z78" s="140"/>
      <c r="AA78" s="140"/>
      <c r="AB78" s="140"/>
      <c r="AC78" s="140"/>
    </row>
    <row r="79" spans="1:29">
      <c r="A79" s="181">
        <v>43668</v>
      </c>
      <c r="B79" s="96">
        <v>2.013896562242894E-3</v>
      </c>
      <c r="C79" s="96">
        <v>-1.6142053545411135E-3</v>
      </c>
      <c r="D79" s="96">
        <v>-3.9403372119229405E-3</v>
      </c>
      <c r="E79" s="96">
        <v>-3.1592038009691827E-3</v>
      </c>
      <c r="F79" s="96">
        <v>0</v>
      </c>
      <c r="G79" s="96">
        <v>1.6960615307045197E-2</v>
      </c>
      <c r="H79" s="96">
        <v>-3.350086885281863E-3</v>
      </c>
      <c r="V79" s="140"/>
      <c r="W79" s="140"/>
      <c r="X79" s="140"/>
      <c r="Y79" s="140"/>
      <c r="Z79" s="140"/>
      <c r="AA79" s="140"/>
      <c r="AB79" s="140"/>
      <c r="AC79" s="140"/>
    </row>
    <row r="80" spans="1:29">
      <c r="A80" s="181">
        <v>43669</v>
      </c>
      <c r="B80" s="96">
        <v>4.5164928484094351E-3</v>
      </c>
      <c r="C80" s="96">
        <v>-6.483004878078266E-3</v>
      </c>
      <c r="D80" s="96">
        <v>-3.9559249103025664E-3</v>
      </c>
      <c r="E80" s="96">
        <v>-2.3786141425950889E-2</v>
      </c>
      <c r="F80" s="96">
        <v>-1.5910009706080471E-2</v>
      </c>
      <c r="G80" s="96">
        <v>0</v>
      </c>
      <c r="H80" s="96">
        <v>-1.6920877488337177E-2</v>
      </c>
      <c r="V80" s="140"/>
      <c r="W80" s="140"/>
      <c r="X80" s="140"/>
      <c r="Y80" s="140"/>
      <c r="Z80" s="140"/>
      <c r="AA80" s="140"/>
      <c r="AB80" s="140"/>
      <c r="AC80" s="140"/>
    </row>
    <row r="81" spans="1:29">
      <c r="A81" s="181">
        <v>43670</v>
      </c>
      <c r="B81" s="96">
        <v>-4.5164928484095089E-3</v>
      </c>
      <c r="C81" s="96">
        <v>1.1317824932661437E-2</v>
      </c>
      <c r="D81" s="96">
        <v>-1.6557614922800293E-2</v>
      </c>
      <c r="E81" s="96">
        <v>9.7887578421556737E-3</v>
      </c>
      <c r="F81" s="96">
        <v>-1.5531973093995486E-3</v>
      </c>
      <c r="G81" s="96">
        <v>3.8734715957966189E-3</v>
      </c>
      <c r="H81" s="96">
        <v>1.3559529785632294E-2</v>
      </c>
      <c r="V81" s="140"/>
      <c r="W81" s="140"/>
      <c r="X81" s="140"/>
      <c r="Y81" s="140"/>
      <c r="Z81" s="140"/>
      <c r="AA81" s="140"/>
      <c r="AB81" s="140"/>
      <c r="AC81" s="140"/>
    </row>
    <row r="82" spans="1:29">
      <c r="A82" s="181">
        <v>43671</v>
      </c>
      <c r="B82" s="96">
        <v>1.2992387435999333E-2</v>
      </c>
      <c r="C82" s="96">
        <v>-2.414488094517464E-3</v>
      </c>
      <c r="D82" s="96">
        <v>3.5071467709428053E-2</v>
      </c>
      <c r="E82" s="96">
        <v>3.6015596354233452E-2</v>
      </c>
      <c r="F82" s="96">
        <v>3.0614635819606734E-2</v>
      </c>
      <c r="G82" s="96">
        <v>1.6613800662655432E-2</v>
      </c>
      <c r="H82" s="96">
        <v>6.7114345879867778E-3</v>
      </c>
      <c r="V82" s="140"/>
      <c r="W82" s="140"/>
      <c r="X82" s="140"/>
      <c r="Y82" s="140"/>
      <c r="Z82" s="140"/>
      <c r="AA82" s="140"/>
      <c r="AB82" s="140"/>
      <c r="AC82" s="140"/>
    </row>
    <row r="83" spans="1:29">
      <c r="A83" s="181">
        <v>43672</v>
      </c>
      <c r="B83" s="96">
        <v>2.2580971235548801E-2</v>
      </c>
      <c r="C83" s="96">
        <v>2.4144880945175533E-3</v>
      </c>
      <c r="D83" s="96">
        <v>-1.1123471669740592E-3</v>
      </c>
      <c r="E83" s="96">
        <v>1.0337714410407347E-2</v>
      </c>
      <c r="F83" s="96">
        <v>-2.0120731134201197E-3</v>
      </c>
      <c r="G83" s="96">
        <v>1.2594624920400458E-2</v>
      </c>
      <c r="H83" s="96">
        <v>0</v>
      </c>
      <c r="V83" s="140"/>
      <c r="W83" s="140"/>
      <c r="X83" s="140"/>
      <c r="Y83" s="140"/>
      <c r="Z83" s="140"/>
      <c r="AA83" s="140"/>
      <c r="AB83" s="140"/>
      <c r="AC83" s="140"/>
    </row>
    <row r="84" spans="1:29">
      <c r="A84" s="181">
        <v>43675</v>
      </c>
      <c r="B84" s="96">
        <v>-1.3684115397812006E-2</v>
      </c>
      <c r="C84" s="96">
        <v>0</v>
      </c>
      <c r="D84" s="96">
        <v>-2.2284131784261162E-3</v>
      </c>
      <c r="E84" s="96">
        <v>-2.2908100746356738E-2</v>
      </c>
      <c r="F84" s="96">
        <v>0</v>
      </c>
      <c r="G84" s="96">
        <v>9.962722503674068E-3</v>
      </c>
      <c r="H84" s="96">
        <v>-3.350086885281863E-3</v>
      </c>
      <c r="V84" s="140"/>
      <c r="W84" s="140"/>
      <c r="X84" s="140"/>
      <c r="Y84" s="140"/>
      <c r="Z84" s="140"/>
      <c r="AA84" s="140"/>
      <c r="AB84" s="140"/>
      <c r="AC84" s="140"/>
    </row>
    <row r="85" spans="1:29">
      <c r="A85" s="181">
        <v>43676</v>
      </c>
      <c r="B85" s="96">
        <v>-4.9329223944822699E-3</v>
      </c>
      <c r="C85" s="96">
        <v>-1.1317824932661461E-2</v>
      </c>
      <c r="D85" s="96">
        <v>-2.792517871673522E-3</v>
      </c>
      <c r="E85" s="96">
        <v>-1.2730414701002012E-2</v>
      </c>
      <c r="F85" s="96">
        <v>-7.0743094425371536E-3</v>
      </c>
      <c r="G85" s="96">
        <v>-2.4813908513853979E-3</v>
      </c>
      <c r="H85" s="96">
        <v>6.6889881507964889E-3</v>
      </c>
      <c r="V85" s="140"/>
      <c r="W85" s="140"/>
      <c r="X85" s="140"/>
      <c r="Y85" s="140"/>
      <c r="Z85" s="140"/>
      <c r="AA85" s="140"/>
      <c r="AB85" s="140"/>
      <c r="AC85" s="140"/>
    </row>
    <row r="86" spans="1:29">
      <c r="A86" s="181">
        <v>43677</v>
      </c>
      <c r="B86" s="96">
        <v>5.9165935341970385E-3</v>
      </c>
      <c r="C86" s="96">
        <v>1.1317824932661437E-2</v>
      </c>
      <c r="D86" s="96">
        <v>-1.2946986366062282E-2</v>
      </c>
      <c r="E86" s="96">
        <v>3.2825882665132476E-3</v>
      </c>
      <c r="F86" s="96">
        <v>-5.0838950372721729E-3</v>
      </c>
      <c r="G86" s="96">
        <v>2.6962417605127822E-2</v>
      </c>
      <c r="H86" s="96">
        <v>0</v>
      </c>
      <c r="V86" s="140"/>
      <c r="W86" s="140"/>
      <c r="X86" s="140"/>
      <c r="Y86" s="140"/>
      <c r="Z86" s="140"/>
      <c r="AA86" s="140"/>
      <c r="AB86" s="140"/>
      <c r="AC86" s="140"/>
    </row>
    <row r="87" spans="1:29">
      <c r="A87" s="181">
        <v>43678</v>
      </c>
      <c r="B87" s="96">
        <v>-1.2863822746159839E-2</v>
      </c>
      <c r="C87" s="96">
        <v>-1.0505147114671194E-2</v>
      </c>
      <c r="D87" s="96">
        <v>-5.1121951723351964E-3</v>
      </c>
      <c r="E87" s="96">
        <v>1.0566645078830822E-2</v>
      </c>
      <c r="F87" s="96">
        <v>-8.188377379358033E-3</v>
      </c>
      <c r="G87" s="96">
        <v>6.0277457975174663E-3</v>
      </c>
      <c r="H87" s="96">
        <v>-1.0050335853501451E-2</v>
      </c>
      <c r="V87" s="140"/>
      <c r="W87" s="140"/>
      <c r="X87" s="140"/>
      <c r="Y87" s="140"/>
      <c r="Z87" s="140"/>
      <c r="AA87" s="140"/>
      <c r="AB87" s="140"/>
      <c r="AC87" s="140"/>
    </row>
    <row r="88" spans="1:29">
      <c r="A88" s="181">
        <v>43679</v>
      </c>
      <c r="B88" s="96">
        <v>-4.9920231464177798E-3</v>
      </c>
      <c r="C88" s="96">
        <v>-4.8860032056262086E-3</v>
      </c>
      <c r="D88" s="96">
        <v>-1.4917086703237267E-2</v>
      </c>
      <c r="E88" s="96">
        <v>-1.2716088748175368E-2</v>
      </c>
      <c r="F88" s="96">
        <v>-2.057613894680154E-3</v>
      </c>
      <c r="G88" s="96">
        <v>1.2012013456341492E-3</v>
      </c>
      <c r="H88" s="96">
        <v>0</v>
      </c>
    </row>
    <row r="89" spans="1:29">
      <c r="A89" s="181">
        <v>43682</v>
      </c>
      <c r="B89" s="96">
        <v>-9.0489256105038985E-3</v>
      </c>
      <c r="C89" s="96">
        <v>2.4459857282604423E-3</v>
      </c>
      <c r="D89" s="96">
        <v>-4.0099712076431107E-2</v>
      </c>
      <c r="E89" s="96">
        <v>-4.3633606669078166E-2</v>
      </c>
      <c r="F89" s="96">
        <v>-2.2917669681397058E-2</v>
      </c>
      <c r="G89" s="96">
        <v>-5.3000696705775473E-2</v>
      </c>
      <c r="H89" s="96">
        <v>-3.3726844786391187E-3</v>
      </c>
    </row>
    <row r="90" spans="1:29">
      <c r="A90" s="181">
        <v>43683</v>
      </c>
      <c r="B90" s="96">
        <v>-1.516336996140707E-2</v>
      </c>
      <c r="C90" s="96">
        <v>1.6273396593754076E-3</v>
      </c>
      <c r="D90" s="96">
        <v>-6.0186580209867343E-4</v>
      </c>
      <c r="E90" s="96">
        <v>-2.5885207987678849E-2</v>
      </c>
      <c r="F90" s="96">
        <v>-4.2238711161851714E-3</v>
      </c>
      <c r="G90" s="96">
        <v>6.3091691932647556E-3</v>
      </c>
      <c r="H90" s="96">
        <v>0</v>
      </c>
    </row>
    <row r="91" spans="1:29">
      <c r="A91" s="181">
        <v>43684</v>
      </c>
      <c r="B91" s="96">
        <v>-5.6558328565613509E-3</v>
      </c>
      <c r="C91" s="96">
        <v>-5.7073126792908666E-3</v>
      </c>
      <c r="D91" s="96">
        <v>5.4037957975058056E-3</v>
      </c>
      <c r="E91" s="96">
        <v>-1.7266087414001954E-2</v>
      </c>
      <c r="F91" s="96">
        <v>-1.0638398205055754E-2</v>
      </c>
      <c r="G91" s="96">
        <v>-1.011386623692867E-2</v>
      </c>
      <c r="H91" s="96">
        <v>0</v>
      </c>
    </row>
    <row r="92" spans="1:29">
      <c r="A92" s="181">
        <v>43685</v>
      </c>
      <c r="B92" s="96">
        <v>-5.1575636812981767E-4</v>
      </c>
      <c r="C92" s="96">
        <v>9.7641133749051413E-3</v>
      </c>
      <c r="D92" s="96">
        <v>0</v>
      </c>
      <c r="E92" s="96">
        <v>2.1747955494109933E-2</v>
      </c>
      <c r="F92" s="96">
        <v>3.7779939002637972E-2</v>
      </c>
      <c r="G92" s="96">
        <v>1.6383479250524125E-2</v>
      </c>
      <c r="H92" s="96">
        <v>0</v>
      </c>
    </row>
    <row r="93" spans="1:29">
      <c r="A93" s="181">
        <v>43686</v>
      </c>
      <c r="B93" s="96">
        <v>1.2305323441963426E-2</v>
      </c>
      <c r="C93" s="96">
        <v>-1.3040119580806035E-2</v>
      </c>
      <c r="D93" s="96">
        <v>-8.4185704655957896E-3</v>
      </c>
      <c r="E93" s="96">
        <v>1.2491154485623542E-2</v>
      </c>
      <c r="F93" s="96">
        <v>6.1601837514576414E-3</v>
      </c>
      <c r="G93" s="96">
        <v>-1.6383479250524056E-2</v>
      </c>
      <c r="H93" s="96">
        <v>1.0084119066626008E-2</v>
      </c>
    </row>
    <row r="94" spans="1:29">
      <c r="A94" s="181">
        <v>43689</v>
      </c>
      <c r="B94" s="96">
        <v>-5.6211502704298479E-3</v>
      </c>
      <c r="C94" s="96">
        <v>8.2000824603074601E-4</v>
      </c>
      <c r="D94" s="96">
        <v>-7.2727593290795849E-3</v>
      </c>
      <c r="E94" s="96">
        <v>1.0094498163125649E-2</v>
      </c>
      <c r="F94" s="96">
        <v>1.0183387390698871E-2</v>
      </c>
      <c r="G94" s="96">
        <v>1.6383479250524125E-2</v>
      </c>
      <c r="H94" s="96">
        <v>-1.0084119066625935E-2</v>
      </c>
    </row>
    <row r="95" spans="1:29">
      <c r="A95" s="181">
        <v>43690</v>
      </c>
      <c r="B95" s="96">
        <v>-6.6841731715336613E-3</v>
      </c>
      <c r="C95" s="96">
        <v>-1.486402263214928E-2</v>
      </c>
      <c r="D95" s="96">
        <v>-2.7128667388252699E-2</v>
      </c>
      <c r="E95" s="96">
        <v>-2.7067520728857122E-2</v>
      </c>
      <c r="F95" s="96">
        <v>-1.7373967936053069E-2</v>
      </c>
      <c r="G95" s="96">
        <v>-1.765493523872071E-2</v>
      </c>
      <c r="H95" s="96">
        <v>0</v>
      </c>
    </row>
    <row r="96" spans="1:29">
      <c r="A96" s="181">
        <v>43691</v>
      </c>
      <c r="B96" s="96">
        <v>-1.5597695860364016E-2</v>
      </c>
      <c r="C96" s="96">
        <v>-1.0033528989577697E-2</v>
      </c>
      <c r="D96" s="96">
        <v>-2.4036577828241382E-2</v>
      </c>
      <c r="E96" s="96">
        <v>-3.3704813757161819E-2</v>
      </c>
      <c r="F96" s="96">
        <v>-1.7681167843226445E-2</v>
      </c>
      <c r="G96" s="96">
        <v>-2.0566277581477083E-2</v>
      </c>
      <c r="H96" s="96">
        <v>-2.3932766211628362E-2</v>
      </c>
    </row>
    <row r="97" spans="1:8">
      <c r="A97" s="181">
        <v>43693</v>
      </c>
      <c r="B97" s="96">
        <v>-2.547367629201007E-2</v>
      </c>
      <c r="C97" s="96">
        <v>0</v>
      </c>
      <c r="D97" s="96">
        <v>-4.1836166322466402E-2</v>
      </c>
      <c r="E97" s="96">
        <v>-7.1829431131599508E-3</v>
      </c>
      <c r="F97" s="96">
        <v>-2.1008411088117279E-3</v>
      </c>
      <c r="G97" s="96">
        <v>1.0336009330662073E-2</v>
      </c>
      <c r="H97" s="96">
        <v>-3.4662079764861725E-3</v>
      </c>
    </row>
    <row r="98" spans="1:8">
      <c r="A98" s="181">
        <v>43696</v>
      </c>
      <c r="B98" s="96">
        <v>3.2262568625696077E-2</v>
      </c>
      <c r="C98" s="96">
        <v>1.0033528989577784E-2</v>
      </c>
      <c r="D98" s="96">
        <v>6.4621962249055101E-2</v>
      </c>
      <c r="E98" s="96">
        <v>4.886845219110357E-2</v>
      </c>
      <c r="F98" s="96">
        <v>2.4923408452456934E-2</v>
      </c>
      <c r="G98" s="96">
        <v>3.2872745000574549E-2</v>
      </c>
      <c r="H98" s="96">
        <v>6.920442844573757E-3</v>
      </c>
    </row>
    <row r="99" spans="1:8">
      <c r="A99" s="181">
        <v>43697</v>
      </c>
      <c r="B99" s="96">
        <v>-5.2181291435587571E-3</v>
      </c>
      <c r="C99" s="96">
        <v>5.8067355196397795E-3</v>
      </c>
      <c r="D99" s="96">
        <v>2.4112451044914857E-2</v>
      </c>
      <c r="E99" s="96">
        <v>-2.2909517465558244E-3</v>
      </c>
      <c r="F99" s="96">
        <v>-2.5975486403260677E-2</v>
      </c>
      <c r="G99" s="96">
        <v>2.4844733276621869E-3</v>
      </c>
      <c r="H99" s="96">
        <v>1.709443335930004E-2</v>
      </c>
    </row>
    <row r="100" spans="1:8">
      <c r="A100" s="181">
        <v>43698</v>
      </c>
      <c r="B100" s="96">
        <v>-5.771567519312959E-3</v>
      </c>
      <c r="C100" s="96">
        <v>-7.4720148387009541E-3</v>
      </c>
      <c r="D100" s="96">
        <v>-2.2861669143262351E-2</v>
      </c>
      <c r="E100" s="96">
        <v>4.3348977664899438E-2</v>
      </c>
      <c r="F100" s="96">
        <v>-5.2770571008438931E-3</v>
      </c>
      <c r="G100" s="96">
        <v>-2.8951046515825297E-2</v>
      </c>
      <c r="H100" s="96">
        <v>0</v>
      </c>
    </row>
    <row r="101" spans="1:8">
      <c r="A101" s="181">
        <v>43699</v>
      </c>
      <c r="B101" s="96">
        <v>-6.3344806406346252E-3</v>
      </c>
      <c r="C101" s="96">
        <v>0</v>
      </c>
      <c r="D101" s="96">
        <v>1.3039613507803549E-2</v>
      </c>
      <c r="E101" s="96">
        <v>9.7774978043121321E-3</v>
      </c>
      <c r="F101" s="96">
        <v>1.9906367116802937E-2</v>
      </c>
      <c r="G101" s="96">
        <v>5.0955524266000952E-3</v>
      </c>
      <c r="H101" s="96">
        <v>-3.3955890011382718E-3</v>
      </c>
    </row>
    <row r="102" spans="1:8">
      <c r="A102" s="181">
        <v>43700</v>
      </c>
      <c r="B102" s="96">
        <v>-8.5088792462161261E-3</v>
      </c>
      <c r="C102" s="96">
        <v>0</v>
      </c>
      <c r="D102" s="96">
        <v>-3.8357421492093424E-2</v>
      </c>
      <c r="E102" s="96">
        <v>-1.7435924653110311E-2</v>
      </c>
      <c r="F102" s="96">
        <v>-1.4629310015959155E-2</v>
      </c>
      <c r="G102" s="96">
        <v>-2.5445306349948728E-3</v>
      </c>
      <c r="H102" s="96">
        <v>-1.7153079226249469E-2</v>
      </c>
    </row>
    <row r="103" spans="1:8">
      <c r="A103" s="181">
        <v>43703</v>
      </c>
      <c r="B103" s="96">
        <v>-1.2900630429804161E-2</v>
      </c>
      <c r="C103" s="96">
        <v>-5.8504136781755891E-3</v>
      </c>
      <c r="D103" s="96">
        <v>-1.160554612030789E-2</v>
      </c>
      <c r="E103" s="96">
        <v>-2.2156151562596135E-3</v>
      </c>
      <c r="F103" s="96">
        <v>-1.6985546365743884E-2</v>
      </c>
      <c r="G103" s="96">
        <v>-1.6699167757632256E-2</v>
      </c>
      <c r="H103" s="96">
        <v>1.0327114155849524E-2</v>
      </c>
    </row>
    <row r="104" spans="1:8">
      <c r="A104" s="181">
        <v>43704</v>
      </c>
      <c r="B104" s="96">
        <v>-5.4247719016202013E-3</v>
      </c>
      <c r="C104" s="96">
        <v>1.6750422676948956E-3</v>
      </c>
      <c r="D104" s="96">
        <v>2.2444032839763504E-2</v>
      </c>
      <c r="E104" s="96">
        <v>2.1709859575524321E-2</v>
      </c>
      <c r="F104" s="96">
        <v>-2.6031838717946867E-2</v>
      </c>
      <c r="G104" s="96">
        <v>-7.8023802841847871E-3</v>
      </c>
      <c r="H104" s="96">
        <v>-3.4305350967891368E-3</v>
      </c>
    </row>
    <row r="105" spans="1:8">
      <c r="A105" s="181">
        <v>43705</v>
      </c>
      <c r="B105" s="96">
        <v>1.0820274361708076E-2</v>
      </c>
      <c r="C105" s="96">
        <v>4.175371410480592E-3</v>
      </c>
      <c r="D105" s="96">
        <v>4.0390703049335314E-2</v>
      </c>
      <c r="E105" s="96">
        <v>-1.0796016194359786E-2</v>
      </c>
      <c r="F105" s="96">
        <v>-6.6152391187193167E-3</v>
      </c>
      <c r="G105" s="96">
        <v>-2.6143805740708207E-3</v>
      </c>
      <c r="H105" s="96">
        <v>-6.8965790590604405E-3</v>
      </c>
    </row>
    <row r="106" spans="1:8">
      <c r="A106" s="181">
        <v>43706</v>
      </c>
      <c r="B106" s="96">
        <v>2.7596741742083569E-2</v>
      </c>
      <c r="C106" s="96">
        <v>9.950330853168092E-3</v>
      </c>
      <c r="D106" s="96">
        <v>3.7063417376887342E-2</v>
      </c>
      <c r="E106" s="96">
        <v>5.4125772721348182E-3</v>
      </c>
      <c r="F106" s="96">
        <v>1.31870042819539E-2</v>
      </c>
      <c r="G106" s="96">
        <v>9.1205843968090762E-3</v>
      </c>
      <c r="H106" s="96">
        <v>1.0327114155849524E-2</v>
      </c>
    </row>
    <row r="107" spans="1:8">
      <c r="A107" s="181">
        <v>43707</v>
      </c>
      <c r="B107" s="96">
        <v>3.135781810684276E-3</v>
      </c>
      <c r="C107" s="96">
        <v>1.6488049901838859E-3</v>
      </c>
      <c r="D107" s="96">
        <v>2.5493848826219766E-2</v>
      </c>
      <c r="E107" s="96">
        <v>1.1478421829604205E-3</v>
      </c>
      <c r="F107" s="96">
        <v>1.5168221473171444E-2</v>
      </c>
      <c r="G107" s="96">
        <v>1.160554612030789E-2</v>
      </c>
      <c r="H107" s="96">
        <v>-6.8728792877620643E-3</v>
      </c>
    </row>
    <row r="108" spans="1:8">
      <c r="A108" s="181">
        <v>43710</v>
      </c>
      <c r="B108" s="96">
        <v>1.0430792642827941E-3</v>
      </c>
      <c r="C108" s="96">
        <v>-8.2713457506773062E-3</v>
      </c>
      <c r="D108" s="96">
        <v>-1.4405319687551129E-2</v>
      </c>
      <c r="E108" s="96">
        <v>-9.7989140736055944E-3</v>
      </c>
      <c r="F108" s="96">
        <v>-1.081091610421573E-2</v>
      </c>
      <c r="G108" s="96">
        <v>-1.9418085857101513E-2</v>
      </c>
      <c r="H108" s="96">
        <v>3.4423441909729197E-3</v>
      </c>
    </row>
    <row r="109" spans="1:8">
      <c r="A109" s="181">
        <v>43711</v>
      </c>
      <c r="B109" s="96">
        <v>-2.2136457818946954E-2</v>
      </c>
      <c r="C109" s="96">
        <v>-1.0856056513466118E-2</v>
      </c>
      <c r="D109" s="96">
        <v>-3.4883756304540086E-3</v>
      </c>
      <c r="E109" s="96">
        <v>-3.2490165503499427E-3</v>
      </c>
      <c r="F109" s="96">
        <v>5.4200674693393345E-3</v>
      </c>
      <c r="G109" s="96">
        <v>-1.5810606026642315E-2</v>
      </c>
      <c r="H109" s="96">
        <v>0</v>
      </c>
    </row>
    <row r="110" spans="1:8">
      <c r="A110" s="181">
        <v>43712</v>
      </c>
      <c r="B110" s="96">
        <v>7.4333994183950628E-3</v>
      </c>
      <c r="C110" s="96">
        <v>7.5282664207915878E-3</v>
      </c>
      <c r="D110" s="96">
        <v>-3.9803294002849349E-2</v>
      </c>
      <c r="E110" s="96">
        <v>-1.2161047909212803E-2</v>
      </c>
      <c r="F110" s="96">
        <v>-6.5076151567381888E-3</v>
      </c>
      <c r="G110" s="96">
        <v>1.4502561366626901E-2</v>
      </c>
      <c r="H110" s="96">
        <v>6.8493418455747683E-3</v>
      </c>
    </row>
    <row r="111" spans="1:8">
      <c r="A111" s="181">
        <v>43713</v>
      </c>
      <c r="B111" s="96">
        <v>3.5339366445308863E-2</v>
      </c>
      <c r="C111" s="96">
        <v>3.6010437523033033E-2</v>
      </c>
      <c r="D111" s="96">
        <v>1.9208273638267191E-2</v>
      </c>
      <c r="E111" s="96">
        <v>1.0998121856532617E-2</v>
      </c>
      <c r="F111" s="96">
        <v>2.173913899619967E-3</v>
      </c>
      <c r="G111" s="96">
        <v>2.0726130517116952E-2</v>
      </c>
      <c r="H111" s="96">
        <v>3.4071583216141346E-3</v>
      </c>
    </row>
    <row r="112" spans="1:8">
      <c r="A112" s="181">
        <v>43714</v>
      </c>
      <c r="B112" s="96">
        <v>6.1087544883211909E-3</v>
      </c>
      <c r="C112" s="96">
        <v>-8.8817701347804218E-3</v>
      </c>
      <c r="D112" s="96">
        <v>-8.9579577820992212E-3</v>
      </c>
      <c r="E112" s="96">
        <v>-4.3146239168855294E-3</v>
      </c>
      <c r="F112" s="96">
        <v>3.2520353863773159E-3</v>
      </c>
      <c r="G112" s="96">
        <v>2.5608208616736505E-3</v>
      </c>
      <c r="H112" s="96">
        <v>0</v>
      </c>
    </row>
    <row r="113" spans="1:8">
      <c r="A113" s="181">
        <v>43717</v>
      </c>
      <c r="B113" s="96">
        <v>1.4200225532549149E-3</v>
      </c>
      <c r="C113" s="96">
        <v>-4.8780584534328549E-3</v>
      </c>
      <c r="D113" s="96">
        <v>1.1333255811006537E-2</v>
      </c>
      <c r="E113" s="96">
        <v>-3.0132766156024126E-2</v>
      </c>
      <c r="F113" s="96">
        <v>-2.166848085090314E-3</v>
      </c>
      <c r="G113" s="96">
        <v>-3.843694674562827E-3</v>
      </c>
      <c r="H113" s="96">
        <v>-1.0256500167188997E-2</v>
      </c>
    </row>
    <row r="114" spans="1:8">
      <c r="A114" s="181">
        <v>43718</v>
      </c>
      <c r="B114" s="96">
        <v>-7.5287770415761865E-3</v>
      </c>
      <c r="C114" s="96">
        <v>-1.6313217320840852E-3</v>
      </c>
      <c r="D114" s="96">
        <v>-1.253373614725658E-2</v>
      </c>
      <c r="E114" s="96">
        <v>-9.2688063530316542E-2</v>
      </c>
      <c r="F114" s="96">
        <v>-1.3100624045698206E-2</v>
      </c>
      <c r="G114" s="96">
        <v>-1.8135212044212395E-2</v>
      </c>
      <c r="H114" s="96">
        <v>0</v>
      </c>
    </row>
    <row r="115" spans="1:8">
      <c r="A115" s="181">
        <v>43719</v>
      </c>
      <c r="B115" s="96">
        <v>-6.1463008486941778E-3</v>
      </c>
      <c r="C115" s="96">
        <v>8.1301260832500888E-3</v>
      </c>
      <c r="D115" s="96">
        <v>3.7139546949456786E-2</v>
      </c>
      <c r="E115" s="96">
        <v>3.8246007715074465E-3</v>
      </c>
      <c r="F115" s="96">
        <v>0</v>
      </c>
      <c r="G115" s="96">
        <v>-6.5574005461591636E-3</v>
      </c>
      <c r="H115" s="96">
        <v>3.4305350967892222E-3</v>
      </c>
    </row>
    <row r="116" spans="1:8">
      <c r="A116" s="181">
        <v>43720</v>
      </c>
      <c r="B116" s="96">
        <v>-5.6674890224706533E-3</v>
      </c>
      <c r="C116" s="96">
        <v>-4.056800695614318E-3</v>
      </c>
      <c r="D116" s="96">
        <v>-9.3023926623135612E-3</v>
      </c>
      <c r="E116" s="96">
        <v>-3.8246007715075437E-3</v>
      </c>
      <c r="F116" s="96">
        <v>-1.0995053334168876E-3</v>
      </c>
      <c r="G116" s="96">
        <v>0</v>
      </c>
      <c r="H116" s="96">
        <v>-6.8728792877620643E-3</v>
      </c>
    </row>
    <row r="117" spans="1:8">
      <c r="A117" s="181">
        <v>43721</v>
      </c>
      <c r="B117" s="96">
        <v>9.769217496688647E-3</v>
      </c>
      <c r="C117" s="96">
        <v>4.8661896511729063E-3</v>
      </c>
      <c r="D117" s="96">
        <v>1.6797383066501477E-2</v>
      </c>
      <c r="E117" s="96">
        <v>-1.1899254395374727E-3</v>
      </c>
      <c r="F117" s="96">
        <v>1.0941028178208202E-2</v>
      </c>
      <c r="G117" s="96">
        <v>2.5975486403260736E-2</v>
      </c>
      <c r="H117" s="96">
        <v>0</v>
      </c>
    </row>
    <row r="118" spans="1:8">
      <c r="A118" s="181">
        <v>43724</v>
      </c>
      <c r="B118" s="96">
        <v>1.7146465834514173E-2</v>
      </c>
      <c r="C118" s="96">
        <v>1.7642799242749817E-2</v>
      </c>
      <c r="D118" s="96">
        <v>1.085414826400855E-2</v>
      </c>
      <c r="E118" s="96">
        <v>8.6934161834355452E-3</v>
      </c>
      <c r="F118" s="96">
        <v>3.3175862238899574E-2</v>
      </c>
      <c r="G118" s="96">
        <v>6.3897980987709883E-3</v>
      </c>
      <c r="H118" s="96">
        <v>6.8728792877620504E-3</v>
      </c>
    </row>
    <row r="119" spans="1:8">
      <c r="A119" s="181">
        <v>43725</v>
      </c>
      <c r="B119" s="96">
        <v>-5.0423664723044277E-3</v>
      </c>
      <c r="C119" s="96">
        <v>7.917697736785306E-3</v>
      </c>
      <c r="D119" s="96">
        <v>-3.645182279797135E-2</v>
      </c>
      <c r="E119" s="96">
        <v>-3.0087466550061438E-2</v>
      </c>
      <c r="F119" s="96">
        <v>1.0520779508038345E-3</v>
      </c>
      <c r="G119" s="96">
        <v>1.2730746467981126E-3</v>
      </c>
      <c r="H119" s="96">
        <v>-6.8728792877620643E-3</v>
      </c>
    </row>
    <row r="120" spans="1:8">
      <c r="A120" s="181">
        <v>43726</v>
      </c>
      <c r="B120" s="96">
        <v>0</v>
      </c>
      <c r="C120" s="96">
        <v>7.0727210353680146E-3</v>
      </c>
      <c r="D120" s="96">
        <v>1.46244197534497E-2</v>
      </c>
      <c r="E120" s="96">
        <v>1.8877326076450814E-2</v>
      </c>
      <c r="F120" s="96">
        <v>6.2893289075639184E-3</v>
      </c>
      <c r="G120" s="96">
        <v>2.7605266091888698E-2</v>
      </c>
      <c r="H120" s="96">
        <v>3.4423441909729197E-3</v>
      </c>
    </row>
    <row r="121" spans="1:8">
      <c r="A121" s="181">
        <v>43727</v>
      </c>
      <c r="B121" s="96">
        <v>-9.549036395198416E-3</v>
      </c>
      <c r="C121" s="96">
        <v>-1.5673984400127689E-3</v>
      </c>
      <c r="D121" s="96">
        <v>1.0973254780512953E-2</v>
      </c>
      <c r="E121" s="96">
        <v>-3.30330000451158E-2</v>
      </c>
      <c r="F121" s="96">
        <v>-2.0920509722239518E-3</v>
      </c>
      <c r="G121" s="96">
        <v>-6.2073445743338236E-3</v>
      </c>
      <c r="H121" s="96">
        <v>1.0256500167189061E-2</v>
      </c>
    </row>
    <row r="122" spans="1:8">
      <c r="A122" s="181">
        <v>43728</v>
      </c>
      <c r="B122" s="96">
        <v>-5.6297809781542339E-3</v>
      </c>
      <c r="C122" s="96">
        <v>7.8125397367936247E-3</v>
      </c>
      <c r="D122" s="96">
        <v>-3.4522473872293986E-3</v>
      </c>
      <c r="E122" s="96">
        <v>-2.7376127750444255E-2</v>
      </c>
      <c r="F122" s="96">
        <v>3.1364374901303115E-3</v>
      </c>
      <c r="G122" s="96">
        <v>1.8507622655985455E-2</v>
      </c>
      <c r="H122" s="96">
        <v>-6.8259650703998706E-3</v>
      </c>
    </row>
    <row r="123" spans="1:8">
      <c r="A123" s="181">
        <v>43731</v>
      </c>
      <c r="B123" s="96">
        <v>-1.5517017659137867E-2</v>
      </c>
      <c r="C123" s="96">
        <v>-9.38239877191362E-3</v>
      </c>
      <c r="D123" s="96">
        <v>-3.6388991394135671E-2</v>
      </c>
      <c r="E123" s="96">
        <v>-6.6436034874011963E-3</v>
      </c>
      <c r="F123" s="96">
        <v>-2.1097828964635815E-2</v>
      </c>
      <c r="G123" s="96">
        <v>-1.1063419544255333E-2</v>
      </c>
      <c r="H123" s="96">
        <v>-6.8728792877620643E-3</v>
      </c>
    </row>
    <row r="124" spans="1:8">
      <c r="A124" s="181">
        <v>43732</v>
      </c>
      <c r="B124" s="96">
        <v>-2.08724767908639E-3</v>
      </c>
      <c r="C124" s="96">
        <v>6.2647033393277091E-3</v>
      </c>
      <c r="D124" s="96">
        <v>0</v>
      </c>
      <c r="E124" s="96">
        <v>7.9107631078545945E-3</v>
      </c>
      <c r="F124" s="96">
        <v>2.129926257824849E-3</v>
      </c>
      <c r="G124" s="96">
        <v>9.8401778015111355E-3</v>
      </c>
      <c r="H124" s="96">
        <v>0</v>
      </c>
    </row>
    <row r="125" spans="1:8">
      <c r="A125" s="181">
        <v>43733</v>
      </c>
      <c r="B125" s="96">
        <v>2.6083795893638785E-3</v>
      </c>
      <c r="C125" s="96">
        <v>-8.6241224440974096E-3</v>
      </c>
      <c r="D125" s="96">
        <v>-2.9931180681319522E-3</v>
      </c>
      <c r="E125" s="96">
        <v>-1.2032136098517551E-2</v>
      </c>
      <c r="F125" s="96">
        <v>1.0582109330537008E-2</v>
      </c>
      <c r="G125" s="96">
        <v>-9.8401778015112344E-3</v>
      </c>
      <c r="H125" s="96">
        <v>-6.9204428445737952E-3</v>
      </c>
    </row>
    <row r="126" spans="1:8">
      <c r="A126" s="181">
        <v>43734</v>
      </c>
      <c r="B126" s="96">
        <v>3.6403389309746727E-3</v>
      </c>
      <c r="C126" s="96">
        <v>7.843177461026099E-3</v>
      </c>
      <c r="D126" s="96">
        <v>1.2511333889108148E-2</v>
      </c>
      <c r="E126" s="96">
        <v>1.203213609851757E-2</v>
      </c>
      <c r="F126" s="96">
        <v>4.2016868536999766E-3</v>
      </c>
      <c r="G126" s="96">
        <v>-3.6504997374854214E-2</v>
      </c>
      <c r="H126" s="96">
        <v>0</v>
      </c>
    </row>
    <row r="127" spans="1:8">
      <c r="A127" s="181">
        <v>43735</v>
      </c>
      <c r="B127" s="96">
        <v>-1.4641549992948005E-2</v>
      </c>
      <c r="C127" s="96">
        <v>7.8094498307135099E-4</v>
      </c>
      <c r="D127" s="96">
        <v>2.0510534415838291E-2</v>
      </c>
      <c r="E127" s="96">
        <v>1.7020500173402023E-2</v>
      </c>
      <c r="F127" s="96">
        <v>-1.4783796184236867E-2</v>
      </c>
      <c r="G127" s="96">
        <v>0</v>
      </c>
      <c r="H127" s="96">
        <v>-6.9686693160933158E-3</v>
      </c>
    </row>
    <row r="128" spans="1:8">
      <c r="A128" s="181">
        <v>43738</v>
      </c>
      <c r="B128" s="96">
        <v>-6.8714261595039438E-3</v>
      </c>
      <c r="C128" s="96">
        <v>-1.3359727189931529E-2</v>
      </c>
      <c r="D128" s="96">
        <v>9.8124885445506245E-3</v>
      </c>
      <c r="E128" s="96">
        <v>1.5510571056482311E-2</v>
      </c>
      <c r="F128" s="96">
        <v>1.5831465216680662E-2</v>
      </c>
      <c r="G128" s="96">
        <v>2.2814677766171482E-2</v>
      </c>
      <c r="H128" s="96">
        <v>0</v>
      </c>
    </row>
    <row r="129" spans="1:8">
      <c r="A129" s="181">
        <v>43739</v>
      </c>
      <c r="B129" s="96">
        <v>-1.6039693742878863E-2</v>
      </c>
      <c r="C129" s="96">
        <v>8.6648828857237258E-3</v>
      </c>
      <c r="D129" s="96">
        <v>-3.3881745577383111E-2</v>
      </c>
      <c r="E129" s="96">
        <v>-2.4546582623782495E-3</v>
      </c>
      <c r="F129" s="96">
        <v>-1.9028058242308261E-2</v>
      </c>
      <c r="G129" s="96">
        <v>-1.8975901459005691E-2</v>
      </c>
      <c r="H129" s="96">
        <v>-2.8370697129215576E-2</v>
      </c>
    </row>
    <row r="130" spans="1:8">
      <c r="A130" s="181">
        <v>43740</v>
      </c>
      <c r="B130" s="96">
        <v>-3.779906223059664E-3</v>
      </c>
      <c r="C130" s="96">
        <v>0</v>
      </c>
      <c r="D130" s="96">
        <v>-6.0624621816434736E-2</v>
      </c>
      <c r="E130" s="96">
        <v>-3.4023972020212054E-2</v>
      </c>
      <c r="F130" s="96">
        <v>-9.6515494522215854E-3</v>
      </c>
      <c r="G130" s="96">
        <v>-8.9801758075843518E-3</v>
      </c>
      <c r="H130" s="96">
        <v>-3.2909734088797979E-2</v>
      </c>
    </row>
    <row r="131" spans="1:8">
      <c r="A131" s="181">
        <v>43741</v>
      </c>
      <c r="B131" s="96">
        <v>-5.4247719016202013E-3</v>
      </c>
      <c r="C131" s="96">
        <v>-3.9292781398896611E-3</v>
      </c>
      <c r="D131" s="96">
        <v>-1.6550345943677613E-2</v>
      </c>
      <c r="E131" s="96">
        <v>-1.208001615086806E-2</v>
      </c>
      <c r="F131" s="96">
        <v>-1.520116133205044E-2</v>
      </c>
      <c r="G131" s="96">
        <v>-1.2970350442627404E-2</v>
      </c>
      <c r="H131" s="96">
        <v>-1.4981553615616833E-2</v>
      </c>
    </row>
    <row r="132" spans="1:8">
      <c r="A132" s="181">
        <v>43742</v>
      </c>
      <c r="B132" s="96">
        <v>5.9656340490468742E-3</v>
      </c>
      <c r="C132" s="96">
        <v>3.929278139889557E-3</v>
      </c>
      <c r="D132" s="96">
        <v>-6.4205459669522662E-4</v>
      </c>
      <c r="E132" s="96">
        <v>1.3350574661595808E-2</v>
      </c>
      <c r="F132" s="96">
        <v>-1.1001211061973682E-2</v>
      </c>
      <c r="G132" s="96">
        <v>-1.97765179764566E-2</v>
      </c>
      <c r="H132" s="96">
        <v>-2.677024106460478E-2</v>
      </c>
    </row>
    <row r="133" spans="1:8">
      <c r="A133" s="181">
        <v>43745</v>
      </c>
      <c r="B133" s="96">
        <v>2.7203128169228038E-2</v>
      </c>
      <c r="C133" s="96">
        <v>0</v>
      </c>
      <c r="D133" s="96">
        <v>1.9714469973082734E-2</v>
      </c>
      <c r="E133" s="96">
        <v>-3.9581617976292231E-3</v>
      </c>
      <c r="F133" s="96">
        <v>-3.3241027838385598E-3</v>
      </c>
      <c r="G133" s="96">
        <v>-1.3324452337786009E-3</v>
      </c>
      <c r="H133" s="96">
        <v>2.2989518224698562E-2</v>
      </c>
    </row>
    <row r="134" spans="1:8">
      <c r="A134" s="181">
        <v>43746</v>
      </c>
      <c r="B134" s="96">
        <v>-1.0579870162790952E-2</v>
      </c>
      <c r="C134" s="96">
        <v>1.3245226750020723E-2</v>
      </c>
      <c r="D134" s="96">
        <v>2.1184592868277095E-2</v>
      </c>
      <c r="E134" s="96">
        <v>-1.0680058796225507E-2</v>
      </c>
      <c r="F134" s="96">
        <v>0</v>
      </c>
      <c r="G134" s="96">
        <v>7.9681696491768813E-3</v>
      </c>
      <c r="H134" s="96">
        <v>1.5037877364540502E-2</v>
      </c>
    </row>
    <row r="135" spans="1:8">
      <c r="A135" s="181">
        <v>43747</v>
      </c>
      <c r="B135" s="96">
        <v>-6.4020705220224116E-3</v>
      </c>
      <c r="C135" s="96">
        <v>6.1728591070810161E-3</v>
      </c>
      <c r="D135" s="96">
        <v>2.4963244517569476E-2</v>
      </c>
      <c r="E135" s="96">
        <v>-5.4550809981813442E-3</v>
      </c>
      <c r="F135" s="96">
        <v>-1.1104942840271764E-3</v>
      </c>
      <c r="G135" s="96">
        <v>1.1834457647003017E-2</v>
      </c>
      <c r="H135" s="96">
        <v>1.4815085785140682E-2</v>
      </c>
    </row>
    <row r="136" spans="1:8">
      <c r="A136" s="181">
        <v>43748</v>
      </c>
      <c r="B136" s="96">
        <v>1.6043642138595985E-3</v>
      </c>
      <c r="C136" s="96">
        <v>0</v>
      </c>
      <c r="D136" s="96">
        <v>2.0238786041298737E-2</v>
      </c>
      <c r="E136" s="96">
        <v>8.1715027128614042E-3</v>
      </c>
      <c r="F136" s="96">
        <v>1.1049836186584935E-2</v>
      </c>
      <c r="G136" s="96">
        <v>-1.3080446600154524E-3</v>
      </c>
      <c r="H136" s="96">
        <v>0</v>
      </c>
    </row>
    <row r="137" spans="1:8">
      <c r="A137" s="181">
        <v>43749</v>
      </c>
      <c r="B137" s="96">
        <v>1.9578380800139451E-2</v>
      </c>
      <c r="C137" s="96">
        <v>0</v>
      </c>
      <c r="D137" s="96">
        <v>2.4448249120056914E-2</v>
      </c>
      <c r="E137" s="96">
        <v>-4.1490867161760965E-3</v>
      </c>
      <c r="F137" s="96">
        <v>-1.0995053334168876E-3</v>
      </c>
      <c r="G137" s="96">
        <v>1.1711259420901633E-2</v>
      </c>
      <c r="H137" s="96">
        <v>0</v>
      </c>
    </row>
    <row r="138" spans="1:8">
      <c r="A138" s="181">
        <v>43752</v>
      </c>
      <c r="B138" s="96">
        <v>-5.2537685203980136E-3</v>
      </c>
      <c r="C138" s="96">
        <v>3.0721990369700588E-3</v>
      </c>
      <c r="D138" s="96">
        <v>-1.6816864857577447E-2</v>
      </c>
      <c r="E138" s="96">
        <v>-1.4877143025475045E-2</v>
      </c>
      <c r="F138" s="96">
        <v>6.5789710980425605E-3</v>
      </c>
      <c r="G138" s="96">
        <v>9.0148710962153593E-3</v>
      </c>
      <c r="H138" s="96">
        <v>-1.1090686694158284E-2</v>
      </c>
    </row>
    <row r="139" spans="1:8">
      <c r="A139" s="181">
        <v>43753</v>
      </c>
      <c r="B139" s="96">
        <v>4.2052206629784273E-3</v>
      </c>
      <c r="C139" s="96">
        <v>1.8237587549781012E-2</v>
      </c>
      <c r="D139" s="96">
        <v>1.4514042884254012E-2</v>
      </c>
      <c r="E139" s="96">
        <v>1.3088055383886452E-3</v>
      </c>
      <c r="F139" s="96">
        <v>-1.6529301951210582E-2</v>
      </c>
      <c r="G139" s="96">
        <v>-2.5673955052458097E-3</v>
      </c>
      <c r="H139" s="96">
        <v>3.7105793965357746E-3</v>
      </c>
    </row>
    <row r="140" spans="1:8">
      <c r="A140" s="181">
        <v>43754</v>
      </c>
      <c r="B140" s="96">
        <v>2.0250964650807696E-2</v>
      </c>
      <c r="C140" s="96">
        <v>1.0486987495248071E-2</v>
      </c>
      <c r="D140" s="96">
        <v>7.4648638345211123E-3</v>
      </c>
      <c r="E140" s="96">
        <v>-1.308805538388607E-3</v>
      </c>
      <c r="F140" s="96">
        <v>1.3245226750020505E-2</v>
      </c>
      <c r="G140" s="96">
        <v>-7.7419741536155088E-3</v>
      </c>
      <c r="H140" s="96">
        <v>-1.1173300598125302E-2</v>
      </c>
    </row>
    <row r="141" spans="1:8">
      <c r="A141" s="181">
        <v>43755</v>
      </c>
      <c r="B141" s="96">
        <v>1.6719728870400352E-2</v>
      </c>
      <c r="C141" s="96">
        <v>5.9435539008481373E-3</v>
      </c>
      <c r="D141" s="96">
        <v>-1.1507606851479802E-2</v>
      </c>
      <c r="E141" s="96">
        <v>-1.9395259757738533E-2</v>
      </c>
      <c r="F141" s="96">
        <v>-1.3245226750020567E-2</v>
      </c>
      <c r="G141" s="96">
        <v>1.2944985626457955E-3</v>
      </c>
      <c r="H141" s="96">
        <v>0</v>
      </c>
    </row>
    <row r="142" spans="1:8">
      <c r="A142" s="181">
        <v>43756</v>
      </c>
      <c r="B142" s="96">
        <v>-2.0240873219527773E-3</v>
      </c>
      <c r="C142" s="96">
        <v>2.21975673831281E-3</v>
      </c>
      <c r="D142" s="96">
        <v>1.1507606851479725E-2</v>
      </c>
      <c r="E142" s="96">
        <v>4.1456973797063448E-3</v>
      </c>
      <c r="F142" s="96">
        <v>1.3245226750020505E-2</v>
      </c>
      <c r="G142" s="96">
        <v>1.5404669194986455E-2</v>
      </c>
      <c r="H142" s="96">
        <v>1.1173300598125255E-2</v>
      </c>
    </row>
    <row r="143" spans="1:8">
      <c r="A143" s="181">
        <v>43759</v>
      </c>
      <c r="B143" s="96">
        <v>2.0240873219526958E-3</v>
      </c>
      <c r="C143" s="96">
        <v>8.8300794482722156E-3</v>
      </c>
      <c r="D143" s="96">
        <v>-3.4383988030325975E-3</v>
      </c>
      <c r="E143" s="96">
        <v>0</v>
      </c>
      <c r="F143" s="96">
        <v>1.5234244571847987E-2</v>
      </c>
      <c r="G143" s="96">
        <v>-1.9293202934678781E-2</v>
      </c>
      <c r="H143" s="96">
        <v>0</v>
      </c>
    </row>
    <row r="144" spans="1:8">
      <c r="A144" s="181">
        <v>43760</v>
      </c>
      <c r="B144" s="96">
        <v>-1.6205827836427558E-2</v>
      </c>
      <c r="C144" s="96">
        <v>-1.1049836186585046E-2</v>
      </c>
      <c r="D144" s="96">
        <v>-1.1487652038735931E-3</v>
      </c>
      <c r="E144" s="96">
        <v>-5.4819012753460593E-3</v>
      </c>
      <c r="F144" s="96">
        <v>4.3103515011222631E-3</v>
      </c>
      <c r="G144" s="96">
        <v>3.5718082602079246E-2</v>
      </c>
      <c r="H144" s="96">
        <v>-3.710579396535713E-3</v>
      </c>
    </row>
    <row r="145" spans="1:8">
      <c r="A145" s="181">
        <v>43761</v>
      </c>
      <c r="B145" s="96">
        <v>-8.7724387328595461E-3</v>
      </c>
      <c r="C145" s="96">
        <v>6.6445427186685108E-3</v>
      </c>
      <c r="D145" s="96">
        <v>0</v>
      </c>
      <c r="E145" s="96">
        <v>0</v>
      </c>
      <c r="F145" s="96">
        <v>1.069528911674795E-2</v>
      </c>
      <c r="G145" s="96">
        <v>0</v>
      </c>
      <c r="H145" s="96">
        <v>3.7105793965357746E-3</v>
      </c>
    </row>
    <row r="146" spans="1:8">
      <c r="A146" s="181">
        <v>43762</v>
      </c>
      <c r="B146" s="96">
        <v>1.0825405990553963E-2</v>
      </c>
      <c r="C146" s="96">
        <v>0</v>
      </c>
      <c r="D146" s="96">
        <v>5.7306747089850745E-3</v>
      </c>
      <c r="E146" s="96">
        <v>4.1512290896411255E-3</v>
      </c>
      <c r="F146" s="96">
        <v>0</v>
      </c>
      <c r="G146" s="96">
        <v>-6.2853758149608646E-3</v>
      </c>
      <c r="H146" s="96">
        <v>0</v>
      </c>
    </row>
    <row r="147" spans="1:8">
      <c r="A147" s="181">
        <v>43763</v>
      </c>
      <c r="B147" s="96">
        <v>-1.0259567946194082E-3</v>
      </c>
      <c r="C147" s="96">
        <v>-8.1271226788913725E-3</v>
      </c>
      <c r="D147" s="96">
        <v>-2.8612322810322348E-3</v>
      </c>
      <c r="E147" s="96">
        <v>2.8071230666424666E-3</v>
      </c>
      <c r="F147" s="96">
        <v>-1.0695289116747919E-2</v>
      </c>
      <c r="G147" s="96">
        <v>3.7759642095351359E-3</v>
      </c>
      <c r="H147" s="96">
        <v>1.1049836186584935E-2</v>
      </c>
    </row>
    <row r="148" spans="1:8">
      <c r="A148" s="181">
        <v>43767</v>
      </c>
      <c r="B148" s="96">
        <v>0</v>
      </c>
      <c r="C148" s="96">
        <v>8.8626872578453243E-3</v>
      </c>
      <c r="D148" s="96">
        <v>2.8612322810321949E-3</v>
      </c>
      <c r="E148" s="96">
        <v>-9.7851040199545304E-3</v>
      </c>
      <c r="F148" s="96">
        <v>9.6308930609613659E-3</v>
      </c>
      <c r="G148" s="96">
        <v>-1.5190165493975233E-2</v>
      </c>
      <c r="H148" s="96">
        <v>-1.1049836186585046E-2</v>
      </c>
    </row>
    <row r="149" spans="1:8">
      <c r="A149" s="181">
        <v>43768</v>
      </c>
      <c r="B149" s="96">
        <v>5.1192903856192625E-3</v>
      </c>
      <c r="C149" s="96">
        <v>0</v>
      </c>
      <c r="D149" s="96">
        <v>0</v>
      </c>
      <c r="E149" s="96">
        <v>5.4973765963644526E-3</v>
      </c>
      <c r="F149" s="96">
        <v>3.1897953681000808E-3</v>
      </c>
      <c r="G149" s="96">
        <v>1.6445658439807196E-2</v>
      </c>
      <c r="H149" s="96">
        <v>0</v>
      </c>
    </row>
    <row r="150" spans="1:8">
      <c r="A150" s="181">
        <v>43769</v>
      </c>
      <c r="B150" s="96">
        <v>-5.11929038561922E-3</v>
      </c>
      <c r="C150" s="96">
        <v>0</v>
      </c>
      <c r="D150" s="96">
        <v>0</v>
      </c>
      <c r="E150" s="96">
        <v>-4.1573927734405861E-3</v>
      </c>
      <c r="F150" s="96">
        <v>8.4567100182234584E-3</v>
      </c>
      <c r="G150" s="96">
        <v>-2.512564135883048E-3</v>
      </c>
      <c r="H150" s="96">
        <v>-7.4349784875180902E-3</v>
      </c>
    </row>
    <row r="151" spans="1:8">
      <c r="A151" s="181">
        <v>43770</v>
      </c>
      <c r="B151" s="96">
        <v>1.8207287283414288E-2</v>
      </c>
      <c r="C151" s="96">
        <v>-1.4716706114562507E-3</v>
      </c>
      <c r="D151" s="96">
        <v>0</v>
      </c>
      <c r="E151" s="96">
        <v>0</v>
      </c>
      <c r="F151" s="96">
        <v>-1.0582109330536859E-2</v>
      </c>
      <c r="G151" s="96">
        <v>-7.5757938084577677E-3</v>
      </c>
      <c r="H151" s="96">
        <v>1.4815085785140682E-2</v>
      </c>
    </row>
    <row r="152" spans="1:8">
      <c r="A152" s="181">
        <v>43773</v>
      </c>
      <c r="B152" s="96">
        <v>-3.3724304942552151E-2</v>
      </c>
      <c r="C152" s="96">
        <v>8.797710703529131E-3</v>
      </c>
      <c r="D152" s="96">
        <v>1.6997576368571077E-2</v>
      </c>
      <c r="E152" s="96">
        <v>9.772064733792522E-3</v>
      </c>
      <c r="F152" s="96">
        <v>-1.0643960557867014E-3</v>
      </c>
      <c r="G152" s="96">
        <v>0</v>
      </c>
      <c r="H152" s="96">
        <v>-3.6832454162962934E-3</v>
      </c>
    </row>
    <row r="153" spans="1:8">
      <c r="A153" s="181">
        <v>43774</v>
      </c>
      <c r="B153" s="96">
        <v>-5.2263106312979207E-3</v>
      </c>
      <c r="C153" s="96">
        <v>-4.3891804187630957E-3</v>
      </c>
      <c r="D153" s="96">
        <v>1.1173300598125255E-2</v>
      </c>
      <c r="E153" s="96">
        <v>-1.3269445367617273E-3</v>
      </c>
      <c r="F153" s="96">
        <v>-2.5891413932741591E-2</v>
      </c>
      <c r="G153" s="96">
        <v>-1.6613800662655446E-2</v>
      </c>
      <c r="H153" s="96">
        <v>-1.1131840368844294E-2</v>
      </c>
    </row>
    <row r="154" spans="1:8">
      <c r="A154" s="181">
        <v>43775</v>
      </c>
      <c r="B154" s="96">
        <v>0</v>
      </c>
      <c r="C154" s="96">
        <v>-6.6201050896061283E-3</v>
      </c>
      <c r="D154" s="96">
        <v>-2.133713738813121E-2</v>
      </c>
      <c r="E154" s="96">
        <v>-1.2619869066354447E-2</v>
      </c>
      <c r="F154" s="96">
        <v>-1.7641030803901083E-2</v>
      </c>
      <c r="G154" s="96">
        <v>-3.8734715957966636E-3</v>
      </c>
      <c r="H154" s="96">
        <v>0</v>
      </c>
    </row>
    <row r="155" spans="1:8">
      <c r="A155" s="181">
        <v>43776</v>
      </c>
      <c r="B155" s="96">
        <v>1.4048828804890235E-2</v>
      </c>
      <c r="C155" s="96">
        <v>-5.9215569034373212E-3</v>
      </c>
      <c r="D155" s="96">
        <v>2.853340425872606E-2</v>
      </c>
      <c r="E155" s="96">
        <v>2.8347650463998431E-3</v>
      </c>
      <c r="F155" s="96">
        <v>2.2222231367175172E-3</v>
      </c>
      <c r="G155" s="96">
        <v>-6.4893154397498813E-3</v>
      </c>
      <c r="H155" s="96">
        <v>7.4349784875179905E-3</v>
      </c>
    </row>
    <row r="156" spans="1:8">
      <c r="A156" s="181">
        <v>43777</v>
      </c>
      <c r="B156" s="96">
        <v>1.5488670554738794E-3</v>
      </c>
      <c r="C156" s="96">
        <v>-5.2102834654069877E-3</v>
      </c>
      <c r="D156" s="96">
        <v>7.1448504000628972E-3</v>
      </c>
      <c r="E156" s="96">
        <v>1.3399838229238852E-3</v>
      </c>
      <c r="F156" s="96">
        <v>2.6288479904087364E-2</v>
      </c>
      <c r="G156" s="96">
        <v>0</v>
      </c>
      <c r="H156" s="96">
        <v>0</v>
      </c>
    </row>
    <row r="157" spans="1:8">
      <c r="A157" s="181">
        <v>43780</v>
      </c>
      <c r="B157" s="96">
        <v>-3.1001368220642807E-3</v>
      </c>
      <c r="C157" s="96">
        <v>2.9806281381377199E-3</v>
      </c>
      <c r="D157" s="96">
        <v>-1.0459770562685385E-2</v>
      </c>
      <c r="E157" s="96">
        <v>-5.5203422546814783E-3</v>
      </c>
      <c r="F157" s="96">
        <v>-1.0816658707410232E-3</v>
      </c>
      <c r="G157" s="96">
        <v>-2.6386755173194887E-2</v>
      </c>
      <c r="H157" s="96">
        <v>0</v>
      </c>
    </row>
    <row r="158" spans="1:8">
      <c r="A158" s="181">
        <v>43781</v>
      </c>
      <c r="B158" s="96">
        <v>3.1001368220643128E-3</v>
      </c>
      <c r="C158" s="96">
        <v>7.437709528446807E-4</v>
      </c>
      <c r="D158" s="96">
        <v>1.6465794622897292E-2</v>
      </c>
      <c r="E158" s="96">
        <v>7.0071102954288068E-3</v>
      </c>
      <c r="F158" s="96">
        <v>-4.3384015985982417E-3</v>
      </c>
      <c r="G158" s="96">
        <v>1.0638398205055577E-2</v>
      </c>
      <c r="H158" s="96">
        <v>-1.4925650216675593E-2</v>
      </c>
    </row>
    <row r="159" spans="1:8">
      <c r="A159" s="181">
        <v>43782</v>
      </c>
      <c r="B159" s="96">
        <v>-1.4026932670236658E-2</v>
      </c>
      <c r="C159" s="96">
        <v>-7.437709528446524E-4</v>
      </c>
      <c r="D159" s="96">
        <v>-2.1798373754208364E-3</v>
      </c>
      <c r="E159" s="96">
        <v>5.43564928161821E-2</v>
      </c>
      <c r="F159" s="96">
        <v>-3.2661977866210697E-3</v>
      </c>
      <c r="G159" s="96">
        <v>-1.323626930508253E-3</v>
      </c>
      <c r="H159" s="96">
        <v>0</v>
      </c>
    </row>
    <row r="160" spans="1:8">
      <c r="A160" s="181">
        <v>43783</v>
      </c>
      <c r="B160" s="96">
        <v>6.7782729932192422E-3</v>
      </c>
      <c r="C160" s="96">
        <v>7.437709528446807E-4</v>
      </c>
      <c r="D160" s="96">
        <v>1.0905126489659065E-3</v>
      </c>
      <c r="E160" s="96">
        <v>1.1889083324560998E-2</v>
      </c>
      <c r="F160" s="96">
        <v>-2.1834069809435063E-3</v>
      </c>
      <c r="G160" s="96">
        <v>3.9656363933468853E-3</v>
      </c>
      <c r="H160" s="96">
        <v>1.4925650216675574E-2</v>
      </c>
    </row>
    <row r="161" spans="1:8">
      <c r="A161" s="181">
        <v>43784</v>
      </c>
      <c r="B161" s="96">
        <v>4.6658802052063509E-3</v>
      </c>
      <c r="C161" s="96">
        <v>-5.9657149339962775E-3</v>
      </c>
      <c r="D161" s="96">
        <v>1.1917800864035103E-2</v>
      </c>
      <c r="E161" s="96">
        <v>6.5137781416851909E-3</v>
      </c>
      <c r="F161" s="96">
        <v>-2.1881846805527827E-3</v>
      </c>
      <c r="G161" s="96">
        <v>-1.194440212515218E-2</v>
      </c>
      <c r="H161" s="96">
        <v>-7.4349784875180902E-3</v>
      </c>
    </row>
    <row r="162" spans="1:8">
      <c r="A162" s="181">
        <v>43787</v>
      </c>
      <c r="B162" s="96">
        <v>1.1314665041065783E-2</v>
      </c>
      <c r="C162" s="96">
        <v>0</v>
      </c>
      <c r="D162" s="96">
        <v>1.6142053545412009E-3</v>
      </c>
      <c r="E162" s="96">
        <v>-6.5137781416852308E-3</v>
      </c>
      <c r="F162" s="96">
        <v>7.63778944811732E-3</v>
      </c>
      <c r="G162" s="96">
        <v>-5.3547651376599156E-3</v>
      </c>
      <c r="H162" s="96">
        <v>0</v>
      </c>
    </row>
    <row r="163" spans="1:8">
      <c r="A163" s="181">
        <v>43788</v>
      </c>
      <c r="B163" s="96">
        <v>3.0637278866491586E-3</v>
      </c>
      <c r="C163" s="96">
        <v>9.6762943305319891E-3</v>
      </c>
      <c r="D163" s="96">
        <v>-1.0758473334632364E-3</v>
      </c>
      <c r="E163" s="96">
        <v>1.8187329642944991E-2</v>
      </c>
      <c r="F163" s="96">
        <v>8.6580627431145311E-3</v>
      </c>
      <c r="G163" s="96">
        <v>-6.7340321813440683E-3</v>
      </c>
      <c r="H163" s="96">
        <v>0</v>
      </c>
    </row>
    <row r="164" spans="1:8">
      <c r="A164" s="181">
        <v>43789</v>
      </c>
      <c r="B164" s="96">
        <v>8.5288363475205017E-3</v>
      </c>
      <c r="C164" s="96">
        <v>3.0636969461889801E-2</v>
      </c>
      <c r="D164" s="96">
        <v>-4.3150013014132361E-3</v>
      </c>
      <c r="E164" s="96">
        <v>1.5310914908898896E-2</v>
      </c>
      <c r="F164" s="96">
        <v>1.0770060276379661E-3</v>
      </c>
      <c r="G164" s="96">
        <v>-2.7063615977430252E-3</v>
      </c>
      <c r="H164" s="96">
        <v>-2.6466573188163287E-2</v>
      </c>
    </row>
    <row r="165" spans="1:8">
      <c r="A165" s="181">
        <v>43790</v>
      </c>
      <c r="B165" s="96">
        <v>-4.9663103139171881E-3</v>
      </c>
      <c r="C165" s="96">
        <v>-8.6580627431145415E-3</v>
      </c>
      <c r="D165" s="96">
        <v>-3.0180617149991287E-2</v>
      </c>
      <c r="E165" s="96">
        <v>8.7021099385322809E-3</v>
      </c>
      <c r="F165" s="96">
        <v>-1.0822616458151416E-2</v>
      </c>
      <c r="G165" s="96">
        <v>-5.4347959859569446E-3</v>
      </c>
      <c r="H165" s="96">
        <v>0</v>
      </c>
    </row>
    <row r="166" spans="1:8">
      <c r="A166" s="181">
        <v>43791</v>
      </c>
      <c r="B166" s="96">
        <v>1.5025745307095039E-2</v>
      </c>
      <c r="C166" s="96">
        <v>5.7803629154995493E-3</v>
      </c>
      <c r="D166" s="96">
        <v>-1.4025475354504434E-2</v>
      </c>
      <c r="E166" s="96">
        <v>-3.0450962294746135E-2</v>
      </c>
      <c r="F166" s="96">
        <v>1.7260406932999992E-2</v>
      </c>
      <c r="G166" s="96">
        <v>1.7556156518301818E-2</v>
      </c>
      <c r="H166" s="96">
        <v>1.8975901459005604E-2</v>
      </c>
    </row>
    <row r="167" spans="1:8">
      <c r="A167" s="181">
        <v>43794</v>
      </c>
      <c r="B167" s="96">
        <v>7.9753189151259632E-3</v>
      </c>
      <c r="C167" s="96">
        <v>5.030553188716114E-3</v>
      </c>
      <c r="D167" s="96">
        <v>5.9227834200333535E-2</v>
      </c>
      <c r="E167" s="96">
        <v>-1.4394712220652023E-2</v>
      </c>
      <c r="F167" s="96">
        <v>-6.4377904748485299E-3</v>
      </c>
      <c r="G167" s="96">
        <v>1.0652564116207309E-2</v>
      </c>
      <c r="H167" s="96">
        <v>-1.5151805020602333E-2</v>
      </c>
    </row>
    <row r="168" spans="1:8">
      <c r="A168" s="181">
        <v>43795</v>
      </c>
      <c r="B168" s="96">
        <v>8.8968558377367172E-3</v>
      </c>
      <c r="C168" s="96">
        <v>-1.7354014693151506E-2</v>
      </c>
      <c r="D168" s="96">
        <v>-2.1529356852575988E-2</v>
      </c>
      <c r="E168" s="96">
        <v>-1.587892563914672E-2</v>
      </c>
      <c r="F168" s="96">
        <v>-1.3001266557373629E-2</v>
      </c>
      <c r="G168" s="96">
        <v>-1.3253812410685707E-3</v>
      </c>
      <c r="H168" s="96">
        <v>1.1385322225125429E-2</v>
      </c>
    </row>
    <row r="169" spans="1:8">
      <c r="A169" s="181">
        <v>43796</v>
      </c>
      <c r="B169" s="96">
        <v>2.2383184366765365E-2</v>
      </c>
      <c r="C169" s="96">
        <v>4.3668191663403895E-3</v>
      </c>
      <c r="D169" s="96">
        <v>1.672550453993053E-2</v>
      </c>
      <c r="E169" s="96">
        <v>2.6556417361432674E-2</v>
      </c>
      <c r="F169" s="96">
        <v>1.3001266557373502E-2</v>
      </c>
      <c r="G169" s="96">
        <v>-2.6560440581162963E-3</v>
      </c>
      <c r="H169" s="96">
        <v>7.518832414027319E-3</v>
      </c>
    </row>
    <row r="170" spans="1:8">
      <c r="A170" s="181">
        <v>43797</v>
      </c>
      <c r="B170" s="96">
        <v>5.2490729423112371E-2</v>
      </c>
      <c r="C170" s="96">
        <v>-2.9090929606837243E-3</v>
      </c>
      <c r="D170" s="96">
        <v>-9.1373922494382611E-3</v>
      </c>
      <c r="E170" s="96">
        <v>-9.7020858064505913E-3</v>
      </c>
      <c r="F170" s="96">
        <v>0</v>
      </c>
      <c r="G170" s="96">
        <v>-2.6631174194836618E-3</v>
      </c>
      <c r="H170" s="96">
        <v>-1.1299555253933394E-2</v>
      </c>
    </row>
    <row r="171" spans="1:8">
      <c r="A171" s="181">
        <v>43798</v>
      </c>
      <c r="B171" s="96">
        <v>1.8008721612505729E-2</v>
      </c>
      <c r="C171" s="96">
        <v>-6.5765673645636017E-3</v>
      </c>
      <c r="D171" s="96">
        <v>-1.7429635135283648E-2</v>
      </c>
      <c r="E171" s="96">
        <v>2.7816429618767705E-3</v>
      </c>
      <c r="F171" s="96">
        <v>-7.5635152572445076E-3</v>
      </c>
      <c r="G171" s="96">
        <v>-6.6889881507965401E-3</v>
      </c>
      <c r="H171" s="96">
        <v>-1.1428695823622631E-2</v>
      </c>
    </row>
    <row r="172" spans="1:8">
      <c r="A172" s="181">
        <v>43801</v>
      </c>
      <c r="B172" s="96">
        <v>-8.1045018119389588E-3</v>
      </c>
      <c r="C172" s="96">
        <v>-5.8823699030665245E-3</v>
      </c>
      <c r="D172" s="96">
        <v>0</v>
      </c>
      <c r="E172" s="96">
        <v>-1.3986241974739952E-2</v>
      </c>
      <c r="F172" s="96">
        <v>-8.7146521024437755E-3</v>
      </c>
      <c r="G172" s="96">
        <v>-1.3431835464676259E-3</v>
      </c>
      <c r="H172" s="96">
        <v>0</v>
      </c>
    </row>
    <row r="173" spans="1:8">
      <c r="A173" s="181">
        <v>43802</v>
      </c>
      <c r="B173" s="96">
        <v>-1.5398236000639404E-2</v>
      </c>
      <c r="C173" s="96">
        <v>-3.694130540142046E-3</v>
      </c>
      <c r="D173" s="96">
        <v>-2.7856954502966224E-2</v>
      </c>
      <c r="E173" s="96">
        <v>-8.4866138773186939E-3</v>
      </c>
      <c r="F173" s="96">
        <v>4.3668191663403895E-3</v>
      </c>
      <c r="G173" s="96">
        <v>0</v>
      </c>
      <c r="H173" s="96">
        <v>7.6336248550712051E-3</v>
      </c>
    </row>
    <row r="174" spans="1:8">
      <c r="A174" s="181">
        <v>43803</v>
      </c>
      <c r="B174" s="96">
        <v>9.1399959932140038E-3</v>
      </c>
      <c r="C174" s="96">
        <v>2.9563953536025232E-3</v>
      </c>
      <c r="D174" s="96">
        <v>4.3124426633754619E-2</v>
      </c>
      <c r="E174" s="96">
        <v>1.5504186535965254E-2</v>
      </c>
      <c r="F174" s="96">
        <v>-2.1810259463601145E-3</v>
      </c>
      <c r="G174" s="96">
        <v>-6.7431138848901969E-3</v>
      </c>
      <c r="H174" s="96">
        <v>-1.1472401162236807E-2</v>
      </c>
    </row>
    <row r="175" spans="1:8">
      <c r="A175" s="181">
        <v>43804</v>
      </c>
      <c r="B175" s="96">
        <v>1.8180170446908258E-3</v>
      </c>
      <c r="C175" s="96">
        <v>-5.9215569034373212E-3</v>
      </c>
      <c r="D175" s="96">
        <v>-4.3384015985982417E-3</v>
      </c>
      <c r="E175" s="96">
        <v>1.1126679464757053E-2</v>
      </c>
      <c r="F175" s="96">
        <v>-1.0922993986089273E-3</v>
      </c>
      <c r="G175" s="96">
        <v>-8.1522190615502706E-3</v>
      </c>
      <c r="H175" s="96">
        <v>-7.7220460939102778E-3</v>
      </c>
    </row>
    <row r="176" spans="1:8">
      <c r="A176" s="181">
        <v>43805</v>
      </c>
      <c r="B176" s="96">
        <v>-1.8180170446906725E-3</v>
      </c>
      <c r="C176" s="96">
        <v>-1.4205846373984945E-2</v>
      </c>
      <c r="D176" s="96">
        <v>-2.2534616652498153E-2</v>
      </c>
      <c r="E176" s="96">
        <v>2.7624326959100796E-3</v>
      </c>
      <c r="F176" s="96">
        <v>1.0869672236903891E-2</v>
      </c>
      <c r="G176" s="96">
        <v>-9.5956870618554378E-3</v>
      </c>
      <c r="H176" s="96">
        <v>-3.883500026397633E-3</v>
      </c>
    </row>
    <row r="177" spans="1:8">
      <c r="A177" s="181">
        <v>43808</v>
      </c>
      <c r="B177" s="96">
        <v>-6.3892148711720102E-3</v>
      </c>
      <c r="C177" s="96">
        <v>2.2564883587326097E-3</v>
      </c>
      <c r="D177" s="96">
        <v>-9.4946259197783382E-3</v>
      </c>
      <c r="E177" s="96">
        <v>9.6088591066368894E-3</v>
      </c>
      <c r="F177" s="96">
        <v>-1.9651287397288615E-2</v>
      </c>
      <c r="G177" s="96">
        <v>8.2304991365154435E-3</v>
      </c>
      <c r="H177" s="96">
        <v>-1.1741817876683287E-2</v>
      </c>
    </row>
    <row r="178" spans="1:8">
      <c r="A178" s="181">
        <v>43809</v>
      </c>
      <c r="B178" s="96">
        <v>1.0837499633357835E-2</v>
      </c>
      <c r="C178" s="96">
        <v>-1.3615944092315421E-2</v>
      </c>
      <c r="D178" s="96">
        <v>-9.585638663357602E-3</v>
      </c>
      <c r="E178" s="96">
        <v>9.5174069868901711E-3</v>
      </c>
      <c r="F178" s="96">
        <v>-6.6371925067987298E-3</v>
      </c>
      <c r="G178" s="96">
        <v>-1.7919156240264834E-2</v>
      </c>
      <c r="H178" s="96">
        <v>3.1010236742560218E-2</v>
      </c>
    </row>
    <row r="179" spans="1:8">
      <c r="A179" s="181">
        <v>43810</v>
      </c>
      <c r="B179" s="96">
        <v>3.8209890292330288E-2</v>
      </c>
      <c r="C179" s="96">
        <v>1.5867352172772804E-2</v>
      </c>
      <c r="D179" s="96">
        <v>4.1071255236924065E-2</v>
      </c>
      <c r="E179" s="96">
        <v>1.3522652500137541E-3</v>
      </c>
      <c r="F179" s="96">
        <v>3.1679328538963852E-2</v>
      </c>
      <c r="G179" s="96">
        <v>1.5183176421390028E-2</v>
      </c>
      <c r="H179" s="96">
        <v>-1.5384918839479343E-2</v>
      </c>
    </row>
    <row r="180" spans="1:8">
      <c r="A180" s="181">
        <v>43811</v>
      </c>
      <c r="B180" s="96">
        <v>2.1561853007587155E-2</v>
      </c>
      <c r="C180" s="96">
        <v>-9.7929219532436017E-3</v>
      </c>
      <c r="D180" s="96">
        <v>1.9386713800190084E-2</v>
      </c>
      <c r="E180" s="96">
        <v>-2.7398974188114503E-2</v>
      </c>
      <c r="F180" s="96">
        <v>0</v>
      </c>
      <c r="G180" s="96">
        <v>-8.2531417567204141E-3</v>
      </c>
      <c r="H180" s="96">
        <v>-7.7821404420549628E-3</v>
      </c>
    </row>
    <row r="181" spans="1:8">
      <c r="A181" s="181">
        <v>43812</v>
      </c>
      <c r="B181" s="96">
        <v>1.9434494228652913E-2</v>
      </c>
      <c r="C181" s="96">
        <v>-1.6024761072697225E-2</v>
      </c>
      <c r="D181" s="96">
        <v>1.3245226750020723E-2</v>
      </c>
      <c r="E181" s="96">
        <v>-2.781642961876914E-3</v>
      </c>
      <c r="F181" s="96">
        <v>0</v>
      </c>
      <c r="G181" s="96">
        <v>6.8823396229417376E-3</v>
      </c>
      <c r="H181" s="96">
        <v>-3.9138993211363287E-3</v>
      </c>
    </row>
    <row r="182" spans="1:8">
      <c r="A182" s="181">
        <v>43815</v>
      </c>
      <c r="B182" s="96">
        <v>-3.4912017297566163E-2</v>
      </c>
      <c r="C182" s="96">
        <v>-6.1728591070809675E-3</v>
      </c>
      <c r="D182" s="96">
        <v>-1.5915455305899568E-2</v>
      </c>
      <c r="E182" s="96">
        <v>-1.1204599012863132E-2</v>
      </c>
      <c r="F182" s="96">
        <v>-2.173998663640599E-2</v>
      </c>
      <c r="G182" s="96">
        <v>-5.5020771539834217E-3</v>
      </c>
      <c r="H182" s="96">
        <v>0</v>
      </c>
    </row>
    <row r="183" spans="1:8">
      <c r="A183" s="181">
        <v>43816</v>
      </c>
      <c r="B183" s="96">
        <v>4.4903774029486684E-2</v>
      </c>
      <c r="C183" s="96">
        <v>2.7482645693831884E-2</v>
      </c>
      <c r="D183" s="96">
        <v>5.3333459753626029E-3</v>
      </c>
      <c r="E183" s="96">
        <v>4.6776064797730908E-2</v>
      </c>
      <c r="F183" s="96">
        <v>2.4960601336448229E-2</v>
      </c>
      <c r="G183" s="96">
        <v>3.3901551675681416E-2</v>
      </c>
      <c r="H183" s="96">
        <v>1.5564516541111548E-2</v>
      </c>
    </row>
    <row r="184" spans="1:8">
      <c r="A184" s="181">
        <v>43817</v>
      </c>
      <c r="B184" s="96">
        <v>-8.3195155395582761E-3</v>
      </c>
      <c r="C184" s="96">
        <v>3.1136688785791389E-2</v>
      </c>
      <c r="D184" s="96">
        <v>2.3134575401656889E-2</v>
      </c>
      <c r="E184" s="96">
        <v>5.7457055024787214E-2</v>
      </c>
      <c r="F184" s="96">
        <v>-3.2206147000421719E-3</v>
      </c>
      <c r="G184" s="96">
        <v>1.3245226750020505E-2</v>
      </c>
      <c r="H184" s="96">
        <v>7.6923456231558652E-3</v>
      </c>
    </row>
    <row r="185" spans="1:8">
      <c r="A185" s="181">
        <v>43818</v>
      </c>
      <c r="B185" s="96">
        <v>-1.0919890114022212E-2</v>
      </c>
      <c r="C185" s="96">
        <v>2.9154539601241349E-3</v>
      </c>
      <c r="D185" s="96">
        <v>-4.2469227109112551E-2</v>
      </c>
      <c r="E185" s="96">
        <v>1.1356588932335975E-2</v>
      </c>
      <c r="F185" s="96">
        <v>7.4986960911203838E-3</v>
      </c>
      <c r="G185" s="96">
        <v>0</v>
      </c>
      <c r="H185" s="96">
        <v>1.8975901459005604E-2</v>
      </c>
    </row>
    <row r="186" spans="1:8">
      <c r="A186" s="181">
        <v>43819</v>
      </c>
      <c r="B186" s="96">
        <v>-4.5796339327830511E-2</v>
      </c>
      <c r="C186" s="96">
        <v>2.1810259463601461E-3</v>
      </c>
      <c r="D186" s="96">
        <v>-1.6402773441457269E-2</v>
      </c>
      <c r="E186" s="96">
        <v>0</v>
      </c>
      <c r="F186" s="96">
        <v>-6.4240049613549875E-3</v>
      </c>
      <c r="G186" s="96">
        <v>-1.5915455305899457E-2</v>
      </c>
      <c r="H186" s="96">
        <v>4.7715473039666369E-2</v>
      </c>
    </row>
    <row r="187" spans="1:8">
      <c r="A187" s="181">
        <v>43822</v>
      </c>
      <c r="B187" s="96">
        <v>3.5609494020837566E-2</v>
      </c>
      <c r="C187" s="96">
        <v>3.4264593974096078E-2</v>
      </c>
      <c r="D187" s="96">
        <v>3.1473026362455386E-2</v>
      </c>
      <c r="E187" s="96">
        <v>1.7413375325197912E-2</v>
      </c>
      <c r="F187" s="96">
        <v>1.068386230831261E-2</v>
      </c>
      <c r="G187" s="96">
        <v>1.1960275462971471E-2</v>
      </c>
      <c r="H187" s="96">
        <v>0</v>
      </c>
    </row>
    <row r="188" spans="1:8">
      <c r="A188" s="181">
        <v>43826</v>
      </c>
      <c r="B188" s="96">
        <v>-6.849341845574783E-3</v>
      </c>
      <c r="C188" s="96">
        <v>1.3937507843781678E-2</v>
      </c>
      <c r="D188" s="96">
        <v>-1.7241806434506103E-2</v>
      </c>
      <c r="E188" s="96">
        <v>2.3157646675230938E-2</v>
      </c>
      <c r="F188" s="96">
        <v>1.5814773466021725E-2</v>
      </c>
      <c r="G188" s="96">
        <v>3.9551798429277932E-3</v>
      </c>
      <c r="H188" s="96">
        <v>-1.0810916104215506E-2</v>
      </c>
    </row>
    <row r="189" spans="1:8">
      <c r="A189" s="181">
        <v>43829</v>
      </c>
      <c r="B189" s="96">
        <v>6.8493418455747683E-3</v>
      </c>
      <c r="C189" s="96">
        <v>-1.3937507843781624E-2</v>
      </c>
      <c r="D189" s="96">
        <v>4.8793807840934881E-3</v>
      </c>
      <c r="E189" s="96">
        <v>-1.9465334788103351E-2</v>
      </c>
      <c r="F189" s="96">
        <v>4.175371410480592E-3</v>
      </c>
      <c r="G189" s="96">
        <v>-1.1912781516242E-2</v>
      </c>
      <c r="H189" s="96">
        <v>-2.1978906718775341E-2</v>
      </c>
    </row>
    <row r="190" spans="1:8">
      <c r="A190" s="181">
        <v>43830</v>
      </c>
      <c r="B190" s="96">
        <v>-1.201731200401744E-2</v>
      </c>
      <c r="C190" s="96">
        <v>7.0150827149030332E-4</v>
      </c>
      <c r="D190" s="96">
        <v>3.2397436544107962E-3</v>
      </c>
      <c r="E190" s="96">
        <v>1.0995834674529522E-2</v>
      </c>
      <c r="F190" s="96">
        <v>-1.2578782206860073E-2</v>
      </c>
      <c r="G190" s="96">
        <v>5.3120974848898843E-3</v>
      </c>
      <c r="H190" s="96">
        <v>2.1978906718775382E-2</v>
      </c>
    </row>
    <row r="191" spans="1:8">
      <c r="A191" s="181">
        <v>43832</v>
      </c>
      <c r="B191" s="96">
        <v>1.7972242404430218E-2</v>
      </c>
      <c r="C191" s="96">
        <v>2.8011222797117733E-3</v>
      </c>
      <c r="D191" s="96">
        <v>7.518832414027319E-3</v>
      </c>
      <c r="E191" s="96">
        <v>2.6380426680103871E-2</v>
      </c>
      <c r="F191" s="96">
        <v>1.6736792355523826E-2</v>
      </c>
      <c r="G191" s="96">
        <v>5.2840281466052059E-3</v>
      </c>
      <c r="H191" s="96">
        <v>-1.8282044837449069E-2</v>
      </c>
    </row>
    <row r="192" spans="1:8">
      <c r="A192" s="181">
        <v>43833</v>
      </c>
      <c r="B192" s="96">
        <v>-1.4523963125514351E-2</v>
      </c>
      <c r="C192" s="96">
        <v>-1.4084739881739085E-2</v>
      </c>
      <c r="D192" s="96">
        <v>-2.6788122100263956E-3</v>
      </c>
      <c r="E192" s="96">
        <v>2.2236141446881932E-2</v>
      </c>
      <c r="F192" s="96">
        <v>1.0368067284403084E-3</v>
      </c>
      <c r="G192" s="96">
        <v>-9.2654534457901234E-3</v>
      </c>
      <c r="H192" s="96">
        <v>-1.4870162479451506E-2</v>
      </c>
    </row>
    <row r="193" spans="1:8">
      <c r="A193" s="181">
        <v>43837</v>
      </c>
      <c r="B193" s="96">
        <v>1.7910926566530243E-2</v>
      </c>
      <c r="C193" s="96">
        <v>2.1253993123135366E-3</v>
      </c>
      <c r="D193" s="96">
        <v>-1.4590910030410773E-2</v>
      </c>
      <c r="E193" s="96">
        <v>1.8349138668196617E-2</v>
      </c>
      <c r="F193" s="96">
        <v>1.0309369658861287E-2</v>
      </c>
      <c r="G193" s="96">
        <v>-8.010723746078972E-3</v>
      </c>
      <c r="H193" s="96">
        <v>-3.7523496185503527E-3</v>
      </c>
    </row>
    <row r="194" spans="1:8">
      <c r="A194" s="181">
        <v>43838</v>
      </c>
      <c r="B194" s="96">
        <v>-6.7854374001274599E-3</v>
      </c>
      <c r="C194" s="96">
        <v>-1.0672459890771872E-2</v>
      </c>
      <c r="D194" s="96">
        <v>-9.8469066970034037E-3</v>
      </c>
      <c r="E194" s="96">
        <v>-5.6980211146377786E-3</v>
      </c>
      <c r="F194" s="96">
        <v>-5.1413995004187642E-3</v>
      </c>
      <c r="G194" s="96">
        <v>-1.3495481474884509E-2</v>
      </c>
      <c r="H194" s="96">
        <v>-3.7664827954768934E-3</v>
      </c>
    </row>
    <row r="195" spans="1:8">
      <c r="A195" s="181">
        <v>43839</v>
      </c>
      <c r="B195" s="96">
        <v>4.0774333810033522E-2</v>
      </c>
      <c r="C195" s="96">
        <v>-2.8653314732863936E-3</v>
      </c>
      <c r="D195" s="96">
        <v>7.1213667159532529E-3</v>
      </c>
      <c r="E195" s="96">
        <v>-1.1435107020789379E-3</v>
      </c>
      <c r="F195" s="96">
        <v>1.0303967938966232E-3</v>
      </c>
      <c r="G195" s="96">
        <v>5.4200674693391133E-3</v>
      </c>
      <c r="H195" s="96">
        <v>2.9741969198737516E-2</v>
      </c>
    </row>
    <row r="196" spans="1:8">
      <c r="A196" s="181">
        <v>43840</v>
      </c>
      <c r="B196" s="96">
        <v>5.7031277279572575E-3</v>
      </c>
      <c r="C196" s="96">
        <v>-1.0818713527167364E-2</v>
      </c>
      <c r="D196" s="96">
        <v>1.6362152545950318E-3</v>
      </c>
      <c r="E196" s="96">
        <v>-1.0350868723656162E-2</v>
      </c>
      <c r="F196" s="96">
        <v>-1.1393183829443163E-2</v>
      </c>
      <c r="G196" s="96">
        <v>-2.0478531343540676E-2</v>
      </c>
      <c r="H196" s="96">
        <v>-1.1049836186585046E-2</v>
      </c>
    </row>
    <row r="197" spans="1:8">
      <c r="A197" s="181">
        <v>43843</v>
      </c>
      <c r="B197" s="96">
        <v>-2.1266042191494649E-2</v>
      </c>
      <c r="C197" s="96">
        <v>1.4492756159904376E-3</v>
      </c>
      <c r="D197" s="96">
        <v>-7.6586807610626939E-3</v>
      </c>
      <c r="E197" s="96">
        <v>-1.279831314330962E-2</v>
      </c>
      <c r="F197" s="96">
        <v>1.0362787035546658E-2</v>
      </c>
      <c r="G197" s="96">
        <v>-4.1465159618485773E-3</v>
      </c>
      <c r="H197" s="96">
        <v>-7.4349784875180902E-3</v>
      </c>
    </row>
    <row r="198" spans="1:8">
      <c r="A198" s="181">
        <v>43844</v>
      </c>
      <c r="B198" s="96">
        <v>1.6583751727761256E-3</v>
      </c>
      <c r="C198" s="96">
        <v>6.4958727154452349E-3</v>
      </c>
      <c r="D198" s="96">
        <v>-1.1043734551651835E-2</v>
      </c>
      <c r="E198" s="96">
        <v>-1.1778699192612763E-2</v>
      </c>
      <c r="F198" s="96">
        <v>-2.0834086902841914E-2</v>
      </c>
      <c r="G198" s="96">
        <v>4.3367229115129864E-2</v>
      </c>
      <c r="H198" s="96">
        <v>0</v>
      </c>
    </row>
    <row r="199" spans="1:8">
      <c r="A199" s="181">
        <v>43845</v>
      </c>
      <c r="B199" s="96">
        <v>1.6556295172611565E-3</v>
      </c>
      <c r="C199" s="96">
        <v>-1.4493007302566864E-2</v>
      </c>
      <c r="D199" s="96">
        <v>-5.5540129170012875E-4</v>
      </c>
      <c r="E199" s="96">
        <v>1.184132761216772E-3</v>
      </c>
      <c r="F199" s="96">
        <v>-5.2770571008438931E-3</v>
      </c>
      <c r="G199" s="96">
        <v>6.6094093876738072E-3</v>
      </c>
      <c r="H199" s="96">
        <v>3.7243990909822727E-3</v>
      </c>
    </row>
    <row r="200" spans="1:8">
      <c r="A200" s="181">
        <v>43846</v>
      </c>
      <c r="B200" s="96">
        <v>-6.4924589586786402E-2</v>
      </c>
      <c r="C200" s="96">
        <v>7.2727593290798781E-3</v>
      </c>
      <c r="D200" s="96">
        <v>2.6317308317373358E-2</v>
      </c>
      <c r="E200" s="96">
        <v>5.899722127188322E-3</v>
      </c>
      <c r="F200" s="96">
        <v>2.0943173845243388E-2</v>
      </c>
      <c r="G200" s="96">
        <v>2.6315804660560424E-3</v>
      </c>
      <c r="H200" s="96">
        <v>-3.7243990909823282E-3</v>
      </c>
    </row>
    <row r="201" spans="1:8">
      <c r="A201" s="181">
        <v>43847</v>
      </c>
      <c r="B201" s="96">
        <v>8.7874027668042379E-3</v>
      </c>
      <c r="C201" s="96">
        <v>0</v>
      </c>
      <c r="D201" s="96">
        <v>1.1299555253933466E-2</v>
      </c>
      <c r="E201" s="96">
        <v>-8.2693914825067421E-3</v>
      </c>
      <c r="F201" s="96">
        <v>-1.2513197684783949E-2</v>
      </c>
      <c r="G201" s="96">
        <v>-1.4560151331329776E-2</v>
      </c>
      <c r="H201" s="96">
        <v>0</v>
      </c>
    </row>
    <row r="202" spans="1:8">
      <c r="A202" s="181">
        <v>43850</v>
      </c>
      <c r="B202" s="96">
        <v>8.7450814493257568E-4</v>
      </c>
      <c r="C202" s="96">
        <v>0</v>
      </c>
      <c r="D202" s="96">
        <v>2.5879447987820541E-2</v>
      </c>
      <c r="E202" s="96">
        <v>-3.5650661644960344E-3</v>
      </c>
      <c r="F202" s="96">
        <v>-2.1008411088117279E-3</v>
      </c>
      <c r="G202" s="96">
        <v>-1.3342230131366103E-3</v>
      </c>
      <c r="H202" s="96">
        <v>0</v>
      </c>
    </row>
    <row r="203" spans="1:8">
      <c r="A203" s="181">
        <v>43851</v>
      </c>
      <c r="B203" s="96">
        <v>7.8363483293158696E-3</v>
      </c>
      <c r="C203" s="96">
        <v>-5.8139698654198447E-3</v>
      </c>
      <c r="D203" s="96">
        <v>3.6429912785010087E-3</v>
      </c>
      <c r="E203" s="96">
        <v>-5.9701669865039079E-3</v>
      </c>
      <c r="F203" s="96">
        <v>-1.0520779508037803E-3</v>
      </c>
      <c r="G203" s="96">
        <v>-4.0133833134586763E-3</v>
      </c>
      <c r="H203" s="96">
        <v>3.7243990909822727E-3</v>
      </c>
    </row>
    <row r="204" spans="1:8">
      <c r="A204" s="181">
        <v>43852</v>
      </c>
      <c r="B204" s="96">
        <v>2.0601586991217731E-2</v>
      </c>
      <c r="C204" s="96">
        <v>1.1594332780919227E-2</v>
      </c>
      <c r="D204" s="96">
        <v>7.7620053354891094E-3</v>
      </c>
      <c r="E204" s="96">
        <v>-6.006024060211698E-3</v>
      </c>
      <c r="F204" s="96">
        <v>4.2016868536999766E-3</v>
      </c>
      <c r="G204" s="96">
        <v>4.0133833134587413E-3</v>
      </c>
      <c r="H204" s="96">
        <v>0</v>
      </c>
    </row>
    <row r="205" spans="1:8">
      <c r="A205" s="181">
        <v>43853</v>
      </c>
      <c r="B205" s="96">
        <v>-6.8201457882083264E-3</v>
      </c>
      <c r="C205" s="96">
        <v>-7.2306894931460589E-3</v>
      </c>
      <c r="D205" s="96">
        <v>-6.7235836430074008E-3</v>
      </c>
      <c r="E205" s="96">
        <v>0</v>
      </c>
      <c r="F205" s="96">
        <v>-4.2016868536999697E-3</v>
      </c>
      <c r="G205" s="96">
        <v>5.3262442826741627E-3</v>
      </c>
      <c r="H205" s="96">
        <v>0</v>
      </c>
    </row>
    <row r="206" spans="1:8">
      <c r="A206" s="181">
        <v>43854</v>
      </c>
      <c r="B206" s="96">
        <v>1.7094021256491012E-3</v>
      </c>
      <c r="C206" s="96">
        <v>-7.2595284494901655E-4</v>
      </c>
      <c r="D206" s="96">
        <v>9.8115943315839702E-3</v>
      </c>
      <c r="E206" s="96">
        <v>2.0274993861410861E-2</v>
      </c>
      <c r="F206" s="96">
        <v>1.5666116744399456E-2</v>
      </c>
      <c r="G206" s="96">
        <v>1.8421573567362595E-2</v>
      </c>
      <c r="H206" s="96">
        <v>3.2909734088797958E-2</v>
      </c>
    </row>
    <row r="207" spans="1:8">
      <c r="A207" s="181">
        <v>43857</v>
      </c>
      <c r="B207" s="96">
        <v>-1.0300520257965767E-2</v>
      </c>
      <c r="C207" s="96">
        <v>-5.0964799064843148E-3</v>
      </c>
      <c r="D207" s="96">
        <v>-2.8141513134126772E-2</v>
      </c>
      <c r="E207" s="96">
        <v>-2.2687540266794884E-2</v>
      </c>
      <c r="F207" s="96">
        <v>-1.5666116744399463E-2</v>
      </c>
      <c r="G207" s="96">
        <v>-9.1683680868794425E-3</v>
      </c>
      <c r="H207" s="96">
        <v>0</v>
      </c>
    </row>
    <row r="208" spans="1:8">
      <c r="A208" s="181">
        <v>43858</v>
      </c>
      <c r="B208" s="96">
        <v>-2.5339931633365412E-2</v>
      </c>
      <c r="C208" s="96">
        <v>-1.3965680861971759E-2</v>
      </c>
      <c r="D208" s="96">
        <v>-1.0093047167735132E-2</v>
      </c>
      <c r="E208" s="96">
        <v>9.6154586994419734E-3</v>
      </c>
      <c r="F208" s="96">
        <v>-3.1628914085081953E-3</v>
      </c>
      <c r="G208" s="96">
        <v>0</v>
      </c>
      <c r="H208" s="96">
        <v>-3.6036075032986558E-3</v>
      </c>
    </row>
    <row r="209" spans="1:8">
      <c r="A209" s="181">
        <v>43859</v>
      </c>
      <c r="B209" s="96">
        <v>-7.104825623744683E-3</v>
      </c>
      <c r="C209" s="96">
        <v>-7.4046652772369499E-4</v>
      </c>
      <c r="D209" s="96">
        <v>-4.2803703661726516E-3</v>
      </c>
      <c r="E209" s="96">
        <v>-4.7961722634929441E-3</v>
      </c>
      <c r="F209" s="96">
        <v>-6.3559536006987157E-3</v>
      </c>
      <c r="G209" s="96">
        <v>5.249355886143745E-3</v>
      </c>
      <c r="H209" s="96">
        <v>-1.0889399799268319E-2</v>
      </c>
    </row>
    <row r="210" spans="1:8">
      <c r="A210" s="181">
        <v>43860</v>
      </c>
      <c r="B210" s="96">
        <v>1.780944370994692E-3</v>
      </c>
      <c r="C210" s="96">
        <v>-2.9673612278020007E-3</v>
      </c>
      <c r="D210" s="96">
        <v>-1.3495481474884621E-2</v>
      </c>
      <c r="E210" s="96">
        <v>-1.9418085857101627E-2</v>
      </c>
      <c r="F210" s="96">
        <v>1.1621895205985527E-2</v>
      </c>
      <c r="G210" s="96">
        <v>-2.1164811192043158E-2</v>
      </c>
      <c r="H210" s="96">
        <v>-2.5879447987820721E-2</v>
      </c>
    </row>
    <row r="211" spans="1:8">
      <c r="A211" s="181">
        <v>43861</v>
      </c>
      <c r="B211" s="96">
        <v>0</v>
      </c>
      <c r="C211" s="96">
        <v>2.9673612278020081E-3</v>
      </c>
      <c r="D211" s="96">
        <v>-1.6317653879055589E-3</v>
      </c>
      <c r="E211" s="96">
        <v>-8.6154379056154005E-3</v>
      </c>
      <c r="F211" s="96">
        <v>-1.694955831377332E-2</v>
      </c>
      <c r="G211" s="96">
        <v>-5.3619431413853991E-3</v>
      </c>
      <c r="H211" s="96">
        <v>-7.5188324140273398E-3</v>
      </c>
    </row>
    <row r="212" spans="1:8">
      <c r="A212" s="181">
        <v>43864</v>
      </c>
      <c r="B212" s="96">
        <v>8.8928418488403663E-4</v>
      </c>
      <c r="C212" s="96">
        <v>5.9084366861662683E-3</v>
      </c>
      <c r="D212" s="96">
        <v>1.6317653879054127E-3</v>
      </c>
      <c r="E212" s="96">
        <v>-1.9975695423643695E-2</v>
      </c>
      <c r="F212" s="96">
        <v>-2.7072579217633744E-2</v>
      </c>
      <c r="G212" s="96">
        <v>0</v>
      </c>
      <c r="H212" s="96">
        <v>-7.5757938084576558E-3</v>
      </c>
    </row>
    <row r="213" spans="1:8">
      <c r="A213" s="181">
        <v>43865</v>
      </c>
      <c r="B213" s="96">
        <v>7.9681696491768813E-3</v>
      </c>
      <c r="C213" s="96">
        <v>2.0408871631207033E-2</v>
      </c>
      <c r="D213" s="96">
        <v>3.7971295962086643E-3</v>
      </c>
      <c r="E213" s="96">
        <v>2.3677118526829976E-2</v>
      </c>
      <c r="F213" s="96">
        <v>1.3086337242893918E-2</v>
      </c>
      <c r="G213" s="96">
        <v>1.2024192966801591E-2</v>
      </c>
      <c r="H213" s="96">
        <v>3.3648034118232729E-2</v>
      </c>
    </row>
    <row r="214" spans="1:8">
      <c r="A214" s="181">
        <v>43866</v>
      </c>
      <c r="B214" s="96">
        <v>1.5748356968139112E-2</v>
      </c>
      <c r="C214" s="96">
        <v>2.1621630044953172E-3</v>
      </c>
      <c r="D214" s="96">
        <v>-1.6255760827007402E-3</v>
      </c>
      <c r="E214" s="96">
        <v>-2.4660924951934427E-3</v>
      </c>
      <c r="F214" s="96">
        <v>-1.0840109462583367E-3</v>
      </c>
      <c r="G214" s="96">
        <v>3.9761483796394168E-3</v>
      </c>
      <c r="H214" s="96">
        <v>1.0969031370573937E-2</v>
      </c>
    </row>
    <row r="215" spans="1:8">
      <c r="A215" s="181">
        <v>43867</v>
      </c>
      <c r="B215" s="96">
        <v>-4.349724126465759E-3</v>
      </c>
      <c r="C215" s="96">
        <v>7.8881728490060796E-3</v>
      </c>
      <c r="D215" s="96">
        <v>3.7889084569583012E-3</v>
      </c>
      <c r="E215" s="96">
        <v>0</v>
      </c>
      <c r="F215" s="96">
        <v>1.5070252920998173E-2</v>
      </c>
      <c r="G215" s="96">
        <v>-3.9761483796392945E-3</v>
      </c>
      <c r="H215" s="96">
        <v>7.2464085207672533E-3</v>
      </c>
    </row>
    <row r="216" spans="1:8">
      <c r="A216" s="181">
        <v>43868</v>
      </c>
      <c r="B216" s="96">
        <v>5.2174031396881402E-3</v>
      </c>
      <c r="C216" s="96">
        <v>1.980262729617973E-2</v>
      </c>
      <c r="D216" s="96">
        <v>6.9986826720389202E-3</v>
      </c>
      <c r="E216" s="96">
        <v>-1.2422519998557096E-2</v>
      </c>
      <c r="F216" s="96">
        <v>-2.1390382487494184E-3</v>
      </c>
      <c r="G216" s="96">
        <v>-1.7415041601678123E-2</v>
      </c>
      <c r="H216" s="96">
        <v>0</v>
      </c>
    </row>
    <row r="217" spans="1:8">
      <c r="A217" s="181">
        <v>43871</v>
      </c>
      <c r="B217" s="96">
        <v>-1.0462170406983296E-2</v>
      </c>
      <c r="C217" s="96">
        <v>-3.3466989490237457E-2</v>
      </c>
      <c r="D217" s="96">
        <v>6.9500413409722727E-3</v>
      </c>
      <c r="E217" s="96">
        <v>0</v>
      </c>
      <c r="F217" s="96">
        <v>-2.3836448154511299E-2</v>
      </c>
      <c r="G217" s="96">
        <v>-1.0869672236903879E-2</v>
      </c>
      <c r="H217" s="96">
        <v>0</v>
      </c>
    </row>
    <row r="218" spans="1:8">
      <c r="A218" s="181">
        <v>43872</v>
      </c>
      <c r="B218" s="96">
        <v>4.3725474126093357E-3</v>
      </c>
      <c r="C218" s="96">
        <v>4.3352669055394125E-3</v>
      </c>
      <c r="D218" s="96">
        <v>1.3756830709640783E-2</v>
      </c>
      <c r="E218" s="96">
        <v>-3.7570488777122881E-3</v>
      </c>
      <c r="F218" s="96">
        <v>-3.2948958968525379E-3</v>
      </c>
      <c r="G218" s="96">
        <v>1.2220111334775397E-2</v>
      </c>
      <c r="H218" s="96">
        <v>1.077209698191104E-2</v>
      </c>
    </row>
    <row r="219" spans="1:8">
      <c r="A219" s="181">
        <v>43873</v>
      </c>
      <c r="B219" s="96">
        <v>3.7675688830890057E-2</v>
      </c>
      <c r="C219" s="96">
        <v>-1.1602740752517085E-2</v>
      </c>
      <c r="D219" s="96">
        <v>-2.8245949223779081E-2</v>
      </c>
      <c r="E219" s="96">
        <v>0</v>
      </c>
      <c r="F219" s="96">
        <v>-6.6225407604934942E-3</v>
      </c>
      <c r="G219" s="96">
        <v>1.4735698653752965E-2</v>
      </c>
      <c r="H219" s="96">
        <v>-7.168489478612516E-3</v>
      </c>
    </row>
    <row r="220" spans="1:8">
      <c r="A220" s="181">
        <v>43874</v>
      </c>
      <c r="B220" s="96">
        <v>0</v>
      </c>
      <c r="C220" s="96">
        <v>1.0881500187533987E-2</v>
      </c>
      <c r="D220" s="96">
        <v>3.1917602968305162E-2</v>
      </c>
      <c r="E220" s="96">
        <v>2.8449661468083608E-2</v>
      </c>
      <c r="F220" s="96">
        <v>6.6225407604934569E-3</v>
      </c>
      <c r="G220" s="96">
        <v>-1.3387080782459296E-2</v>
      </c>
      <c r="H220" s="96">
        <v>7.168489478612497E-3</v>
      </c>
    </row>
    <row r="221" spans="1:8">
      <c r="A221" s="181">
        <v>43875</v>
      </c>
      <c r="B221" s="96">
        <v>6.7001925698195654E-3</v>
      </c>
      <c r="C221" s="96">
        <v>-4.3384015985980188E-3</v>
      </c>
      <c r="D221" s="96">
        <v>-2.1164811192043383E-2</v>
      </c>
      <c r="E221" s="96">
        <v>1.0915814876996187E-2</v>
      </c>
      <c r="F221" s="96">
        <v>-8.8398365691409516E-3</v>
      </c>
      <c r="G221" s="96">
        <v>1.4715984632513109E-2</v>
      </c>
      <c r="H221" s="96">
        <v>0</v>
      </c>
    </row>
    <row r="222" spans="1:8">
      <c r="A222" s="181">
        <v>43878</v>
      </c>
      <c r="B222" s="96">
        <v>1.6680571006970134E-3</v>
      </c>
      <c r="C222" s="96">
        <v>0</v>
      </c>
      <c r="D222" s="96">
        <v>-2.6773777707164029E-3</v>
      </c>
      <c r="E222" s="96">
        <v>2.4096397201533296E-3</v>
      </c>
      <c r="F222" s="96">
        <v>1.1092624542857557E-3</v>
      </c>
      <c r="G222" s="96">
        <v>-5.3262442826740941E-3</v>
      </c>
      <c r="H222" s="96">
        <v>-1.8018505502678365E-2</v>
      </c>
    </row>
    <row r="223" spans="1:8">
      <c r="A223" s="181">
        <v>43879</v>
      </c>
      <c r="B223" s="96">
        <v>-7.5282664207915245E-3</v>
      </c>
      <c r="C223" s="96">
        <v>0</v>
      </c>
      <c r="D223" s="96">
        <v>-3.7604127041321587E-3</v>
      </c>
      <c r="E223" s="96">
        <v>-7.2464085207673097E-3</v>
      </c>
      <c r="F223" s="96">
        <v>-8.9087448891095548E-3</v>
      </c>
      <c r="G223" s="96">
        <v>1.0624269920229204E-2</v>
      </c>
      <c r="H223" s="96">
        <v>7.2464085207672533E-3</v>
      </c>
    </row>
    <row r="224" spans="1:8">
      <c r="A224" s="181">
        <v>43880</v>
      </c>
      <c r="B224" s="96">
        <v>1.5000281259492598E-2</v>
      </c>
      <c r="C224" s="96">
        <v>2.2923639901936809E-2</v>
      </c>
      <c r="D224" s="96">
        <v>-4.3150013014132361E-3</v>
      </c>
      <c r="E224" s="96">
        <v>2.0396627907645654E-2</v>
      </c>
      <c r="F224" s="96">
        <v>-4.4843124473285759E-3</v>
      </c>
      <c r="G224" s="96">
        <v>-3.9708854294927317E-3</v>
      </c>
      <c r="H224" s="96">
        <v>-1.0889399799268319E-2</v>
      </c>
    </row>
    <row r="225" spans="1:8">
      <c r="A225" s="181">
        <v>43881</v>
      </c>
      <c r="B225" s="96">
        <v>1.6528929382995943E-3</v>
      </c>
      <c r="C225" s="96">
        <v>-7.0846620037342276E-4</v>
      </c>
      <c r="D225" s="96">
        <v>-2.9623669210225512E-2</v>
      </c>
      <c r="E225" s="96">
        <v>-2.3781224049673243E-3</v>
      </c>
      <c r="F225" s="96">
        <v>0</v>
      </c>
      <c r="G225" s="96">
        <v>1.709443335930004E-2</v>
      </c>
      <c r="H225" s="96">
        <v>0</v>
      </c>
    </row>
    <row r="226" spans="1:8">
      <c r="A226" s="181">
        <v>43882</v>
      </c>
      <c r="B226" s="96">
        <v>-1.3300279187481253E-2</v>
      </c>
      <c r="C226" s="96">
        <v>-1.4275759929371015E-2</v>
      </c>
      <c r="D226" s="96">
        <v>-3.4554556481185293E-2</v>
      </c>
      <c r="E226" s="96">
        <v>-2.2878782384930997E-2</v>
      </c>
      <c r="F226" s="96">
        <v>-2.618248594564376E-2</v>
      </c>
      <c r="G226" s="96">
        <v>-1.312354792980734E-2</v>
      </c>
      <c r="H226" s="96">
        <v>0</v>
      </c>
    </row>
    <row r="227" spans="1:8">
      <c r="A227" s="181">
        <v>43885</v>
      </c>
      <c r="B227" s="96">
        <v>-8.6478996857650065E-2</v>
      </c>
      <c r="C227" s="96">
        <v>-4.4092373528331195E-2</v>
      </c>
      <c r="D227" s="96">
        <v>-0.10632159213737695</v>
      </c>
      <c r="E227" s="96">
        <v>-0.11747857530999151</v>
      </c>
      <c r="F227" s="96">
        <v>-0.10190628078973868</v>
      </c>
      <c r="G227" s="96">
        <v>-7.4006361626783923E-2</v>
      </c>
      <c r="H227" s="96">
        <v>-6.7950661908507667E-2</v>
      </c>
    </row>
    <row r="228" spans="1:8">
      <c r="A228" s="181">
        <v>43886</v>
      </c>
      <c r="B228" s="96">
        <v>2.7892046531815384E-2</v>
      </c>
      <c r="C228" s="96">
        <v>2.155416033498601E-2</v>
      </c>
      <c r="D228" s="96">
        <v>5.0010420574661416E-2</v>
      </c>
      <c r="E228" s="96">
        <v>2.435844383204044E-2</v>
      </c>
      <c r="F228" s="96">
        <v>-2.3256862164267235E-2</v>
      </c>
      <c r="G228" s="96">
        <v>7.4006361626783854E-2</v>
      </c>
      <c r="H228" s="96">
        <v>-3.9138993211363287E-3</v>
      </c>
    </row>
    <row r="229" spans="1:8">
      <c r="A229" s="181">
        <v>43887</v>
      </c>
      <c r="B229" s="96">
        <v>-1.3399039229248689E-2</v>
      </c>
      <c r="C229" s="96">
        <v>-1.4815085785140587E-2</v>
      </c>
      <c r="D229" s="96">
        <v>-5.1935348984245705E-2</v>
      </c>
      <c r="E229" s="96">
        <v>-2.1622464013165657E-2</v>
      </c>
      <c r="F229" s="96">
        <v>-4.0005334613699248E-2</v>
      </c>
      <c r="G229" s="96">
        <v>-4.1813238612652792E-2</v>
      </c>
      <c r="H229" s="96">
        <v>-2.7834798993443988E-2</v>
      </c>
    </row>
    <row r="230" spans="1:8">
      <c r="A230" s="181">
        <v>43888</v>
      </c>
      <c r="B230" s="96">
        <v>-5.546708151287251E-2</v>
      </c>
      <c r="C230" s="96">
        <v>-2.1116923440922808E-2</v>
      </c>
      <c r="D230" s="96">
        <v>-6.4324457131616303E-2</v>
      </c>
      <c r="E230" s="96">
        <v>-4.4700178917906938E-2</v>
      </c>
      <c r="F230" s="96">
        <v>-2.3400930164612473E-2</v>
      </c>
      <c r="G230" s="96">
        <v>-5.8131176562570872E-2</v>
      </c>
      <c r="H230" s="96">
        <v>-1.2170535620255179E-2</v>
      </c>
    </row>
    <row r="231" spans="1:8">
      <c r="A231" s="181">
        <v>43889</v>
      </c>
      <c r="B231" s="96">
        <v>-8.1152321800226718E-2</v>
      </c>
      <c r="C231" s="96">
        <v>-2.3131332023418966E-2</v>
      </c>
      <c r="D231" s="96">
        <v>-2.6372104339195884E-2</v>
      </c>
      <c r="E231" s="96">
        <v>9.950330853168092E-3</v>
      </c>
      <c r="F231" s="96">
        <v>-0.11656511467068938</v>
      </c>
      <c r="G231" s="96">
        <v>-6.7950661908507667E-2</v>
      </c>
      <c r="H231" s="96">
        <v>-0.10309550902697412</v>
      </c>
    </row>
    <row r="232" spans="1:8">
      <c r="A232" s="181">
        <v>43893</v>
      </c>
      <c r="B232" s="96">
        <v>3.7434821221133868E-2</v>
      </c>
      <c r="C232" s="96">
        <v>-1.5612805669524645E-3</v>
      </c>
      <c r="D232" s="96">
        <v>0.16075929504761455</v>
      </c>
      <c r="E232" s="96">
        <v>3.2013868245863962E-2</v>
      </c>
      <c r="F232" s="96">
        <v>3.9882586278319476E-2</v>
      </c>
      <c r="G232" s="96">
        <v>6.2094129795794741E-2</v>
      </c>
      <c r="H232" s="96">
        <v>2.2372297754532984E-2</v>
      </c>
    </row>
    <row r="233" spans="1:8">
      <c r="A233" s="181">
        <v>43894</v>
      </c>
      <c r="B233" s="96">
        <v>2.2583188505119201E-2</v>
      </c>
      <c r="C233" s="96">
        <v>-3.9138993211363287E-3</v>
      </c>
      <c r="D233" s="96">
        <v>2.2499468937714318E-2</v>
      </c>
      <c r="E233" s="96">
        <v>-4.118056608917486E-3</v>
      </c>
      <c r="F233" s="96">
        <v>-4.5214847188460071E-3</v>
      </c>
      <c r="G233" s="96">
        <v>-8.8496152769824993E-3</v>
      </c>
      <c r="H233" s="96">
        <v>3.9050514871873034E-2</v>
      </c>
    </row>
    <row r="234" spans="1:8">
      <c r="A234" s="181">
        <v>43895</v>
      </c>
      <c r="B234" s="96">
        <v>-1.0737048000956794E-2</v>
      </c>
      <c r="C234" s="96">
        <v>-3.2685253127193462E-2</v>
      </c>
      <c r="D234" s="96">
        <v>-0.10094664376379356</v>
      </c>
      <c r="E234" s="96">
        <v>-8.1648765148507538E-2</v>
      </c>
      <c r="F234" s="96">
        <v>-1.5220994010355355E-2</v>
      </c>
      <c r="G234" s="96">
        <v>-3.7740327982847086E-2</v>
      </c>
      <c r="H234" s="96">
        <v>-3.9050514871873027E-2</v>
      </c>
    </row>
    <row r="235" spans="1:8">
      <c r="A235" s="181">
        <v>43896</v>
      </c>
      <c r="B235" s="96">
        <v>-5.9123051014113331E-2</v>
      </c>
      <c r="C235" s="96">
        <v>-3.7148307774551262E-2</v>
      </c>
      <c r="D235" s="96">
        <v>-5.2521209133553758E-2</v>
      </c>
      <c r="E235" s="96">
        <v>-5.2079149044889569E-2</v>
      </c>
      <c r="F235" s="96">
        <v>-6.658560475929598E-2</v>
      </c>
      <c r="G235" s="96">
        <v>-3.9220713153281267E-2</v>
      </c>
      <c r="H235" s="96">
        <v>1.7544309650909525E-2</v>
      </c>
    </row>
    <row r="236" spans="1:8">
      <c r="A236" s="181">
        <v>43899</v>
      </c>
      <c r="B236" s="96">
        <v>-0.11052159296105805</v>
      </c>
      <c r="C236" s="96">
        <v>-5.5329582052261392E-2</v>
      </c>
      <c r="D236" s="96">
        <v>-3.0494393354066979E-2</v>
      </c>
      <c r="E236" s="96">
        <v>-0.14165051706302692</v>
      </c>
      <c r="F236" s="96">
        <v>-0.22007449519679184</v>
      </c>
      <c r="G236" s="96">
        <v>-0.12783337150988489</v>
      </c>
      <c r="H236" s="96">
        <v>-0.10536051565782628</v>
      </c>
    </row>
    <row r="237" spans="1:8">
      <c r="A237" s="181">
        <v>43900</v>
      </c>
      <c r="B237" s="96">
        <v>1.5575740326557778E-2</v>
      </c>
      <c r="C237" s="96">
        <v>1.3245226750020723E-2</v>
      </c>
      <c r="D237" s="96">
        <v>6.2733585691255353E-2</v>
      </c>
      <c r="E237" s="96">
        <v>0.14479023706769459</v>
      </c>
      <c r="F237" s="96">
        <v>7.0013800621058664E-2</v>
      </c>
      <c r="G237" s="96">
        <v>7.020425867324856E-2</v>
      </c>
      <c r="H237" s="96">
        <v>-9.7088141269608269E-3</v>
      </c>
    </row>
    <row r="238" spans="1:8">
      <c r="A238" s="181">
        <v>43901</v>
      </c>
      <c r="B238" s="96">
        <v>-1.7187056651314988E-3</v>
      </c>
      <c r="C238" s="96">
        <v>-1.859283307661597E-2</v>
      </c>
      <c r="D238" s="96">
        <v>-8.6951293473524427E-2</v>
      </c>
      <c r="E238" s="96">
        <v>-8.672643611293343E-2</v>
      </c>
      <c r="F238" s="96">
        <v>-5.6822335866696216E-2</v>
      </c>
      <c r="G238" s="96">
        <v>-5.2185753170570309E-2</v>
      </c>
      <c r="H238" s="96">
        <v>-9.8040000966208556E-3</v>
      </c>
    </row>
    <row r="239" spans="1:8">
      <c r="A239" s="181">
        <v>43902</v>
      </c>
      <c r="B239" s="96">
        <v>-0.11921755031925256</v>
      </c>
      <c r="C239" s="96">
        <v>-0.11343592966337167</v>
      </c>
      <c r="D239" s="96">
        <v>-8.8126240862194685E-2</v>
      </c>
      <c r="E239" s="96">
        <v>-9.3090423066011854E-2</v>
      </c>
      <c r="F239" s="96">
        <v>1.0075567602997706E-3</v>
      </c>
      <c r="G239" s="96">
        <v>-1.801850550267825E-2</v>
      </c>
      <c r="H239" s="96">
        <v>-1.4888612493750637E-2</v>
      </c>
    </row>
    <row r="240" spans="1:8">
      <c r="A240" s="181">
        <v>43903</v>
      </c>
      <c r="B240" s="96">
        <v>-2.1548336206202948E-2</v>
      </c>
      <c r="C240" s="96">
        <v>3.3467690471084929E-2</v>
      </c>
      <c r="D240" s="96">
        <v>-6.3191363514785463E-3</v>
      </c>
      <c r="E240" s="96">
        <v>1.3047715392475675E-2</v>
      </c>
      <c r="F240" s="96">
        <v>-2.2404195753847531E-2</v>
      </c>
      <c r="G240" s="96">
        <v>1.6231194928582552E-2</v>
      </c>
      <c r="H240" s="96">
        <v>0</v>
      </c>
    </row>
    <row r="241" spans="1:8">
      <c r="A241" s="181">
        <v>43906</v>
      </c>
      <c r="B241" s="96">
        <v>-0.25670374780651151</v>
      </c>
      <c r="C241" s="96">
        <v>-0.10988833710608634</v>
      </c>
      <c r="D241" s="96">
        <v>-0.10166950171261722</v>
      </c>
      <c r="E241" s="96">
        <v>-0.19237189264745613</v>
      </c>
      <c r="F241" s="96">
        <v>-8.4860335711315654E-2</v>
      </c>
      <c r="G241" s="96">
        <v>-5.7053189448837603E-2</v>
      </c>
      <c r="H241" s="96">
        <v>-5.1293294387550578E-2</v>
      </c>
    </row>
    <row r="242" spans="1:8">
      <c r="A242" s="181">
        <v>43907</v>
      </c>
      <c r="B242" s="96">
        <v>3.1908668453828774E-2</v>
      </c>
      <c r="C242" s="96">
        <v>9.1423062152902346E-3</v>
      </c>
      <c r="D242" s="96">
        <v>-1.9486887673496735E-2</v>
      </c>
      <c r="E242" s="96">
        <v>9.2142224571973436E-2</v>
      </c>
      <c r="F242" s="96">
        <v>-2.2446698538238618E-3</v>
      </c>
      <c r="G242" s="96">
        <v>0.10251556352559499</v>
      </c>
      <c r="H242" s="96">
        <v>-2.6668247082161294E-2</v>
      </c>
    </row>
    <row r="243" spans="1:8">
      <c r="A243" s="181">
        <v>43908</v>
      </c>
      <c r="B243" s="96">
        <v>-2.7651531330510008E-2</v>
      </c>
      <c r="C243" s="96">
        <v>7.2270862022831797E-2</v>
      </c>
      <c r="D243" s="96">
        <v>8.9405459688071415E-4</v>
      </c>
      <c r="E243" s="96">
        <v>3.0659196218349827E-3</v>
      </c>
      <c r="F243" s="96">
        <v>4.9325066562501491E-2</v>
      </c>
      <c r="G243" s="96">
        <v>4.0206420478040607E-2</v>
      </c>
      <c r="H243" s="96">
        <v>2.139118998131756E-2</v>
      </c>
    </row>
    <row r="244" spans="1:8">
      <c r="A244" s="181">
        <v>43909</v>
      </c>
      <c r="B244" s="96">
        <v>5.5363166038848069E-2</v>
      </c>
      <c r="C244" s="96">
        <v>0.12703624113686673</v>
      </c>
      <c r="D244" s="96">
        <v>5.9835791610665046E-2</v>
      </c>
      <c r="E244" s="96">
        <v>-1.4388737452099669E-2</v>
      </c>
      <c r="F244" s="96">
        <v>0.14970997120519366</v>
      </c>
      <c r="G244" s="96">
        <v>0.12051602451245237</v>
      </c>
      <c r="H244" s="96">
        <v>4.1456713678346128E-2</v>
      </c>
    </row>
    <row r="245" spans="1:8">
      <c r="A245" s="181">
        <v>43910</v>
      </c>
      <c r="B245" s="96">
        <v>5.6264838586137844E-2</v>
      </c>
      <c r="C245" s="96">
        <v>3.2789822822990755E-2</v>
      </c>
      <c r="D245" s="96">
        <v>-4.6520015634892928E-2</v>
      </c>
      <c r="E245" s="96">
        <v>5.0464793925909121E-2</v>
      </c>
      <c r="F245" s="96">
        <v>5.3776396780804203E-2</v>
      </c>
      <c r="G245" s="96">
        <v>-1.1713164663653203E-2</v>
      </c>
      <c r="H245" s="96">
        <v>5.4334350963329517E-2</v>
      </c>
    </row>
    <row r="246" spans="1:8">
      <c r="A246" s="181">
        <v>43913</v>
      </c>
      <c r="B246" s="96">
        <v>-7.5745974157960277E-2</v>
      </c>
      <c r="C246" s="96">
        <v>-3.2789822822990838E-2</v>
      </c>
      <c r="D246" s="96">
        <v>-0.13176927763112334</v>
      </c>
      <c r="E246" s="96">
        <v>-5.6695343676545294E-2</v>
      </c>
      <c r="F246" s="96">
        <v>-7.800871016857211E-2</v>
      </c>
      <c r="G246" s="96">
        <v>-5.9152951204978488E-2</v>
      </c>
      <c r="H246" s="96">
        <v>-7.7441925973479139E-2</v>
      </c>
    </row>
    <row r="247" spans="1:8">
      <c r="A247" s="181">
        <v>43914</v>
      </c>
      <c r="B247" s="96">
        <v>7.4985806884562814E-2</v>
      </c>
      <c r="C247" s="96">
        <v>4.0400853221126694E-2</v>
      </c>
      <c r="D247" s="96">
        <v>0.13967445713823656</v>
      </c>
      <c r="E247" s="96">
        <v>0.11592946700706044</v>
      </c>
      <c r="F247" s="96">
        <v>3.7041271680349076E-2</v>
      </c>
      <c r="G247" s="96">
        <v>3.8318864302136602E-2</v>
      </c>
      <c r="H247" s="96">
        <v>8.7011376989629699E-2</v>
      </c>
    </row>
    <row r="248" spans="1:8">
      <c r="A248" s="181">
        <v>43916</v>
      </c>
      <c r="B248" s="96">
        <v>7.3292865465473062E-2</v>
      </c>
      <c r="C248" s="96">
        <v>1.0892441166423754E-2</v>
      </c>
      <c r="D248" s="96">
        <v>8.4675609504313992E-2</v>
      </c>
      <c r="E248" s="96">
        <v>5.5920789919598687E-2</v>
      </c>
      <c r="F248" s="96">
        <v>-5.4168236473149695E-2</v>
      </c>
      <c r="G248" s="96">
        <v>1.1958288988873576E-2</v>
      </c>
      <c r="H248" s="96">
        <v>9.4787439545437387E-3</v>
      </c>
    </row>
    <row r="249" spans="1:8">
      <c r="A249" s="181">
        <v>43917</v>
      </c>
      <c r="B249" s="96">
        <v>-2.070763032748954E-2</v>
      </c>
      <c r="C249" s="96">
        <v>-7.3467151881872514E-2</v>
      </c>
      <c r="D249" s="96">
        <v>-2.7711634708337929E-2</v>
      </c>
      <c r="E249" s="96">
        <v>-2.1277398447284965E-2</v>
      </c>
      <c r="F249" s="96">
        <v>5.7416425676751828E-3</v>
      </c>
      <c r="G249" s="96">
        <v>-2.9761926730461127E-3</v>
      </c>
      <c r="H249" s="96">
        <v>-3.8466280827796052E-2</v>
      </c>
    </row>
    <row r="250" spans="1:8">
      <c r="A250" s="179"/>
      <c r="B250" s="176"/>
      <c r="C250" s="176"/>
      <c r="D250" s="176"/>
      <c r="E250" s="176"/>
      <c r="F250" s="176"/>
      <c r="G250" s="176"/>
      <c r="H250" s="176"/>
    </row>
  </sheetData>
  <mergeCells count="11">
    <mergeCell ref="AG13:AL13"/>
    <mergeCell ref="AG23:AH23"/>
    <mergeCell ref="V11:W11"/>
    <mergeCell ref="J20:Q20"/>
    <mergeCell ref="A1:H1"/>
    <mergeCell ref="J1:M1"/>
    <mergeCell ref="O1:T1"/>
    <mergeCell ref="O4:T4"/>
    <mergeCell ref="V1:AA1"/>
    <mergeCell ref="V14:AA14"/>
    <mergeCell ref="V17:AA17"/>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126A3-D9C3-416B-BAFE-0FF0AC8F87FD}">
  <sheetPr>
    <tabColor theme="3" tint="-0.249977111117893"/>
  </sheetPr>
  <dimension ref="A1:AI132"/>
  <sheetViews>
    <sheetView topLeftCell="A46" zoomScale="93" zoomScaleNormal="93" workbookViewId="0">
      <selection activeCell="F49" sqref="F49"/>
    </sheetView>
  </sheetViews>
  <sheetFormatPr baseColWidth="10" defaultColWidth="8.83203125" defaultRowHeight="15"/>
  <cols>
    <col min="1" max="1" width="13.33203125" customWidth="1"/>
    <col min="2" max="2" width="15.1640625" bestFit="1" customWidth="1"/>
    <col min="10" max="10" width="9.33203125" bestFit="1" customWidth="1"/>
    <col min="19" max="19" width="10.1640625" bestFit="1" customWidth="1"/>
    <col min="20" max="20" width="15.1640625" bestFit="1" customWidth="1"/>
    <col min="21" max="21" width="9.5" bestFit="1" customWidth="1"/>
    <col min="22" max="22" width="11.33203125" customWidth="1"/>
    <col min="23" max="23" width="9.5" bestFit="1" customWidth="1"/>
    <col min="24" max="24" width="9.33203125" bestFit="1" customWidth="1"/>
    <col min="33" max="33" width="13.1640625" bestFit="1" customWidth="1"/>
  </cols>
  <sheetData>
    <row r="1" spans="1:35" ht="26" customHeight="1">
      <c r="A1" s="413" t="s">
        <v>195</v>
      </c>
      <c r="B1" s="413"/>
      <c r="C1" s="413"/>
      <c r="D1" s="413"/>
      <c r="E1" s="413"/>
      <c r="F1" s="413"/>
      <c r="G1" s="413"/>
      <c r="H1" s="413"/>
      <c r="I1" s="413"/>
      <c r="J1" s="413"/>
      <c r="K1" s="413"/>
      <c r="L1" s="413"/>
      <c r="M1" s="413"/>
      <c r="N1" s="413"/>
      <c r="O1" s="413"/>
      <c r="P1" s="413"/>
      <c r="Q1" s="413"/>
      <c r="S1" s="414" t="s">
        <v>197</v>
      </c>
      <c r="T1" s="414"/>
      <c r="U1" s="414"/>
      <c r="V1" s="414"/>
      <c r="W1" s="414"/>
      <c r="X1" s="414"/>
      <c r="Y1" s="414"/>
      <c r="Z1" s="414"/>
      <c r="AA1" s="414"/>
      <c r="AB1" s="414"/>
      <c r="AC1" s="414"/>
      <c r="AD1" s="414"/>
      <c r="AE1" s="414"/>
      <c r="AF1" s="414"/>
      <c r="AG1" s="414"/>
      <c r="AH1" s="414"/>
      <c r="AI1" s="414"/>
    </row>
    <row r="2" spans="1:35">
      <c r="A2" s="216"/>
      <c r="B2" s="217" t="s">
        <v>196</v>
      </c>
      <c r="C2" s="217" t="s">
        <v>43</v>
      </c>
      <c r="D2" s="217" t="s">
        <v>47</v>
      </c>
      <c r="E2" s="217" t="s">
        <v>12</v>
      </c>
      <c r="F2" s="217" t="s">
        <v>14</v>
      </c>
      <c r="G2" s="217" t="s">
        <v>111</v>
      </c>
      <c r="H2" s="217" t="s">
        <v>37</v>
      </c>
      <c r="I2" s="217" t="s">
        <v>85</v>
      </c>
      <c r="J2" s="218" t="s">
        <v>71</v>
      </c>
      <c r="K2" s="219" t="s">
        <v>6</v>
      </c>
      <c r="L2" s="219" t="s">
        <v>26</v>
      </c>
      <c r="M2" s="220" t="s">
        <v>45</v>
      </c>
      <c r="N2" s="220" t="s">
        <v>65</v>
      </c>
      <c r="O2" s="219" t="s">
        <v>8</v>
      </c>
      <c r="P2" s="218" t="s">
        <v>55</v>
      </c>
      <c r="Q2" s="217" t="s">
        <v>49</v>
      </c>
      <c r="T2" s="217" t="s">
        <v>196</v>
      </c>
      <c r="U2" s="217" t="s">
        <v>43</v>
      </c>
      <c r="V2" s="217" t="s">
        <v>47</v>
      </c>
      <c r="W2" s="217" t="s">
        <v>12</v>
      </c>
      <c r="X2" s="217" t="s">
        <v>14</v>
      </c>
      <c r="Y2" s="217" t="s">
        <v>111</v>
      </c>
      <c r="Z2" s="217" t="s">
        <v>37</v>
      </c>
      <c r="AA2" s="217" t="s">
        <v>85</v>
      </c>
      <c r="AB2" s="218" t="s">
        <v>71</v>
      </c>
      <c r="AC2" s="219" t="s">
        <v>6</v>
      </c>
      <c r="AD2" s="219" t="s">
        <v>26</v>
      </c>
      <c r="AE2" s="220" t="s">
        <v>45</v>
      </c>
      <c r="AF2" s="220" t="s">
        <v>65</v>
      </c>
      <c r="AG2" s="219" t="s">
        <v>8</v>
      </c>
      <c r="AH2" s="218" t="s">
        <v>55</v>
      </c>
      <c r="AI2" s="217" t="s">
        <v>49</v>
      </c>
    </row>
    <row r="3" spans="1:35">
      <c r="A3" s="221">
        <f>[1]historydata164358!A1204</f>
        <v>43902</v>
      </c>
      <c r="B3">
        <v>538.54999999999995</v>
      </c>
      <c r="C3">
        <v>7.74</v>
      </c>
      <c r="D3">
        <v>9.99</v>
      </c>
      <c r="E3">
        <v>12.7</v>
      </c>
      <c r="F3">
        <v>5.33</v>
      </c>
      <c r="G3">
        <v>9.93</v>
      </c>
      <c r="H3">
        <v>5.5</v>
      </c>
      <c r="I3">
        <v>20</v>
      </c>
      <c r="J3">
        <v>1.4</v>
      </c>
      <c r="K3">
        <v>19.84</v>
      </c>
      <c r="L3">
        <v>6.61</v>
      </c>
      <c r="M3">
        <v>14.68</v>
      </c>
      <c r="N3">
        <v>6.3</v>
      </c>
      <c r="O3">
        <v>0.39500000000000002</v>
      </c>
      <c r="P3">
        <v>4.7</v>
      </c>
      <c r="Q3">
        <v>6.39</v>
      </c>
      <c r="S3" s="221">
        <v>43902</v>
      </c>
      <c r="T3" s="349">
        <v>90931424.980000004</v>
      </c>
      <c r="U3" s="349">
        <v>12489663</v>
      </c>
      <c r="V3" s="349">
        <v>16295593</v>
      </c>
      <c r="W3" s="349">
        <v>3341309</v>
      </c>
      <c r="X3" s="349">
        <v>2563166</v>
      </c>
      <c r="Y3" s="349">
        <v>694442</v>
      </c>
      <c r="Z3" s="349">
        <v>443754</v>
      </c>
      <c r="AA3" s="349">
        <v>119070</v>
      </c>
      <c r="AB3" s="349">
        <v>78643</v>
      </c>
      <c r="AC3" s="349">
        <v>5117810</v>
      </c>
      <c r="AD3" s="349">
        <v>358462</v>
      </c>
      <c r="AE3" s="349">
        <v>677616</v>
      </c>
      <c r="AF3" s="349">
        <v>250706</v>
      </c>
      <c r="AG3" s="349">
        <v>7717355</v>
      </c>
      <c r="AH3" s="349">
        <v>259759</v>
      </c>
      <c r="AI3" s="349">
        <v>2197978</v>
      </c>
    </row>
    <row r="4" spans="1:35">
      <c r="A4" s="221">
        <f>[1]historydata164358!A1205</f>
        <v>43903</v>
      </c>
      <c r="B4">
        <v>551.97</v>
      </c>
      <c r="C4">
        <v>7.5750000000000002</v>
      </c>
      <c r="D4">
        <v>10.33</v>
      </c>
      <c r="E4">
        <v>12.62</v>
      </c>
      <c r="F4">
        <v>5.4</v>
      </c>
      <c r="G4">
        <v>9.7100000000000009</v>
      </c>
      <c r="H4">
        <v>5.59</v>
      </c>
      <c r="I4">
        <v>20</v>
      </c>
      <c r="J4">
        <v>1.38</v>
      </c>
      <c r="K4">
        <v>21.03</v>
      </c>
      <c r="L4">
        <v>6.9</v>
      </c>
      <c r="M4">
        <v>15.4</v>
      </c>
      <c r="N4">
        <v>6.9</v>
      </c>
      <c r="O4">
        <v>0.42299999999999999</v>
      </c>
      <c r="P4">
        <v>4.67</v>
      </c>
      <c r="Q4">
        <v>6.13</v>
      </c>
      <c r="S4" s="221">
        <v>43903</v>
      </c>
      <c r="T4" s="349">
        <v>75753769.299999997</v>
      </c>
      <c r="U4" s="349">
        <v>9689795</v>
      </c>
      <c r="V4" s="349">
        <v>12772605</v>
      </c>
      <c r="W4" s="349">
        <v>3110865</v>
      </c>
      <c r="X4" s="349">
        <v>2268905</v>
      </c>
      <c r="Y4" s="349">
        <v>754734</v>
      </c>
      <c r="Z4" s="349">
        <v>487986</v>
      </c>
      <c r="AA4" s="349">
        <v>15309</v>
      </c>
      <c r="AB4" s="349">
        <v>119271</v>
      </c>
      <c r="AC4" s="349">
        <v>2063296</v>
      </c>
      <c r="AD4" s="349">
        <v>243722</v>
      </c>
      <c r="AE4" s="349">
        <v>516808</v>
      </c>
      <c r="AF4" s="349">
        <v>360626</v>
      </c>
      <c r="AG4" s="349">
        <v>7414719</v>
      </c>
      <c r="AH4" s="349">
        <v>308324</v>
      </c>
      <c r="AI4" s="349">
        <v>3002553</v>
      </c>
    </row>
    <row r="5" spans="1:35">
      <c r="A5" s="221">
        <f>[1]historydata164358!A1206</f>
        <v>43906</v>
      </c>
      <c r="B5">
        <v>484.4</v>
      </c>
      <c r="C5">
        <v>5.86</v>
      </c>
      <c r="D5">
        <v>9.2550000000000008</v>
      </c>
      <c r="E5">
        <v>11.4</v>
      </c>
      <c r="F5">
        <v>4.4550000000000001</v>
      </c>
      <c r="G5">
        <v>8.92</v>
      </c>
      <c r="H5">
        <v>5.28</v>
      </c>
      <c r="I5">
        <v>19</v>
      </c>
      <c r="J5">
        <v>1.212</v>
      </c>
      <c r="K5">
        <v>17.47</v>
      </c>
      <c r="L5">
        <v>6.5</v>
      </c>
      <c r="M5">
        <v>14.48</v>
      </c>
      <c r="N5">
        <v>6.22</v>
      </c>
      <c r="O5">
        <v>0.38</v>
      </c>
      <c r="P5">
        <v>3.88</v>
      </c>
      <c r="Q5">
        <v>5.78</v>
      </c>
      <c r="S5" s="221">
        <v>43906</v>
      </c>
      <c r="T5" s="349">
        <v>61438079.850000001</v>
      </c>
      <c r="U5" s="349">
        <v>8280866</v>
      </c>
      <c r="V5" s="349">
        <v>8201497</v>
      </c>
      <c r="W5" s="349">
        <v>2812375</v>
      </c>
      <c r="X5" s="349">
        <v>1494096</v>
      </c>
      <c r="Y5" s="349">
        <v>774792</v>
      </c>
      <c r="Z5" s="349">
        <v>536249</v>
      </c>
      <c r="AA5" s="349">
        <v>93606</v>
      </c>
      <c r="AB5" s="349">
        <v>44805</v>
      </c>
      <c r="AC5" s="349">
        <v>1371136</v>
      </c>
      <c r="AD5" s="349">
        <v>172334</v>
      </c>
      <c r="AE5" s="349">
        <v>629049</v>
      </c>
      <c r="AF5" s="349">
        <v>259117</v>
      </c>
      <c r="AG5" s="349">
        <v>5229986</v>
      </c>
      <c r="AH5" s="349">
        <v>176572</v>
      </c>
      <c r="AI5" s="349">
        <v>1836813</v>
      </c>
    </row>
    <row r="6" spans="1:35">
      <c r="A6" s="221">
        <f>[1]historydata164358!A1207</f>
        <v>43907</v>
      </c>
      <c r="B6">
        <v>491.94</v>
      </c>
      <c r="C6">
        <v>6.05</v>
      </c>
      <c r="D6">
        <v>9.34</v>
      </c>
      <c r="E6">
        <v>11.18</v>
      </c>
      <c r="F6">
        <v>4.8849999999999998</v>
      </c>
      <c r="G6">
        <v>8.9</v>
      </c>
      <c r="H6">
        <v>5.85</v>
      </c>
      <c r="I6">
        <v>18.5</v>
      </c>
      <c r="J6">
        <v>1.3</v>
      </c>
      <c r="K6">
        <v>16.989999999999998</v>
      </c>
      <c r="L6">
        <v>6.6</v>
      </c>
      <c r="M6">
        <v>16.600000000000001</v>
      </c>
      <c r="N6">
        <v>6.5</v>
      </c>
      <c r="O6">
        <v>0.34</v>
      </c>
      <c r="P6">
        <v>4.0999999999999996</v>
      </c>
      <c r="Q6">
        <v>6.35</v>
      </c>
      <c r="S6" s="221">
        <v>43907</v>
      </c>
      <c r="T6" s="349">
        <v>92103177.640000001</v>
      </c>
      <c r="U6" s="349">
        <v>10535332</v>
      </c>
      <c r="V6" s="349">
        <v>19149741</v>
      </c>
      <c r="W6" s="349">
        <v>6648380</v>
      </c>
      <c r="X6" s="349">
        <v>2373485</v>
      </c>
      <c r="Y6" s="349">
        <v>846151</v>
      </c>
      <c r="Z6" s="349">
        <v>473129</v>
      </c>
      <c r="AA6" s="349">
        <v>22518</v>
      </c>
      <c r="AB6" s="349">
        <v>3179</v>
      </c>
      <c r="AC6" s="349">
        <v>4689291</v>
      </c>
      <c r="AD6" s="349">
        <v>318461</v>
      </c>
      <c r="AE6" s="349">
        <v>307904</v>
      </c>
      <c r="AF6" s="349">
        <v>371297</v>
      </c>
      <c r="AG6" s="349">
        <v>9591194</v>
      </c>
      <c r="AH6" s="349">
        <v>222971</v>
      </c>
      <c r="AI6" s="349">
        <v>1161211</v>
      </c>
    </row>
    <row r="7" spans="1:35">
      <c r="A7" s="221">
        <f>[1]historydata164358!A1208</f>
        <v>43908</v>
      </c>
      <c r="B7">
        <v>487.35</v>
      </c>
      <c r="C7">
        <v>5.8849999999999998</v>
      </c>
      <c r="D7">
        <v>10.039999999999999</v>
      </c>
      <c r="E7">
        <v>11.19</v>
      </c>
      <c r="F7">
        <v>4.9000000000000004</v>
      </c>
      <c r="G7">
        <v>9.35</v>
      </c>
      <c r="H7">
        <v>6.09</v>
      </c>
      <c r="I7">
        <v>18.899999999999999</v>
      </c>
      <c r="J7">
        <v>1.23</v>
      </c>
      <c r="K7">
        <v>16.989999999999998</v>
      </c>
      <c r="L7">
        <v>6.35</v>
      </c>
      <c r="M7">
        <v>15.94</v>
      </c>
      <c r="N7">
        <v>6.18</v>
      </c>
      <c r="O7">
        <v>0.32300000000000001</v>
      </c>
      <c r="P7">
        <v>3.98</v>
      </c>
      <c r="Q7">
        <v>6.48</v>
      </c>
      <c r="S7" s="221">
        <v>43908</v>
      </c>
      <c r="T7" s="349">
        <v>55754177.369999997</v>
      </c>
      <c r="U7" s="349">
        <v>4941817</v>
      </c>
      <c r="V7" s="349">
        <v>11135765</v>
      </c>
      <c r="W7" s="349">
        <v>1633706</v>
      </c>
      <c r="X7" s="349">
        <v>1116294</v>
      </c>
      <c r="Y7" s="349">
        <v>226464</v>
      </c>
      <c r="Z7" s="349">
        <v>287344</v>
      </c>
      <c r="AA7" s="349">
        <v>5528</v>
      </c>
      <c r="AB7" s="349">
        <v>135643</v>
      </c>
      <c r="AC7" s="349">
        <v>1938219</v>
      </c>
      <c r="AD7" s="349">
        <v>75195</v>
      </c>
      <c r="AE7" s="349">
        <v>69907</v>
      </c>
      <c r="AF7" s="349">
        <v>255820</v>
      </c>
      <c r="AG7" s="349">
        <v>5398915</v>
      </c>
      <c r="AH7" s="349">
        <v>107041</v>
      </c>
      <c r="AI7" s="349">
        <v>1509549</v>
      </c>
    </row>
    <row r="8" spans="1:35">
      <c r="A8" s="221">
        <f>[1]historydata164358!A1209</f>
        <v>43909</v>
      </c>
      <c r="B8">
        <v>525.29</v>
      </c>
      <c r="C8">
        <v>6.22</v>
      </c>
      <c r="D8">
        <v>11.4</v>
      </c>
      <c r="E8">
        <v>11.88</v>
      </c>
      <c r="F8">
        <v>4.83</v>
      </c>
      <c r="G8">
        <v>10.86</v>
      </c>
      <c r="H8">
        <v>6.87</v>
      </c>
      <c r="I8">
        <v>19.7</v>
      </c>
      <c r="J8">
        <v>1.25</v>
      </c>
      <c r="K8">
        <v>18.38</v>
      </c>
      <c r="L8">
        <v>6.6</v>
      </c>
      <c r="M8">
        <v>16.8</v>
      </c>
      <c r="N8">
        <v>6.3</v>
      </c>
      <c r="O8">
        <v>0.34</v>
      </c>
      <c r="P8">
        <v>3.81</v>
      </c>
      <c r="Q8">
        <v>6.74</v>
      </c>
      <c r="S8" s="221">
        <v>43909</v>
      </c>
      <c r="T8" s="349">
        <v>64605496.859999999</v>
      </c>
      <c r="U8" s="349">
        <v>8375079</v>
      </c>
      <c r="V8" s="349">
        <v>13378585</v>
      </c>
      <c r="W8" s="349">
        <v>1779853</v>
      </c>
      <c r="X8" s="349">
        <v>1079829</v>
      </c>
      <c r="Y8" s="349">
        <v>1058212</v>
      </c>
      <c r="Z8" s="349">
        <v>1223704</v>
      </c>
      <c r="AA8" s="349">
        <v>9727</v>
      </c>
      <c r="AB8" s="349">
        <v>8869</v>
      </c>
      <c r="AC8" s="349">
        <v>2273978</v>
      </c>
      <c r="AD8" s="349">
        <v>101323</v>
      </c>
      <c r="AE8" s="349">
        <v>367907</v>
      </c>
      <c r="AF8" s="349">
        <v>281360</v>
      </c>
      <c r="AG8" s="349">
        <v>4200828</v>
      </c>
      <c r="AH8" s="349">
        <v>298750</v>
      </c>
      <c r="AI8" s="349">
        <v>1750647</v>
      </c>
    </row>
    <row r="9" spans="1:35">
      <c r="A9" s="221">
        <f>[1]historydata164358!A1210</f>
        <v>43910</v>
      </c>
      <c r="B9">
        <v>555.13</v>
      </c>
      <c r="C9">
        <v>6.58</v>
      </c>
      <c r="D9">
        <v>11.78</v>
      </c>
      <c r="E9">
        <v>11.34</v>
      </c>
      <c r="F9">
        <v>5.08</v>
      </c>
      <c r="G9">
        <v>11.46</v>
      </c>
      <c r="H9">
        <v>6.79</v>
      </c>
      <c r="I9">
        <v>20.8</v>
      </c>
      <c r="J9">
        <v>1.25</v>
      </c>
      <c r="K9">
        <v>19.600000000000001</v>
      </c>
      <c r="L9">
        <v>7.4</v>
      </c>
      <c r="M9">
        <v>16.559999999999999</v>
      </c>
      <c r="N9">
        <v>6.6</v>
      </c>
      <c r="O9">
        <v>0.36499999999999999</v>
      </c>
      <c r="P9">
        <v>4.58</v>
      </c>
      <c r="Q9">
        <v>7.18</v>
      </c>
      <c r="S9" s="221">
        <v>43910</v>
      </c>
      <c r="T9" s="349">
        <v>92750540.310000002</v>
      </c>
      <c r="U9" s="349">
        <v>9096048</v>
      </c>
      <c r="V9" s="349">
        <v>15252182</v>
      </c>
      <c r="W9" s="349">
        <v>6970272</v>
      </c>
      <c r="X9" s="349">
        <v>1353269</v>
      </c>
      <c r="Y9" s="349">
        <v>2096191</v>
      </c>
      <c r="Z9" s="349">
        <v>1035625</v>
      </c>
      <c r="AA9" s="349">
        <v>1185</v>
      </c>
      <c r="AB9" s="349">
        <v>6454</v>
      </c>
      <c r="AC9" s="349">
        <v>3769753</v>
      </c>
      <c r="AD9" s="349">
        <v>264653</v>
      </c>
      <c r="AE9" s="349">
        <v>216037</v>
      </c>
      <c r="AF9" s="349">
        <v>429265</v>
      </c>
      <c r="AG9" s="349">
        <v>5452186</v>
      </c>
      <c r="AH9" s="349">
        <v>729012</v>
      </c>
      <c r="AI9" s="349">
        <v>1546770</v>
      </c>
    </row>
    <row r="10" spans="1:35">
      <c r="A10" s="221">
        <f>[1]historydata164358!A1211</f>
        <v>43913</v>
      </c>
      <c r="B10">
        <v>513.07000000000005</v>
      </c>
      <c r="C10">
        <v>6.1</v>
      </c>
      <c r="D10">
        <v>11.4</v>
      </c>
      <c r="E10">
        <v>9.94</v>
      </c>
      <c r="F10">
        <v>4.8</v>
      </c>
      <c r="G10">
        <v>10.6</v>
      </c>
      <c r="H10">
        <v>6.4</v>
      </c>
      <c r="I10">
        <v>19.25</v>
      </c>
      <c r="J10">
        <v>1.25</v>
      </c>
      <c r="K10">
        <v>18</v>
      </c>
      <c r="L10">
        <v>6.88</v>
      </c>
      <c r="M10">
        <v>15.16</v>
      </c>
      <c r="N10">
        <v>6.3</v>
      </c>
      <c r="O10">
        <v>0.315</v>
      </c>
      <c r="P10">
        <v>3.85</v>
      </c>
      <c r="Q10">
        <v>6.97</v>
      </c>
      <c r="S10" s="221">
        <v>43913</v>
      </c>
      <c r="T10" s="349">
        <v>33872681.079999998</v>
      </c>
      <c r="U10" s="349">
        <v>4872518</v>
      </c>
      <c r="V10" s="349">
        <v>6764925</v>
      </c>
      <c r="W10" s="349">
        <v>1711792</v>
      </c>
      <c r="X10" s="349">
        <v>543273</v>
      </c>
      <c r="Y10" s="349">
        <v>448821</v>
      </c>
      <c r="Z10" s="349">
        <v>181977</v>
      </c>
      <c r="AA10" s="349">
        <v>2425</v>
      </c>
      <c r="AB10" s="349">
        <v>8503</v>
      </c>
      <c r="AC10" s="349">
        <v>864194</v>
      </c>
      <c r="AD10" s="349">
        <v>182976</v>
      </c>
      <c r="AE10" s="349">
        <v>62605</v>
      </c>
      <c r="AF10" s="349">
        <v>98430</v>
      </c>
      <c r="AG10" s="349">
        <v>2521413</v>
      </c>
      <c r="AH10" s="349">
        <v>215182</v>
      </c>
      <c r="AI10" s="349">
        <v>671453</v>
      </c>
    </row>
    <row r="11" spans="1:35">
      <c r="A11" s="221">
        <f>[1]historydata164358!A1212</f>
        <v>43914</v>
      </c>
      <c r="B11">
        <v>552.45000000000005</v>
      </c>
      <c r="C11">
        <v>6.5750000000000002</v>
      </c>
      <c r="D11">
        <v>11.87</v>
      </c>
      <c r="E11">
        <v>11.43</v>
      </c>
      <c r="F11">
        <v>5.39</v>
      </c>
      <c r="G11">
        <v>11</v>
      </c>
      <c r="H11">
        <v>6.65</v>
      </c>
      <c r="I11">
        <v>21</v>
      </c>
      <c r="J11">
        <v>1.28</v>
      </c>
      <c r="K11">
        <v>19.649999999999999</v>
      </c>
      <c r="L11">
        <v>6.9</v>
      </c>
      <c r="M11">
        <v>16.3</v>
      </c>
      <c r="N11">
        <v>6.9</v>
      </c>
      <c r="O11">
        <v>0.34200000000000003</v>
      </c>
      <c r="P11">
        <v>4</v>
      </c>
      <c r="Q11">
        <v>7.37</v>
      </c>
      <c r="S11" s="221">
        <v>43914</v>
      </c>
      <c r="T11" s="349">
        <v>56901987.090000004</v>
      </c>
      <c r="U11" s="349">
        <v>5518716</v>
      </c>
      <c r="V11" s="349">
        <v>14951307</v>
      </c>
      <c r="W11" s="349">
        <v>3272970</v>
      </c>
      <c r="X11" s="349">
        <v>1402163</v>
      </c>
      <c r="Y11" s="349">
        <v>1204212</v>
      </c>
      <c r="Z11" s="349">
        <v>599783</v>
      </c>
      <c r="AA11" s="349">
        <v>20206</v>
      </c>
      <c r="AB11" s="349">
        <v>8948</v>
      </c>
      <c r="AC11" s="349">
        <v>3022435</v>
      </c>
      <c r="AD11" s="349">
        <v>838852</v>
      </c>
      <c r="AE11" s="349">
        <v>444910</v>
      </c>
      <c r="AF11" s="349">
        <v>352641</v>
      </c>
      <c r="AG11" s="349">
        <v>4269344</v>
      </c>
      <c r="AH11" s="349">
        <v>810144</v>
      </c>
      <c r="AI11" s="349">
        <v>1376439</v>
      </c>
    </row>
    <row r="12" spans="1:35">
      <c r="A12" s="221">
        <f>[1]historydata164358!A1213</f>
        <v>43916</v>
      </c>
      <c r="B12">
        <v>573.35</v>
      </c>
      <c r="C12">
        <v>7.0750000000000002</v>
      </c>
      <c r="D12">
        <v>12</v>
      </c>
      <c r="E12">
        <v>12.44</v>
      </c>
      <c r="F12">
        <v>5.7</v>
      </c>
      <c r="G12">
        <v>10.42</v>
      </c>
      <c r="H12">
        <v>6.73</v>
      </c>
      <c r="I12">
        <v>21.2</v>
      </c>
      <c r="J12">
        <v>1.3</v>
      </c>
      <c r="K12">
        <v>19.2</v>
      </c>
      <c r="L12">
        <v>7.04</v>
      </c>
      <c r="M12">
        <v>16.5</v>
      </c>
      <c r="N12">
        <v>6.84</v>
      </c>
      <c r="O12">
        <v>0.41799999999999998</v>
      </c>
      <c r="P12">
        <v>4.16</v>
      </c>
      <c r="Q12">
        <v>7.35</v>
      </c>
      <c r="S12" s="221">
        <v>43916</v>
      </c>
      <c r="T12" s="349">
        <v>87598277.780000001</v>
      </c>
      <c r="U12" s="349">
        <v>8414402</v>
      </c>
      <c r="V12" s="349">
        <v>20132271</v>
      </c>
      <c r="W12" s="349">
        <v>4239356</v>
      </c>
      <c r="X12" s="349">
        <v>2777984</v>
      </c>
      <c r="Y12" s="349">
        <v>1536869</v>
      </c>
      <c r="Z12" s="349">
        <v>625847</v>
      </c>
      <c r="AA12" s="349">
        <v>22758</v>
      </c>
      <c r="AB12" s="349">
        <v>6462</v>
      </c>
      <c r="AC12" s="349">
        <v>1081970</v>
      </c>
      <c r="AD12" s="349">
        <v>158068</v>
      </c>
      <c r="AE12" s="349">
        <v>250199</v>
      </c>
      <c r="AF12" s="349">
        <v>207785</v>
      </c>
      <c r="AG12" s="349">
        <v>6876422</v>
      </c>
      <c r="AH12" s="349">
        <v>430648</v>
      </c>
      <c r="AI12" s="349">
        <v>1277024</v>
      </c>
    </row>
    <row r="13" spans="1:35">
      <c r="A13" s="221">
        <f>[1]historydata164358!A1214</f>
        <v>43917</v>
      </c>
      <c r="B13">
        <v>550.85</v>
      </c>
      <c r="C13">
        <v>6.93</v>
      </c>
      <c r="D13">
        <v>11.15</v>
      </c>
      <c r="E13">
        <v>12.1</v>
      </c>
      <c r="F13">
        <v>5.58</v>
      </c>
      <c r="G13">
        <v>10.48</v>
      </c>
      <c r="H13">
        <v>6.71</v>
      </c>
      <c r="I13">
        <v>20.399999999999999</v>
      </c>
      <c r="J13">
        <v>1.274</v>
      </c>
      <c r="K13">
        <v>18.004999999999999</v>
      </c>
      <c r="L13">
        <v>7.08</v>
      </c>
      <c r="M13">
        <v>15.98</v>
      </c>
      <c r="N13">
        <v>6.56</v>
      </c>
      <c r="O13">
        <v>0.39700000000000002</v>
      </c>
      <c r="P13">
        <v>4.07</v>
      </c>
      <c r="Q13">
        <v>7.18</v>
      </c>
      <c r="S13" s="221">
        <v>43917</v>
      </c>
      <c r="T13" s="349">
        <v>51366759.729999997</v>
      </c>
      <c r="U13" s="349">
        <v>9501794</v>
      </c>
      <c r="V13" s="349">
        <v>9405431</v>
      </c>
      <c r="W13" s="349">
        <v>2751896</v>
      </c>
      <c r="X13" s="349">
        <v>1365975</v>
      </c>
      <c r="Y13" s="349">
        <v>693024</v>
      </c>
      <c r="Z13" s="349">
        <v>791278</v>
      </c>
      <c r="AA13" s="349">
        <v>5436</v>
      </c>
      <c r="AB13" s="349">
        <v>11452</v>
      </c>
      <c r="AC13" s="349">
        <v>960292</v>
      </c>
      <c r="AD13" s="349">
        <v>59513</v>
      </c>
      <c r="AE13" s="349">
        <v>238709</v>
      </c>
      <c r="AF13" s="349">
        <v>62622</v>
      </c>
      <c r="AG13" s="349">
        <v>4551233</v>
      </c>
      <c r="AH13" s="349">
        <v>346411</v>
      </c>
      <c r="AI13" s="349">
        <v>709044</v>
      </c>
    </row>
    <row r="14" spans="1:35">
      <c r="A14" s="221">
        <f>[1]historydata164358!A1215</f>
        <v>43920</v>
      </c>
      <c r="B14">
        <v>558.70000000000005</v>
      </c>
      <c r="C14">
        <v>7.1</v>
      </c>
      <c r="D14">
        <v>11.25</v>
      </c>
      <c r="E14">
        <v>12.7</v>
      </c>
      <c r="F14">
        <v>5.58</v>
      </c>
      <c r="G14">
        <v>10.44</v>
      </c>
      <c r="H14">
        <v>6.87</v>
      </c>
      <c r="I14">
        <v>21.3</v>
      </c>
      <c r="J14">
        <v>1.274</v>
      </c>
      <c r="K14">
        <v>18</v>
      </c>
      <c r="L14">
        <v>7</v>
      </c>
      <c r="M14">
        <v>15.7</v>
      </c>
      <c r="N14">
        <v>6.24</v>
      </c>
      <c r="O14">
        <v>0.41599999999999998</v>
      </c>
      <c r="P14">
        <v>4.09</v>
      </c>
      <c r="Q14">
        <v>7.38</v>
      </c>
      <c r="S14" s="221">
        <v>43920</v>
      </c>
      <c r="T14" s="349">
        <v>39404542.420000002</v>
      </c>
      <c r="U14" s="349">
        <v>2622494</v>
      </c>
      <c r="V14" s="349">
        <v>10609614</v>
      </c>
      <c r="W14" s="349">
        <v>1776814</v>
      </c>
      <c r="X14" s="349">
        <v>706421</v>
      </c>
      <c r="Y14" s="349">
        <v>580249</v>
      </c>
      <c r="Z14" s="349">
        <v>496961</v>
      </c>
      <c r="AA14" s="349">
        <v>426</v>
      </c>
      <c r="AB14" s="349">
        <v>1274</v>
      </c>
      <c r="AC14" s="349">
        <v>2157317</v>
      </c>
      <c r="AD14" s="349">
        <v>351267</v>
      </c>
      <c r="AE14" s="349">
        <v>245447</v>
      </c>
      <c r="AF14" s="349">
        <v>89334</v>
      </c>
      <c r="AG14" s="349">
        <v>4205038</v>
      </c>
      <c r="AH14" s="349">
        <v>377982</v>
      </c>
      <c r="AI14" s="349">
        <v>577824</v>
      </c>
    </row>
    <row r="15" spans="1:35">
      <c r="A15" s="221">
        <f>[1]historydata164358!A1216</f>
        <v>43921</v>
      </c>
      <c r="B15">
        <v>558.29999999999995</v>
      </c>
      <c r="C15">
        <v>6.93</v>
      </c>
      <c r="D15">
        <v>10.98</v>
      </c>
      <c r="E15">
        <v>12.32</v>
      </c>
      <c r="F15">
        <v>5.7</v>
      </c>
      <c r="G15">
        <v>10.3</v>
      </c>
      <c r="H15">
        <v>6.56</v>
      </c>
      <c r="I15">
        <v>20.8</v>
      </c>
      <c r="J15">
        <v>1.27</v>
      </c>
      <c r="K15">
        <v>19.18</v>
      </c>
      <c r="L15">
        <v>6.96</v>
      </c>
      <c r="M15">
        <v>15.54</v>
      </c>
      <c r="N15">
        <v>6.32</v>
      </c>
      <c r="O15">
        <v>0.39500000000000002</v>
      </c>
      <c r="P15">
        <v>4.08</v>
      </c>
      <c r="Q15">
        <v>7.29</v>
      </c>
      <c r="S15" s="221">
        <v>43921</v>
      </c>
      <c r="T15" s="349">
        <v>73045125.920000002</v>
      </c>
      <c r="U15" s="349">
        <v>7977198</v>
      </c>
      <c r="V15" s="349">
        <v>11450452</v>
      </c>
      <c r="W15" s="349">
        <v>3923521</v>
      </c>
      <c r="X15" s="349">
        <v>1476803</v>
      </c>
      <c r="Y15" s="349">
        <v>644315</v>
      </c>
      <c r="Z15" s="349">
        <v>329177</v>
      </c>
      <c r="AA15" s="349">
        <v>10028</v>
      </c>
      <c r="AB15" s="349">
        <v>12567</v>
      </c>
      <c r="AC15" s="349">
        <v>2211355</v>
      </c>
      <c r="AD15" s="349">
        <v>552642</v>
      </c>
      <c r="AE15" s="349">
        <v>165727</v>
      </c>
      <c r="AF15" s="349">
        <v>164895</v>
      </c>
      <c r="AG15" s="349">
        <v>7847765</v>
      </c>
      <c r="AH15" s="349">
        <v>433927</v>
      </c>
      <c r="AI15" s="349">
        <v>659238</v>
      </c>
    </row>
    <row r="16" spans="1:35">
      <c r="A16" s="221">
        <f>[1]historydata164358!A1217</f>
        <v>43922</v>
      </c>
      <c r="B16">
        <v>536.45000000000005</v>
      </c>
      <c r="C16">
        <v>6.4</v>
      </c>
      <c r="D16">
        <v>10.45</v>
      </c>
      <c r="E16">
        <v>12.07</v>
      </c>
      <c r="F16">
        <v>5.55</v>
      </c>
      <c r="G16">
        <v>10.199999999999999</v>
      </c>
      <c r="H16">
        <v>6.39</v>
      </c>
      <c r="I16">
        <v>21</v>
      </c>
      <c r="J16">
        <v>1.25</v>
      </c>
      <c r="K16">
        <v>19.3</v>
      </c>
      <c r="L16">
        <v>6.8</v>
      </c>
      <c r="M16">
        <v>15.36</v>
      </c>
      <c r="N16">
        <v>6.2</v>
      </c>
      <c r="O16">
        <v>0.35899999999999999</v>
      </c>
      <c r="P16">
        <v>3.9049999999999998</v>
      </c>
      <c r="Q16">
        <v>7.1</v>
      </c>
      <c r="S16" s="221">
        <v>43922</v>
      </c>
      <c r="T16" s="349">
        <v>53687594.420000002</v>
      </c>
      <c r="U16" s="349">
        <v>8782611</v>
      </c>
      <c r="V16" s="349">
        <v>16401394</v>
      </c>
      <c r="W16" s="349">
        <v>2511694</v>
      </c>
      <c r="X16" s="349">
        <v>638543</v>
      </c>
      <c r="Y16" s="349">
        <v>619950</v>
      </c>
      <c r="Z16" s="349">
        <v>311771</v>
      </c>
      <c r="AA16" s="349">
        <v>2317</v>
      </c>
      <c r="AB16" s="349">
        <v>2550</v>
      </c>
      <c r="AC16" s="349">
        <v>1411159</v>
      </c>
      <c r="AD16" s="349">
        <v>350427</v>
      </c>
      <c r="AE16" s="349">
        <v>74080</v>
      </c>
      <c r="AF16" s="349">
        <v>129069</v>
      </c>
      <c r="AG16" s="349">
        <v>4254476</v>
      </c>
      <c r="AH16" s="349">
        <v>498274</v>
      </c>
      <c r="AI16" s="349">
        <v>804669</v>
      </c>
    </row>
    <row r="17" spans="1:35">
      <c r="A17" s="221">
        <f>[1]historydata164358!A1218</f>
        <v>43923</v>
      </c>
      <c r="B17">
        <v>541.44000000000005</v>
      </c>
      <c r="C17">
        <v>6.3</v>
      </c>
      <c r="D17">
        <v>11.43</v>
      </c>
      <c r="E17">
        <v>13.27</v>
      </c>
      <c r="F17">
        <v>5.4</v>
      </c>
      <c r="G17">
        <v>10.18</v>
      </c>
      <c r="H17">
        <v>6.4</v>
      </c>
      <c r="I17">
        <v>19.8</v>
      </c>
      <c r="J17">
        <v>1.25</v>
      </c>
      <c r="K17">
        <v>19.02</v>
      </c>
      <c r="L17">
        <v>6.79</v>
      </c>
      <c r="M17">
        <v>15.38</v>
      </c>
      <c r="N17">
        <v>6.44</v>
      </c>
      <c r="O17">
        <v>0.34699999999999998</v>
      </c>
      <c r="P17">
        <v>3.83</v>
      </c>
      <c r="Q17">
        <v>7.27</v>
      </c>
      <c r="S17" s="221">
        <v>43923</v>
      </c>
      <c r="T17" s="349">
        <v>53608856.549999997</v>
      </c>
      <c r="U17" s="349">
        <v>7325329</v>
      </c>
      <c r="V17" s="349">
        <v>10687974</v>
      </c>
      <c r="W17" s="349">
        <v>2040138</v>
      </c>
      <c r="X17" s="349">
        <v>903697</v>
      </c>
      <c r="Y17" s="349">
        <v>710373</v>
      </c>
      <c r="Z17" s="349">
        <v>149582</v>
      </c>
      <c r="AA17" s="349">
        <v>31506</v>
      </c>
      <c r="AB17" s="349">
        <v>1375</v>
      </c>
      <c r="AC17" s="349">
        <v>810558</v>
      </c>
      <c r="AD17" s="349">
        <v>552048</v>
      </c>
      <c r="AE17" s="349">
        <v>172468</v>
      </c>
      <c r="AF17" s="349">
        <v>91137</v>
      </c>
      <c r="AG17" s="349">
        <v>5584063</v>
      </c>
      <c r="AH17" s="349">
        <v>284526</v>
      </c>
      <c r="AI17" s="349">
        <v>462259</v>
      </c>
    </row>
    <row r="18" spans="1:35">
      <c r="A18" s="221">
        <f>[1]historydata164358!A1219</f>
        <v>43924</v>
      </c>
      <c r="B18">
        <v>540.74</v>
      </c>
      <c r="C18">
        <v>6.5</v>
      </c>
      <c r="D18">
        <v>11.03</v>
      </c>
      <c r="E18">
        <v>13.5</v>
      </c>
      <c r="F18">
        <v>5.32</v>
      </c>
      <c r="G18">
        <v>10.220000000000001</v>
      </c>
      <c r="H18">
        <v>6.36</v>
      </c>
      <c r="I18">
        <v>19.8</v>
      </c>
      <c r="J18">
        <v>1.27</v>
      </c>
      <c r="K18">
        <v>19.260000000000002</v>
      </c>
      <c r="L18">
        <v>6.7</v>
      </c>
      <c r="M18">
        <v>15.28</v>
      </c>
      <c r="N18">
        <v>6.36</v>
      </c>
      <c r="O18">
        <v>0.33700000000000002</v>
      </c>
      <c r="P18">
        <v>3.92</v>
      </c>
      <c r="Q18">
        <v>7.19</v>
      </c>
      <c r="S18" s="221">
        <v>43924</v>
      </c>
      <c r="T18" s="349">
        <v>35829909.049999997</v>
      </c>
      <c r="U18" s="349">
        <v>4349525</v>
      </c>
      <c r="V18" s="349">
        <v>6810333</v>
      </c>
      <c r="W18" s="349">
        <v>1524635</v>
      </c>
      <c r="X18" s="349">
        <v>1092728</v>
      </c>
      <c r="Y18" s="349">
        <v>498100</v>
      </c>
      <c r="Z18" s="349">
        <v>189898</v>
      </c>
      <c r="AA18" s="349">
        <v>20749</v>
      </c>
      <c r="AB18" s="349">
        <v>12112</v>
      </c>
      <c r="AC18" s="349">
        <v>1251007</v>
      </c>
      <c r="AD18" s="349">
        <v>511798</v>
      </c>
      <c r="AE18" s="349">
        <v>125462</v>
      </c>
      <c r="AF18" s="349">
        <v>101478</v>
      </c>
      <c r="AG18" s="349">
        <v>3168502</v>
      </c>
      <c r="AH18" s="349">
        <v>182757</v>
      </c>
      <c r="AI18" s="349">
        <v>374333</v>
      </c>
    </row>
    <row r="19" spans="1:35">
      <c r="A19" s="221">
        <f>[1]historydata164358!A1220</f>
        <v>43927</v>
      </c>
      <c r="B19">
        <v>586.46</v>
      </c>
      <c r="C19">
        <v>6.8</v>
      </c>
      <c r="D19">
        <v>11.95</v>
      </c>
      <c r="E19" s="214">
        <v>14.79</v>
      </c>
      <c r="F19" s="214">
        <v>5.86</v>
      </c>
      <c r="G19">
        <v>11.18</v>
      </c>
      <c r="H19">
        <v>6.57</v>
      </c>
      <c r="I19">
        <v>20.8</v>
      </c>
      <c r="J19">
        <v>1.29</v>
      </c>
      <c r="K19">
        <v>21.2</v>
      </c>
      <c r="L19">
        <v>7.63</v>
      </c>
      <c r="M19">
        <v>16.18</v>
      </c>
      <c r="N19">
        <v>6.56</v>
      </c>
      <c r="O19">
        <v>0.36</v>
      </c>
      <c r="P19">
        <v>4.1349999999999998</v>
      </c>
      <c r="Q19">
        <v>7.49</v>
      </c>
      <c r="S19" s="221">
        <v>43927</v>
      </c>
      <c r="T19" s="349">
        <v>56500357.329999998</v>
      </c>
      <c r="U19" s="349">
        <v>5281245</v>
      </c>
      <c r="V19" s="349">
        <v>8391544</v>
      </c>
      <c r="W19" s="349">
        <v>2274555</v>
      </c>
      <c r="X19" s="349">
        <v>760682</v>
      </c>
      <c r="Y19" s="349">
        <v>852752</v>
      </c>
      <c r="Z19" s="349">
        <v>492793</v>
      </c>
      <c r="AA19" s="349">
        <v>11952</v>
      </c>
      <c r="AB19" s="349">
        <v>11527</v>
      </c>
      <c r="AC19" s="349">
        <v>1768102</v>
      </c>
      <c r="AD19" s="349">
        <v>2361967</v>
      </c>
      <c r="AE19" s="349">
        <v>205374</v>
      </c>
      <c r="AF19" s="349">
        <v>120321</v>
      </c>
      <c r="AG19" s="349">
        <v>8317162</v>
      </c>
      <c r="AH19" s="349">
        <v>746086</v>
      </c>
      <c r="AI19" s="349">
        <v>609720</v>
      </c>
    </row>
    <row r="20" spans="1:35">
      <c r="A20" s="221">
        <f>[1]historydata164358!A1221</f>
        <v>43928</v>
      </c>
      <c r="B20">
        <v>607.73</v>
      </c>
      <c r="C20">
        <v>7.1950000000000003</v>
      </c>
      <c r="D20">
        <v>11.9</v>
      </c>
      <c r="E20">
        <v>15.19</v>
      </c>
      <c r="F20">
        <v>5.99</v>
      </c>
      <c r="G20">
        <v>11.2</v>
      </c>
      <c r="H20">
        <v>6.7</v>
      </c>
      <c r="I20">
        <v>21.5</v>
      </c>
      <c r="J20">
        <v>1.3</v>
      </c>
      <c r="K20">
        <v>22.8</v>
      </c>
      <c r="L20">
        <v>7.5</v>
      </c>
      <c r="M20">
        <v>16.940000000000001</v>
      </c>
      <c r="N20">
        <v>7.46</v>
      </c>
      <c r="O20">
        <v>0.38</v>
      </c>
      <c r="P20">
        <v>4.2850000000000001</v>
      </c>
      <c r="Q20">
        <v>7.71</v>
      </c>
      <c r="S20" s="221">
        <v>43928</v>
      </c>
      <c r="T20" s="349">
        <v>69971575.540000007</v>
      </c>
      <c r="U20" s="349">
        <v>8834199</v>
      </c>
      <c r="V20" s="349">
        <v>6229278</v>
      </c>
      <c r="W20" s="349">
        <v>5670804</v>
      </c>
      <c r="X20" s="349">
        <v>1417878</v>
      </c>
      <c r="Y20" s="349">
        <v>1069724</v>
      </c>
      <c r="Z20" s="349">
        <v>368812</v>
      </c>
      <c r="AA20" s="349">
        <v>25155</v>
      </c>
      <c r="AB20" s="349">
        <v>5450</v>
      </c>
      <c r="AC20" s="349">
        <v>2500741</v>
      </c>
      <c r="AD20" s="349">
        <v>469498</v>
      </c>
      <c r="AE20" s="349">
        <v>601347</v>
      </c>
      <c r="AF20" s="349">
        <v>305677</v>
      </c>
      <c r="AG20" s="349">
        <v>8152934</v>
      </c>
      <c r="AH20" s="349">
        <v>777918</v>
      </c>
      <c r="AI20" s="349">
        <v>1272603</v>
      </c>
    </row>
    <row r="21" spans="1:35">
      <c r="A21" s="221">
        <f>[1]historydata164358!A1222</f>
        <v>43929</v>
      </c>
      <c r="B21">
        <v>609.09</v>
      </c>
      <c r="C21">
        <v>7.1</v>
      </c>
      <c r="D21">
        <v>11.97</v>
      </c>
      <c r="E21">
        <v>14.95</v>
      </c>
      <c r="F21">
        <v>6.02</v>
      </c>
      <c r="G21">
        <v>11.1</v>
      </c>
      <c r="H21">
        <v>6.47</v>
      </c>
      <c r="I21">
        <v>20.5</v>
      </c>
      <c r="J21">
        <v>1.2849999999999999</v>
      </c>
      <c r="K21">
        <v>21.5</v>
      </c>
      <c r="L21">
        <v>7.35</v>
      </c>
      <c r="M21">
        <v>16.739999999999998</v>
      </c>
      <c r="N21">
        <v>7.12</v>
      </c>
      <c r="O21">
        <v>0.4</v>
      </c>
      <c r="P21">
        <v>4.28</v>
      </c>
      <c r="Q21">
        <v>7.89</v>
      </c>
      <c r="S21" s="221">
        <v>43929</v>
      </c>
      <c r="T21" s="349">
        <v>67231306.569999993</v>
      </c>
      <c r="U21" s="349">
        <v>6649917</v>
      </c>
      <c r="V21" s="349">
        <v>6055942</v>
      </c>
      <c r="W21" s="349">
        <v>5158487</v>
      </c>
      <c r="X21" s="349">
        <v>799411</v>
      </c>
      <c r="Y21" s="349">
        <v>809604</v>
      </c>
      <c r="Z21" s="349">
        <v>256773</v>
      </c>
      <c r="AA21" s="349">
        <v>104325</v>
      </c>
      <c r="AB21" s="349">
        <v>11291</v>
      </c>
      <c r="AC21" s="349">
        <v>3201459</v>
      </c>
      <c r="AD21" s="349">
        <v>349687</v>
      </c>
      <c r="AE21" s="349">
        <v>126113</v>
      </c>
      <c r="AF21" s="349">
        <v>232430</v>
      </c>
      <c r="AG21" s="349">
        <v>13134386</v>
      </c>
      <c r="AH21" s="349">
        <v>503588</v>
      </c>
      <c r="AI21" s="349">
        <v>1144905</v>
      </c>
    </row>
    <row r="22" spans="1:35">
      <c r="A22" s="221">
        <f>[1]historydata164358!A1223</f>
        <v>43930</v>
      </c>
      <c r="B22">
        <v>607.29</v>
      </c>
      <c r="C22">
        <v>7.2</v>
      </c>
      <c r="D22">
        <v>11.88</v>
      </c>
      <c r="E22">
        <v>14.38</v>
      </c>
      <c r="F22">
        <v>5.8</v>
      </c>
      <c r="G22">
        <v>11</v>
      </c>
      <c r="H22">
        <v>6.37</v>
      </c>
      <c r="I22">
        <v>21</v>
      </c>
      <c r="J22">
        <v>1.3</v>
      </c>
      <c r="K22">
        <v>22.15</v>
      </c>
      <c r="L22">
        <v>7.49</v>
      </c>
      <c r="M22">
        <v>16.28</v>
      </c>
      <c r="N22">
        <v>7.08</v>
      </c>
      <c r="O22">
        <v>0.4</v>
      </c>
      <c r="P22">
        <v>4.16</v>
      </c>
      <c r="Q22">
        <v>7.89</v>
      </c>
      <c r="S22" s="221">
        <v>43930</v>
      </c>
      <c r="T22" s="349">
        <v>69605826.5</v>
      </c>
      <c r="U22" s="349">
        <v>6289167</v>
      </c>
      <c r="V22" s="349">
        <v>8274364</v>
      </c>
      <c r="W22" s="349">
        <v>3182640</v>
      </c>
      <c r="X22" s="349">
        <v>1250603</v>
      </c>
      <c r="Y22" s="349">
        <v>945508</v>
      </c>
      <c r="Z22" s="349">
        <v>288353</v>
      </c>
      <c r="AA22" s="349">
        <v>13664</v>
      </c>
      <c r="AB22" s="349">
        <v>5847</v>
      </c>
      <c r="AC22" s="349">
        <v>3658858</v>
      </c>
      <c r="AD22" s="349">
        <v>215202</v>
      </c>
      <c r="AE22" s="349">
        <v>166624</v>
      </c>
      <c r="AF22" s="349">
        <v>58309</v>
      </c>
      <c r="AG22" s="349">
        <v>6279485</v>
      </c>
      <c r="AH22" s="349">
        <v>555287</v>
      </c>
      <c r="AI22" s="349">
        <v>1265120</v>
      </c>
    </row>
    <row r="23" spans="1:35">
      <c r="A23" s="271">
        <v>43935</v>
      </c>
      <c r="B23">
        <v>628.19000000000005</v>
      </c>
      <c r="C23">
        <v>7.25</v>
      </c>
      <c r="D23">
        <v>11.89</v>
      </c>
      <c r="E23">
        <v>15.01</v>
      </c>
      <c r="F23">
        <v>5.98</v>
      </c>
      <c r="G23">
        <v>12.08</v>
      </c>
      <c r="H23">
        <v>6.8</v>
      </c>
      <c r="I23">
        <v>21.4</v>
      </c>
      <c r="J23">
        <v>1.345</v>
      </c>
      <c r="K23">
        <v>23</v>
      </c>
      <c r="L23">
        <v>8</v>
      </c>
      <c r="M23">
        <v>16.600000000000001</v>
      </c>
      <c r="N23">
        <v>7.12</v>
      </c>
      <c r="O23">
        <v>0.4</v>
      </c>
      <c r="P23">
        <v>4.33</v>
      </c>
      <c r="Q23">
        <v>8.19</v>
      </c>
      <c r="S23" s="271">
        <v>43935</v>
      </c>
      <c r="T23" s="349">
        <v>47228218.039999999</v>
      </c>
      <c r="U23" s="349">
        <v>4079073</v>
      </c>
      <c r="V23" s="349">
        <v>6983267</v>
      </c>
      <c r="W23" s="349">
        <v>2013131</v>
      </c>
      <c r="X23" s="349">
        <v>753917</v>
      </c>
      <c r="Y23" s="349">
        <v>1459626</v>
      </c>
      <c r="Z23" s="349">
        <v>432689</v>
      </c>
      <c r="AA23" s="349">
        <v>22522</v>
      </c>
      <c r="AB23" s="349">
        <v>9920</v>
      </c>
      <c r="AC23" s="349">
        <v>1909181</v>
      </c>
      <c r="AD23" s="349">
        <v>323729</v>
      </c>
      <c r="AE23" s="349">
        <v>245965</v>
      </c>
      <c r="AF23" s="349">
        <v>92903</v>
      </c>
      <c r="AG23" s="349">
        <v>3188145</v>
      </c>
      <c r="AH23" s="349">
        <v>495294</v>
      </c>
      <c r="AI23" s="349">
        <v>1015869</v>
      </c>
    </row>
    <row r="24" spans="1:35">
      <c r="A24" s="271">
        <v>43936</v>
      </c>
      <c r="B24">
        <v>607.57000000000005</v>
      </c>
      <c r="C24">
        <v>7.06</v>
      </c>
      <c r="D24">
        <v>11.5</v>
      </c>
      <c r="E24">
        <v>14.92</v>
      </c>
      <c r="F24">
        <v>5.74</v>
      </c>
      <c r="G24">
        <v>11.76</v>
      </c>
      <c r="H24">
        <v>6.72</v>
      </c>
      <c r="I24">
        <v>21.3</v>
      </c>
      <c r="J24">
        <v>1.345</v>
      </c>
      <c r="K24">
        <v>22</v>
      </c>
      <c r="L24">
        <v>7.75</v>
      </c>
      <c r="M24">
        <v>16.260000000000002</v>
      </c>
      <c r="N24">
        <v>7</v>
      </c>
      <c r="O24">
        <v>0.375</v>
      </c>
      <c r="P24">
        <v>4.37</v>
      </c>
      <c r="Q24">
        <v>8.02</v>
      </c>
      <c r="S24" s="271">
        <v>43936</v>
      </c>
      <c r="T24" s="349">
        <v>48121757.759999998</v>
      </c>
      <c r="U24" s="349">
        <v>3275347</v>
      </c>
      <c r="V24" s="349">
        <v>8675711</v>
      </c>
      <c r="W24" s="349">
        <v>1783937</v>
      </c>
      <c r="X24" s="349">
        <v>811148</v>
      </c>
      <c r="Y24" s="349">
        <v>997250</v>
      </c>
      <c r="Z24" s="349">
        <v>236214</v>
      </c>
      <c r="AA24" s="349">
        <v>8736</v>
      </c>
      <c r="AB24" s="349">
        <v>2484</v>
      </c>
      <c r="AC24" s="349">
        <v>2401796</v>
      </c>
      <c r="AD24" s="349">
        <v>329720</v>
      </c>
      <c r="AE24" s="349">
        <v>90352</v>
      </c>
      <c r="AF24" s="349">
        <v>46615</v>
      </c>
      <c r="AG24" s="349">
        <v>3966896</v>
      </c>
      <c r="AH24" s="349">
        <v>840749</v>
      </c>
      <c r="AI24" s="349">
        <v>941167</v>
      </c>
    </row>
    <row r="25" spans="1:35">
      <c r="A25" s="271">
        <v>43937</v>
      </c>
      <c r="B25" s="162">
        <v>606.75</v>
      </c>
      <c r="C25">
        <v>6.83</v>
      </c>
      <c r="D25" s="162">
        <v>11.72</v>
      </c>
      <c r="E25">
        <v>13.88</v>
      </c>
      <c r="F25">
        <v>5.93</v>
      </c>
      <c r="G25">
        <v>11.164</v>
      </c>
      <c r="H25">
        <v>6.6</v>
      </c>
      <c r="I25" s="162">
        <v>21.1</v>
      </c>
      <c r="J25" s="214">
        <v>1.345</v>
      </c>
      <c r="K25" s="214">
        <v>21.84</v>
      </c>
      <c r="L25">
        <v>7.7</v>
      </c>
      <c r="M25" s="162">
        <v>16.72</v>
      </c>
      <c r="N25" s="162">
        <v>7.04</v>
      </c>
      <c r="O25">
        <v>0.36699999999999999</v>
      </c>
      <c r="P25">
        <v>4.5199999999999996</v>
      </c>
      <c r="Q25" s="162">
        <v>8.2200000000000006</v>
      </c>
      <c r="S25" s="271">
        <v>43937</v>
      </c>
      <c r="T25" s="349">
        <v>45279065.649999999</v>
      </c>
      <c r="U25" s="349">
        <v>5578976</v>
      </c>
      <c r="V25" s="349">
        <v>10991643</v>
      </c>
      <c r="W25" s="349">
        <v>3499143</v>
      </c>
      <c r="X25" s="349">
        <v>334964</v>
      </c>
      <c r="Y25" s="349">
        <v>953051</v>
      </c>
      <c r="Z25" s="349">
        <v>113885</v>
      </c>
      <c r="AA25" s="349">
        <v>3209</v>
      </c>
      <c r="AB25" s="349">
        <v>1478</v>
      </c>
      <c r="AC25" s="349">
        <v>1136115</v>
      </c>
      <c r="AD25" s="349">
        <v>85199</v>
      </c>
      <c r="AE25" s="349">
        <v>101113</v>
      </c>
      <c r="AF25" s="349">
        <v>14084</v>
      </c>
      <c r="AG25" s="349">
        <v>2454021</v>
      </c>
      <c r="AH25" s="349">
        <v>356147</v>
      </c>
      <c r="AI25" s="349">
        <v>808183</v>
      </c>
    </row>
    <row r="26" spans="1:35">
      <c r="A26" s="271">
        <v>43942</v>
      </c>
      <c r="B26">
        <v>591.02</v>
      </c>
      <c r="C26">
        <v>7.1950000000000003</v>
      </c>
      <c r="D26">
        <v>11.5</v>
      </c>
      <c r="E26">
        <v>13</v>
      </c>
      <c r="F26">
        <v>5.7</v>
      </c>
      <c r="G26">
        <v>11</v>
      </c>
      <c r="H26">
        <v>6.74</v>
      </c>
      <c r="I26">
        <v>20.9</v>
      </c>
      <c r="J26">
        <v>1.35</v>
      </c>
      <c r="K26">
        <v>21.65</v>
      </c>
      <c r="L26">
        <v>7.84</v>
      </c>
      <c r="M26">
        <v>16.8</v>
      </c>
      <c r="N26">
        <v>6.9</v>
      </c>
      <c r="O26">
        <v>0.33</v>
      </c>
      <c r="P26">
        <v>4.4000000000000004</v>
      </c>
      <c r="Q26">
        <v>8.08</v>
      </c>
      <c r="S26" s="271">
        <v>43942</v>
      </c>
      <c r="T26" s="349">
        <v>65110262.460000001</v>
      </c>
      <c r="U26" s="349">
        <v>5083223</v>
      </c>
      <c r="V26" s="349">
        <v>12011571</v>
      </c>
      <c r="W26" s="349">
        <v>4666588</v>
      </c>
      <c r="X26" s="349">
        <v>922866</v>
      </c>
      <c r="Y26" s="349">
        <v>952673</v>
      </c>
      <c r="Z26" s="349">
        <v>172826</v>
      </c>
      <c r="AA26" s="349">
        <v>25213</v>
      </c>
      <c r="AB26" s="349">
        <v>1977</v>
      </c>
      <c r="AC26" s="349">
        <v>1556195</v>
      </c>
      <c r="AD26" s="349">
        <v>344408</v>
      </c>
      <c r="AE26" s="349">
        <v>129633</v>
      </c>
      <c r="AF26" s="349">
        <v>90074</v>
      </c>
      <c r="AG26" s="349">
        <v>7228948</v>
      </c>
      <c r="AH26" s="349">
        <v>577051</v>
      </c>
      <c r="AI26" s="349">
        <v>843855</v>
      </c>
    </row>
    <row r="27" spans="1:35">
      <c r="A27" s="271">
        <v>43943</v>
      </c>
      <c r="B27">
        <v>595.41</v>
      </c>
      <c r="C27">
        <v>7.15</v>
      </c>
      <c r="D27">
        <v>11.84</v>
      </c>
      <c r="E27">
        <v>12.65</v>
      </c>
      <c r="F27">
        <v>5.78</v>
      </c>
      <c r="G27">
        <v>11.3</v>
      </c>
      <c r="H27">
        <v>6.6</v>
      </c>
      <c r="I27">
        <v>21.7</v>
      </c>
      <c r="J27">
        <v>1.355</v>
      </c>
      <c r="K27">
        <v>21.98</v>
      </c>
      <c r="L27">
        <v>7.8</v>
      </c>
      <c r="M27">
        <v>16.66</v>
      </c>
      <c r="N27">
        <v>7.08</v>
      </c>
      <c r="O27">
        <v>0.33800000000000002</v>
      </c>
      <c r="P27">
        <v>4.45</v>
      </c>
      <c r="Q27">
        <v>8.07</v>
      </c>
      <c r="S27" s="271">
        <v>43943</v>
      </c>
      <c r="T27" s="349">
        <v>36897859.170000002</v>
      </c>
      <c r="U27" s="349">
        <v>3920796</v>
      </c>
      <c r="V27" s="349">
        <v>7527371</v>
      </c>
      <c r="W27" s="349">
        <v>3052321</v>
      </c>
      <c r="X27" s="349">
        <v>486093</v>
      </c>
      <c r="Y27" s="349">
        <v>370236</v>
      </c>
      <c r="Z27" s="349">
        <v>295146</v>
      </c>
      <c r="AA27" s="349">
        <v>416</v>
      </c>
      <c r="AB27" s="349">
        <v>2284</v>
      </c>
      <c r="AC27" s="349">
        <v>788814</v>
      </c>
      <c r="AD27" s="349">
        <v>185244</v>
      </c>
      <c r="AE27" s="349">
        <v>40784</v>
      </c>
      <c r="AF27" s="349">
        <v>62634</v>
      </c>
      <c r="AG27" s="349">
        <v>2483529</v>
      </c>
      <c r="AH27" s="349">
        <v>325930</v>
      </c>
      <c r="AI27" s="349">
        <v>363497</v>
      </c>
    </row>
    <row r="28" spans="1:35">
      <c r="A28" s="271">
        <v>43944</v>
      </c>
      <c r="B28">
        <v>610.48</v>
      </c>
      <c r="C28">
        <v>7.81</v>
      </c>
      <c r="D28">
        <v>11.68</v>
      </c>
      <c r="E28">
        <v>13.6</v>
      </c>
      <c r="F28">
        <v>5.9</v>
      </c>
      <c r="G28">
        <v>12.1</v>
      </c>
      <c r="H28">
        <v>6.62</v>
      </c>
      <c r="I28">
        <v>21</v>
      </c>
      <c r="J28">
        <v>1.355</v>
      </c>
      <c r="K28">
        <v>22.1</v>
      </c>
      <c r="L28">
        <v>8.06</v>
      </c>
      <c r="M28">
        <v>17.18</v>
      </c>
      <c r="N28">
        <v>7.58</v>
      </c>
      <c r="O28">
        <v>0.3488</v>
      </c>
      <c r="P28">
        <v>4.72</v>
      </c>
      <c r="Q28">
        <v>8.1999999999999993</v>
      </c>
      <c r="S28" s="271">
        <v>43944</v>
      </c>
      <c r="T28" s="349">
        <v>43073204.399999999</v>
      </c>
      <c r="U28" s="349">
        <v>6283836</v>
      </c>
      <c r="V28" s="349">
        <v>6551594</v>
      </c>
      <c r="W28" s="349">
        <v>5091171</v>
      </c>
      <c r="X28" s="349">
        <v>898500</v>
      </c>
      <c r="Y28" s="349">
        <v>655319</v>
      </c>
      <c r="Z28" s="349">
        <v>467365</v>
      </c>
      <c r="AA28" s="349">
        <v>124142</v>
      </c>
      <c r="AB28" s="349">
        <v>1136</v>
      </c>
      <c r="AC28" s="349">
        <v>826213</v>
      </c>
      <c r="AD28" s="349">
        <v>351127</v>
      </c>
      <c r="AE28" s="349">
        <v>293328</v>
      </c>
      <c r="AF28" s="349">
        <v>149448</v>
      </c>
      <c r="AG28" s="349">
        <v>2929559</v>
      </c>
      <c r="AH28" s="349">
        <v>1192384</v>
      </c>
      <c r="AI28" s="349">
        <v>1881326</v>
      </c>
    </row>
    <row r="29" spans="1:35">
      <c r="A29" s="271">
        <v>43945</v>
      </c>
      <c r="B29">
        <v>606.41</v>
      </c>
      <c r="C29">
        <v>7.9450000000000003</v>
      </c>
      <c r="D29">
        <v>11.38</v>
      </c>
      <c r="E29">
        <v>13.6</v>
      </c>
      <c r="F29">
        <v>6.03</v>
      </c>
      <c r="G29">
        <v>12.08</v>
      </c>
      <c r="H29">
        <v>6.59</v>
      </c>
      <c r="I29">
        <v>21.2</v>
      </c>
      <c r="J29">
        <v>1.335</v>
      </c>
      <c r="K29">
        <v>22.01</v>
      </c>
      <c r="L29">
        <v>7.96</v>
      </c>
      <c r="M29">
        <v>16.940000000000001</v>
      </c>
      <c r="N29">
        <v>7.52</v>
      </c>
      <c r="O29">
        <v>0.33779999999999999</v>
      </c>
      <c r="P29">
        <v>4.76</v>
      </c>
      <c r="Q29">
        <v>8.24</v>
      </c>
      <c r="S29" s="271">
        <v>43945</v>
      </c>
      <c r="T29" s="349">
        <v>44701583.350000001</v>
      </c>
      <c r="U29" s="349">
        <v>4117479</v>
      </c>
      <c r="V29" s="349">
        <v>7261007</v>
      </c>
      <c r="W29" s="349">
        <v>2453880</v>
      </c>
      <c r="X29" s="349">
        <v>452105</v>
      </c>
      <c r="Y29" s="349">
        <v>984694</v>
      </c>
      <c r="Z29" s="349">
        <v>165969</v>
      </c>
      <c r="AA29" s="349">
        <v>38252</v>
      </c>
      <c r="AB29" s="349">
        <v>909</v>
      </c>
      <c r="AC29" s="349">
        <v>435913</v>
      </c>
      <c r="AD29" s="349">
        <v>117658</v>
      </c>
      <c r="AE29" s="349">
        <v>62442</v>
      </c>
      <c r="AF29" s="349">
        <v>81642</v>
      </c>
      <c r="AG29" s="349">
        <v>3624937</v>
      </c>
      <c r="AH29" s="349">
        <v>294654</v>
      </c>
      <c r="AI29" s="349">
        <v>979036</v>
      </c>
    </row>
    <row r="30" spans="1:35">
      <c r="A30" s="271">
        <v>43948</v>
      </c>
      <c r="B30">
        <v>626.16</v>
      </c>
      <c r="C30">
        <v>7.96</v>
      </c>
      <c r="D30">
        <v>11.7</v>
      </c>
      <c r="E30">
        <v>13.75</v>
      </c>
      <c r="F30">
        <v>6.25</v>
      </c>
      <c r="G30">
        <v>12.64</v>
      </c>
      <c r="H30">
        <v>6.65</v>
      </c>
      <c r="I30">
        <v>21</v>
      </c>
      <c r="J30">
        <v>1.335</v>
      </c>
      <c r="K30">
        <v>23</v>
      </c>
      <c r="L30">
        <v>7.96</v>
      </c>
      <c r="M30">
        <v>17.3</v>
      </c>
      <c r="N30">
        <v>7.7</v>
      </c>
      <c r="O30">
        <v>0.35599999999999998</v>
      </c>
      <c r="P30">
        <v>4.8</v>
      </c>
      <c r="Q30">
        <v>8.42</v>
      </c>
      <c r="S30" s="271">
        <v>43948</v>
      </c>
      <c r="T30" s="349">
        <v>44186382.280000001</v>
      </c>
      <c r="U30" s="349">
        <v>5645867</v>
      </c>
      <c r="V30" s="349">
        <v>4383140</v>
      </c>
      <c r="W30" s="349">
        <v>1443737</v>
      </c>
      <c r="X30" s="349">
        <v>1257323</v>
      </c>
      <c r="Y30" s="349">
        <v>1855187</v>
      </c>
      <c r="Z30" s="349">
        <v>373367</v>
      </c>
      <c r="AA30" s="349">
        <v>180724</v>
      </c>
      <c r="AB30" s="349">
        <v>105</v>
      </c>
      <c r="AC30" s="349">
        <v>634958</v>
      </c>
      <c r="AD30" s="349">
        <v>387687</v>
      </c>
      <c r="AE30" s="349">
        <v>152766</v>
      </c>
      <c r="AF30" s="349">
        <v>74390</v>
      </c>
      <c r="AG30" s="349">
        <v>3409693</v>
      </c>
      <c r="AH30" s="349">
        <v>1075469</v>
      </c>
      <c r="AI30" s="349">
        <v>1481720</v>
      </c>
    </row>
    <row r="31" spans="1:35">
      <c r="A31" s="271">
        <v>43949</v>
      </c>
      <c r="B31">
        <v>634.96</v>
      </c>
      <c r="C31">
        <v>8.0399999999999991</v>
      </c>
      <c r="D31">
        <v>11.84</v>
      </c>
      <c r="E31">
        <v>14.12</v>
      </c>
      <c r="F31">
        <v>6.11</v>
      </c>
      <c r="G31">
        <v>12.98</v>
      </c>
      <c r="H31">
        <v>6.55</v>
      </c>
      <c r="I31">
        <v>21</v>
      </c>
      <c r="J31">
        <v>1.335</v>
      </c>
      <c r="K31">
        <v>23.82</v>
      </c>
      <c r="L31">
        <v>8</v>
      </c>
      <c r="M31">
        <v>17.32</v>
      </c>
      <c r="N31">
        <v>7.86</v>
      </c>
      <c r="O31">
        <v>0.37509999999999999</v>
      </c>
      <c r="P31">
        <v>4.7</v>
      </c>
      <c r="Q31">
        <v>8.33</v>
      </c>
      <c r="S31" s="271">
        <v>43949</v>
      </c>
      <c r="T31" s="349">
        <v>56237494.670000002</v>
      </c>
      <c r="U31" s="349">
        <v>6716621</v>
      </c>
      <c r="V31" s="349">
        <v>6990243</v>
      </c>
      <c r="W31" s="349">
        <v>2636932</v>
      </c>
      <c r="X31" s="349">
        <v>943874</v>
      </c>
      <c r="Y31" s="349">
        <v>1556200</v>
      </c>
      <c r="Z31" s="349">
        <v>176588</v>
      </c>
      <c r="AA31" s="349">
        <v>34971</v>
      </c>
      <c r="AB31" s="349">
        <v>667</v>
      </c>
      <c r="AC31" s="349">
        <v>1968968</v>
      </c>
      <c r="AD31" s="349">
        <v>231089</v>
      </c>
      <c r="AE31" s="349">
        <v>227881</v>
      </c>
      <c r="AF31" s="349">
        <v>280423</v>
      </c>
      <c r="AG31" s="349">
        <v>4570804</v>
      </c>
      <c r="AH31" s="349">
        <v>743720</v>
      </c>
      <c r="AI31" s="349">
        <v>409085</v>
      </c>
    </row>
    <row r="32" spans="1:35">
      <c r="A32" s="271">
        <v>43950</v>
      </c>
      <c r="B32">
        <v>641.94000000000005</v>
      </c>
      <c r="C32">
        <v>8.15</v>
      </c>
      <c r="D32">
        <v>12.16</v>
      </c>
      <c r="E32">
        <v>14.29</v>
      </c>
      <c r="F32">
        <v>6.05</v>
      </c>
      <c r="G32">
        <v>13.18</v>
      </c>
      <c r="H32">
        <v>6.61</v>
      </c>
      <c r="I32">
        <v>21</v>
      </c>
      <c r="J32">
        <v>1.335</v>
      </c>
      <c r="K32">
        <v>23.74</v>
      </c>
      <c r="L32">
        <v>7.9</v>
      </c>
      <c r="M32">
        <v>17.28</v>
      </c>
      <c r="N32">
        <v>7.66</v>
      </c>
      <c r="O32">
        <v>0.39150000000000001</v>
      </c>
      <c r="P32">
        <v>4.7350000000000003</v>
      </c>
      <c r="Q32">
        <v>8.49</v>
      </c>
      <c r="S32" s="271">
        <v>43950</v>
      </c>
      <c r="T32" s="349">
        <v>48210336.170000002</v>
      </c>
      <c r="U32" s="349">
        <v>4141503</v>
      </c>
      <c r="V32" s="349">
        <v>5352361</v>
      </c>
      <c r="W32" s="349">
        <v>2420493</v>
      </c>
      <c r="X32" s="349">
        <v>862641</v>
      </c>
      <c r="Y32" s="349">
        <v>859537</v>
      </c>
      <c r="Z32" s="349">
        <v>234932</v>
      </c>
      <c r="AA32" s="349">
        <v>37673</v>
      </c>
      <c r="AB32" s="349">
        <v>400</v>
      </c>
      <c r="AC32" s="349">
        <v>1026671</v>
      </c>
      <c r="AD32" s="349">
        <v>176283</v>
      </c>
      <c r="AE32" s="349">
        <v>119221</v>
      </c>
      <c r="AF32" s="349">
        <v>128395</v>
      </c>
      <c r="AG32" s="349">
        <v>9521035</v>
      </c>
      <c r="AH32" s="349">
        <v>244968</v>
      </c>
      <c r="AI32" s="349">
        <v>1268817</v>
      </c>
    </row>
    <row r="33" spans="1:35">
      <c r="A33" s="271">
        <v>43951</v>
      </c>
      <c r="B33" s="162">
        <v>628.25</v>
      </c>
      <c r="C33">
        <v>8.1999999999999993</v>
      </c>
      <c r="D33">
        <v>12.1</v>
      </c>
      <c r="E33">
        <v>14.29</v>
      </c>
      <c r="F33">
        <v>6</v>
      </c>
      <c r="G33">
        <v>12.401999999999999</v>
      </c>
      <c r="H33">
        <v>6.78</v>
      </c>
      <c r="I33">
        <v>20.9</v>
      </c>
      <c r="J33">
        <v>1.32</v>
      </c>
      <c r="K33">
        <v>23.27</v>
      </c>
      <c r="L33">
        <v>7.8</v>
      </c>
      <c r="M33" s="162">
        <v>17.100000000000001</v>
      </c>
      <c r="N33">
        <v>7.56</v>
      </c>
      <c r="O33">
        <v>0.36799999999999999</v>
      </c>
      <c r="P33">
        <v>4.6950000000000003</v>
      </c>
      <c r="Q33" s="162">
        <v>8.5299999999999994</v>
      </c>
      <c r="S33" s="271">
        <v>43951</v>
      </c>
      <c r="T33" s="349">
        <v>56103043.57</v>
      </c>
      <c r="U33" s="349">
        <v>8155887</v>
      </c>
      <c r="V33" s="349">
        <v>5412392</v>
      </c>
      <c r="W33" s="349">
        <v>2976146</v>
      </c>
      <c r="X33" s="349">
        <v>1280599</v>
      </c>
      <c r="Y33" s="349">
        <v>988223</v>
      </c>
      <c r="Z33" s="349">
        <v>622180</v>
      </c>
      <c r="AA33" s="349">
        <v>21549</v>
      </c>
      <c r="AB33" s="349">
        <v>321</v>
      </c>
      <c r="AC33" s="349">
        <v>830076</v>
      </c>
      <c r="AD33" s="349">
        <v>275320</v>
      </c>
      <c r="AE33" s="349">
        <v>143169</v>
      </c>
      <c r="AF33" s="349">
        <v>54933</v>
      </c>
      <c r="AG33" s="349">
        <v>7686378</v>
      </c>
      <c r="AH33" s="349">
        <v>762345</v>
      </c>
      <c r="AI33" s="349">
        <v>905798</v>
      </c>
    </row>
    <row r="34" spans="1:35">
      <c r="A34" s="271">
        <v>43955</v>
      </c>
      <c r="B34" s="162">
        <v>602.36</v>
      </c>
      <c r="C34">
        <v>8.0850000000000009</v>
      </c>
      <c r="D34">
        <v>12.15</v>
      </c>
      <c r="E34">
        <v>13.93</v>
      </c>
      <c r="F34">
        <v>5.58</v>
      </c>
      <c r="G34">
        <v>12.265000000000001</v>
      </c>
      <c r="H34">
        <v>6.35</v>
      </c>
      <c r="I34">
        <v>20.2</v>
      </c>
      <c r="J34">
        <v>1.31</v>
      </c>
      <c r="K34">
        <v>22.24</v>
      </c>
      <c r="L34">
        <v>7.8</v>
      </c>
      <c r="M34" s="162">
        <v>16.8</v>
      </c>
      <c r="N34">
        <v>7.66</v>
      </c>
      <c r="O34">
        <v>0.33900000000000002</v>
      </c>
      <c r="P34">
        <v>4.05</v>
      </c>
      <c r="Q34" s="162">
        <v>8.25</v>
      </c>
      <c r="S34" s="271">
        <v>43955</v>
      </c>
      <c r="T34" s="349">
        <v>47557850.109999999</v>
      </c>
      <c r="U34" s="349">
        <v>4844090</v>
      </c>
      <c r="V34" s="349">
        <v>4994064</v>
      </c>
      <c r="W34" s="349">
        <v>2423876</v>
      </c>
      <c r="X34" s="349">
        <v>762129</v>
      </c>
      <c r="Y34" s="349">
        <v>582499</v>
      </c>
      <c r="Z34" s="349">
        <v>806661</v>
      </c>
      <c r="AA34" s="349">
        <v>27821</v>
      </c>
      <c r="AB34" s="349">
        <v>242</v>
      </c>
      <c r="AC34" s="349">
        <v>1214087</v>
      </c>
      <c r="AD34" s="349">
        <v>381441</v>
      </c>
      <c r="AE34" s="349">
        <v>123812</v>
      </c>
      <c r="AF34" s="349">
        <v>114301</v>
      </c>
      <c r="AG34" s="349">
        <v>4072740</v>
      </c>
      <c r="AH34" s="349">
        <v>1377199</v>
      </c>
      <c r="AI34" s="349">
        <v>661134</v>
      </c>
    </row>
    <row r="35" spans="1:35">
      <c r="A35" s="271">
        <v>43956</v>
      </c>
      <c r="B35" s="162">
        <v>610.39</v>
      </c>
      <c r="C35">
        <v>8.06</v>
      </c>
      <c r="D35">
        <v>11.84</v>
      </c>
      <c r="E35">
        <v>14.2</v>
      </c>
      <c r="F35">
        <v>5.51</v>
      </c>
      <c r="G35">
        <v>12.304</v>
      </c>
      <c r="H35">
        <v>6.52</v>
      </c>
      <c r="I35">
        <v>20.3</v>
      </c>
      <c r="J35">
        <v>1.31</v>
      </c>
      <c r="K35">
        <v>22.4</v>
      </c>
      <c r="L35">
        <v>8.39</v>
      </c>
      <c r="M35" s="162">
        <v>16.84</v>
      </c>
      <c r="N35">
        <v>7.56</v>
      </c>
      <c r="O35">
        <v>0.35</v>
      </c>
      <c r="P35">
        <v>3.9649999999999999</v>
      </c>
      <c r="Q35" s="162">
        <v>8.34</v>
      </c>
      <c r="S35" s="271">
        <v>43956</v>
      </c>
      <c r="T35" s="349">
        <v>32310716.25</v>
      </c>
      <c r="U35" s="349">
        <v>2667113</v>
      </c>
      <c r="V35" s="349">
        <v>6599075</v>
      </c>
      <c r="W35" s="349">
        <v>3110081</v>
      </c>
      <c r="X35" s="349">
        <v>900705</v>
      </c>
      <c r="Y35" s="349">
        <v>572464</v>
      </c>
      <c r="Z35" s="349">
        <v>217210</v>
      </c>
      <c r="AA35" s="349">
        <v>5759</v>
      </c>
      <c r="AB35" s="349">
        <v>213</v>
      </c>
      <c r="AC35" s="349">
        <v>512186</v>
      </c>
      <c r="AD35" s="349">
        <v>665601</v>
      </c>
      <c r="AE35" s="349">
        <v>119945</v>
      </c>
      <c r="AF35" s="349">
        <v>326890</v>
      </c>
      <c r="AG35" s="349">
        <v>2367333</v>
      </c>
      <c r="AH35" s="349">
        <v>1648161</v>
      </c>
      <c r="AI35" s="349">
        <v>423693</v>
      </c>
    </row>
    <row r="36" spans="1:35">
      <c r="A36" s="271">
        <v>43957</v>
      </c>
      <c r="B36" s="162">
        <v>600.66999999999996</v>
      </c>
      <c r="C36">
        <v>7.8949999999999996</v>
      </c>
      <c r="D36">
        <v>11.78</v>
      </c>
      <c r="E36">
        <v>14.18</v>
      </c>
      <c r="F36">
        <v>5.55</v>
      </c>
      <c r="G36">
        <v>12.186</v>
      </c>
      <c r="H36">
        <v>6.54</v>
      </c>
      <c r="I36">
        <v>20.2</v>
      </c>
      <c r="J36">
        <v>1.31</v>
      </c>
      <c r="K36">
        <v>22.3</v>
      </c>
      <c r="L36">
        <v>8.3000000000000007</v>
      </c>
      <c r="M36" s="162">
        <v>16.5</v>
      </c>
      <c r="N36">
        <v>7.58</v>
      </c>
      <c r="O36">
        <v>0.33500000000000002</v>
      </c>
      <c r="P36">
        <v>3.89</v>
      </c>
      <c r="Q36" s="162">
        <v>8.26</v>
      </c>
      <c r="S36" s="271">
        <v>43957</v>
      </c>
      <c r="T36" s="349">
        <v>33533772.98</v>
      </c>
      <c r="U36" s="349">
        <v>3761594</v>
      </c>
      <c r="V36" s="349">
        <v>6801798</v>
      </c>
      <c r="W36" s="349">
        <v>10404782</v>
      </c>
      <c r="X36" s="349">
        <v>691600</v>
      </c>
      <c r="Y36" s="349">
        <v>360090</v>
      </c>
      <c r="Z36" s="349">
        <v>282237</v>
      </c>
      <c r="AA36" s="349">
        <v>29500</v>
      </c>
      <c r="AB36" s="349">
        <v>0</v>
      </c>
      <c r="AC36" s="349">
        <v>3621362</v>
      </c>
      <c r="AD36" s="349">
        <v>402194</v>
      </c>
      <c r="AE36" s="349">
        <v>26783</v>
      </c>
      <c r="AF36" s="349">
        <v>65725</v>
      </c>
      <c r="AG36" s="349">
        <v>2230610</v>
      </c>
      <c r="AH36" s="349">
        <v>717284</v>
      </c>
      <c r="AI36" s="349">
        <v>426081</v>
      </c>
    </row>
    <row r="37" spans="1:35">
      <c r="A37" s="271">
        <v>43958</v>
      </c>
      <c r="B37" s="162">
        <v>602.47</v>
      </c>
      <c r="C37">
        <v>7.8849999999999998</v>
      </c>
      <c r="D37">
        <v>11.65</v>
      </c>
      <c r="E37">
        <v>14.19</v>
      </c>
      <c r="F37">
        <v>5.99</v>
      </c>
      <c r="G37">
        <v>11.930999999999999</v>
      </c>
      <c r="H37">
        <v>6.7</v>
      </c>
      <c r="I37">
        <v>20</v>
      </c>
      <c r="J37">
        <v>1.31</v>
      </c>
      <c r="K37">
        <v>21.78</v>
      </c>
      <c r="L37">
        <v>8.4</v>
      </c>
      <c r="M37" s="162">
        <v>16.68</v>
      </c>
      <c r="N37">
        <v>7.84</v>
      </c>
      <c r="O37">
        <v>0.33500000000000002</v>
      </c>
      <c r="P37">
        <v>3.99</v>
      </c>
      <c r="Q37" s="162">
        <v>8.3000000000000007</v>
      </c>
      <c r="S37" s="271">
        <v>43958</v>
      </c>
      <c r="T37" s="349">
        <v>34265925.579999998</v>
      </c>
      <c r="U37" s="349">
        <v>6979430</v>
      </c>
      <c r="V37" s="349">
        <v>8779387</v>
      </c>
      <c r="W37" s="349">
        <v>1531547</v>
      </c>
      <c r="X37" s="349">
        <v>1500007</v>
      </c>
      <c r="Y37" s="349">
        <v>953669</v>
      </c>
      <c r="Z37" s="349">
        <v>301003</v>
      </c>
      <c r="AA37" s="349">
        <v>4062</v>
      </c>
      <c r="AB37" s="349">
        <v>598</v>
      </c>
      <c r="AC37" s="349">
        <v>2269822</v>
      </c>
      <c r="AD37" s="349">
        <v>530536</v>
      </c>
      <c r="AE37" s="349">
        <v>74055</v>
      </c>
      <c r="AF37" s="349">
        <v>78460</v>
      </c>
      <c r="AG37" s="349">
        <v>2182097</v>
      </c>
      <c r="AH37" s="349">
        <v>361213</v>
      </c>
      <c r="AI37" s="349">
        <v>427582</v>
      </c>
    </row>
    <row r="38" spans="1:35">
      <c r="A38" s="271">
        <v>43959</v>
      </c>
      <c r="B38" s="162">
        <v>604.04999999999995</v>
      </c>
      <c r="C38">
        <v>7.95</v>
      </c>
      <c r="D38">
        <v>11.42</v>
      </c>
      <c r="E38">
        <v>14.29</v>
      </c>
      <c r="F38">
        <v>6.02</v>
      </c>
      <c r="G38">
        <v>11.42</v>
      </c>
      <c r="H38">
        <v>6.78</v>
      </c>
      <c r="I38">
        <v>20.3</v>
      </c>
      <c r="J38">
        <v>1.31</v>
      </c>
      <c r="K38">
        <v>21.71</v>
      </c>
      <c r="L38">
        <v>8.49</v>
      </c>
      <c r="M38" s="162">
        <v>16.82</v>
      </c>
      <c r="N38">
        <v>8</v>
      </c>
      <c r="O38">
        <v>0.33200000000000002</v>
      </c>
      <c r="P38">
        <v>4.0999999999999996</v>
      </c>
      <c r="Q38" s="162">
        <v>8.31</v>
      </c>
      <c r="S38" s="271">
        <v>43959</v>
      </c>
      <c r="T38" s="349">
        <v>29351060.77</v>
      </c>
      <c r="U38" s="349">
        <v>1998338</v>
      </c>
      <c r="V38" s="349">
        <v>6691170</v>
      </c>
      <c r="W38" s="349">
        <v>1712379</v>
      </c>
      <c r="X38" s="349">
        <v>438890</v>
      </c>
      <c r="Y38" s="349">
        <v>1258996</v>
      </c>
      <c r="Z38" s="349">
        <v>369424</v>
      </c>
      <c r="AA38" s="349">
        <v>2334</v>
      </c>
      <c r="AB38" s="349">
        <v>250</v>
      </c>
      <c r="AC38" s="349">
        <v>403690</v>
      </c>
      <c r="AD38" s="349">
        <v>234583</v>
      </c>
      <c r="AE38" s="349">
        <v>160879</v>
      </c>
      <c r="AF38" s="349">
        <v>152420</v>
      </c>
      <c r="AG38" s="349">
        <v>1892551</v>
      </c>
      <c r="AH38" s="349">
        <v>532424</v>
      </c>
      <c r="AI38" s="349">
        <v>406344</v>
      </c>
    </row>
    <row r="39" spans="1:35">
      <c r="A39" s="271">
        <v>43962</v>
      </c>
      <c r="B39" s="162">
        <v>596.34</v>
      </c>
      <c r="C39">
        <v>7.85</v>
      </c>
      <c r="D39">
        <v>11.18</v>
      </c>
      <c r="E39">
        <v>14.3</v>
      </c>
      <c r="F39">
        <v>5.83</v>
      </c>
      <c r="G39">
        <v>11.538</v>
      </c>
      <c r="H39">
        <v>6.62</v>
      </c>
      <c r="I39">
        <v>20.5</v>
      </c>
      <c r="J39">
        <v>1.31</v>
      </c>
      <c r="K39">
        <v>21.23</v>
      </c>
      <c r="L39">
        <v>8.1999999999999993</v>
      </c>
      <c r="M39" s="162">
        <v>16.64</v>
      </c>
      <c r="N39">
        <v>8</v>
      </c>
      <c r="O39">
        <v>0.33200000000000002</v>
      </c>
      <c r="P39">
        <v>4.05</v>
      </c>
      <c r="Q39" s="162">
        <v>8.3699999999999992</v>
      </c>
      <c r="S39" s="271">
        <v>43962</v>
      </c>
      <c r="T39" s="349">
        <v>22796215.210000001</v>
      </c>
      <c r="U39" s="349">
        <v>2286073</v>
      </c>
      <c r="V39" s="349">
        <v>3437839</v>
      </c>
      <c r="W39" s="349">
        <v>1094369</v>
      </c>
      <c r="X39" s="349">
        <v>353192</v>
      </c>
      <c r="Y39" s="349">
        <v>489961</v>
      </c>
      <c r="Z39" s="349">
        <v>157576</v>
      </c>
      <c r="AA39" s="349">
        <v>41</v>
      </c>
      <c r="AB39" s="349">
        <v>1</v>
      </c>
      <c r="AC39" s="349">
        <v>1111678</v>
      </c>
      <c r="AD39" s="349">
        <v>207113</v>
      </c>
      <c r="AE39" s="349">
        <v>20195</v>
      </c>
      <c r="AF39" s="349">
        <v>80901</v>
      </c>
      <c r="AG39" s="349">
        <v>1318186</v>
      </c>
      <c r="AH39" s="349">
        <v>817628</v>
      </c>
      <c r="AI39" s="349">
        <v>198883</v>
      </c>
    </row>
    <row r="40" spans="1:35">
      <c r="A40" s="271">
        <v>43963</v>
      </c>
      <c r="B40" s="162">
        <v>596.65</v>
      </c>
      <c r="C40">
        <v>7.85</v>
      </c>
      <c r="D40">
        <v>11.28</v>
      </c>
      <c r="E40">
        <v>14.29</v>
      </c>
      <c r="F40">
        <v>5.85</v>
      </c>
      <c r="G40">
        <v>11.4</v>
      </c>
      <c r="H40">
        <v>6.54</v>
      </c>
      <c r="I40">
        <v>20.3</v>
      </c>
      <c r="J40">
        <v>1.33</v>
      </c>
      <c r="K40">
        <v>21.29</v>
      </c>
      <c r="L40">
        <v>8.5</v>
      </c>
      <c r="M40" s="162">
        <v>16.32</v>
      </c>
      <c r="N40">
        <v>7.94</v>
      </c>
      <c r="O40">
        <v>0.33400000000000002</v>
      </c>
      <c r="P40">
        <v>4.12</v>
      </c>
      <c r="Q40" s="162">
        <v>8.35</v>
      </c>
      <c r="S40" s="271">
        <v>43963</v>
      </c>
      <c r="T40" s="349">
        <v>29930791.550000001</v>
      </c>
      <c r="U40" s="349">
        <v>2057914</v>
      </c>
      <c r="V40" s="349">
        <v>8550905</v>
      </c>
      <c r="W40" s="349">
        <v>1277778</v>
      </c>
      <c r="X40" s="349">
        <v>352943</v>
      </c>
      <c r="Y40" s="349">
        <v>489065</v>
      </c>
      <c r="Z40" s="349">
        <v>186186</v>
      </c>
      <c r="AA40" s="349">
        <v>1258</v>
      </c>
      <c r="AB40" s="349">
        <v>945</v>
      </c>
      <c r="AC40" s="349">
        <v>1261597</v>
      </c>
      <c r="AD40" s="349">
        <v>277188</v>
      </c>
      <c r="AE40" s="349">
        <v>465989</v>
      </c>
      <c r="AF40" s="349">
        <v>332328</v>
      </c>
      <c r="AG40" s="349">
        <v>2162465</v>
      </c>
      <c r="AH40" s="349">
        <v>481512</v>
      </c>
      <c r="AI40" s="349">
        <v>329092</v>
      </c>
    </row>
    <row r="41" spans="1:35">
      <c r="A41" s="271">
        <v>43964</v>
      </c>
      <c r="B41" s="162">
        <v>590.84</v>
      </c>
      <c r="C41">
        <v>7.85</v>
      </c>
      <c r="D41">
        <v>11.7</v>
      </c>
      <c r="E41">
        <v>14.29</v>
      </c>
      <c r="F41">
        <v>5.68</v>
      </c>
      <c r="G41">
        <v>10.92</v>
      </c>
      <c r="H41">
        <v>6.65</v>
      </c>
      <c r="I41">
        <v>20</v>
      </c>
      <c r="J41">
        <v>1.3049999999999999</v>
      </c>
      <c r="K41">
        <v>21.24</v>
      </c>
      <c r="L41">
        <v>8.6199999999999992</v>
      </c>
      <c r="M41" s="162">
        <v>16.2</v>
      </c>
      <c r="N41">
        <v>7.78</v>
      </c>
      <c r="O41">
        <v>0.3</v>
      </c>
      <c r="P41">
        <v>4</v>
      </c>
      <c r="Q41" s="162">
        <v>8.4</v>
      </c>
      <c r="S41" s="271">
        <v>43964</v>
      </c>
      <c r="T41" s="349">
        <v>57389982.880000003</v>
      </c>
      <c r="U41" s="349">
        <v>4574656</v>
      </c>
      <c r="V41" s="349">
        <v>6209208</v>
      </c>
      <c r="W41" s="349">
        <v>1162022</v>
      </c>
      <c r="X41" s="349">
        <v>548327</v>
      </c>
      <c r="Y41" s="349">
        <v>1023184</v>
      </c>
      <c r="Z41" s="349">
        <v>218864</v>
      </c>
      <c r="AA41" s="349">
        <v>63172</v>
      </c>
      <c r="AB41" s="349">
        <v>394</v>
      </c>
      <c r="AC41" s="349">
        <v>1947491</v>
      </c>
      <c r="AD41" s="349">
        <v>65775</v>
      </c>
      <c r="AE41" s="349">
        <v>235525</v>
      </c>
      <c r="AF41" s="349">
        <v>128533</v>
      </c>
      <c r="AG41" s="349">
        <v>10234098</v>
      </c>
      <c r="AH41" s="349">
        <v>1733650</v>
      </c>
      <c r="AI41" s="349">
        <v>594206</v>
      </c>
    </row>
    <row r="42" spans="1:35">
      <c r="A42" s="271">
        <v>43965</v>
      </c>
      <c r="B42" s="162">
        <v>588.12</v>
      </c>
      <c r="C42">
        <v>7.8</v>
      </c>
      <c r="D42">
        <v>11.91</v>
      </c>
      <c r="E42">
        <v>14.68</v>
      </c>
      <c r="F42">
        <v>5.85</v>
      </c>
      <c r="G42">
        <v>10.84</v>
      </c>
      <c r="H42">
        <v>6.58</v>
      </c>
      <c r="I42">
        <v>20.100000000000001</v>
      </c>
      <c r="J42">
        <v>1.3049999999999999</v>
      </c>
      <c r="K42">
        <v>20.21</v>
      </c>
      <c r="L42">
        <v>8.2799999999999994</v>
      </c>
      <c r="M42" s="162">
        <v>16.2</v>
      </c>
      <c r="N42">
        <v>7.44</v>
      </c>
      <c r="O42">
        <v>0.28299999999999997</v>
      </c>
      <c r="P42">
        <v>3.94</v>
      </c>
      <c r="Q42" s="162">
        <v>8.56</v>
      </c>
      <c r="S42" s="271">
        <v>43965</v>
      </c>
      <c r="T42" s="349">
        <v>42755156.710000001</v>
      </c>
      <c r="U42" s="349">
        <v>2281742</v>
      </c>
      <c r="V42" s="349">
        <v>5542194</v>
      </c>
      <c r="W42" s="349">
        <v>719588</v>
      </c>
      <c r="X42" s="349">
        <v>1085981</v>
      </c>
      <c r="Y42" s="349">
        <v>1026690</v>
      </c>
      <c r="Z42" s="349">
        <v>192331</v>
      </c>
      <c r="AA42" s="349">
        <v>2430</v>
      </c>
      <c r="AB42" s="349">
        <v>0</v>
      </c>
      <c r="AC42" s="349">
        <v>3982442</v>
      </c>
      <c r="AD42" s="349">
        <v>589527</v>
      </c>
      <c r="AE42" s="349">
        <v>123483</v>
      </c>
      <c r="AF42" s="349">
        <v>416820</v>
      </c>
      <c r="AG42" s="349">
        <v>6454538</v>
      </c>
      <c r="AH42" s="349">
        <v>886846</v>
      </c>
      <c r="AI42" s="349">
        <v>844890</v>
      </c>
    </row>
    <row r="43" spans="1:35">
      <c r="A43" s="271">
        <v>43966</v>
      </c>
      <c r="B43" s="162">
        <v>593.26</v>
      </c>
      <c r="C43">
        <v>7.92</v>
      </c>
      <c r="D43">
        <v>12.07</v>
      </c>
      <c r="E43">
        <v>14.67</v>
      </c>
      <c r="F43">
        <v>6</v>
      </c>
      <c r="G43">
        <v>10.7</v>
      </c>
      <c r="H43">
        <v>6.65</v>
      </c>
      <c r="I43">
        <v>20.100000000000001</v>
      </c>
      <c r="J43">
        <v>1.31</v>
      </c>
      <c r="K43">
        <v>20.65</v>
      </c>
      <c r="L43">
        <v>8.27</v>
      </c>
      <c r="M43" s="162">
        <v>16.3</v>
      </c>
      <c r="N43">
        <v>7.74</v>
      </c>
      <c r="O43">
        <v>0.28699999999999998</v>
      </c>
      <c r="P43">
        <v>3.89</v>
      </c>
      <c r="Q43" s="162">
        <v>8.57</v>
      </c>
      <c r="S43" s="271">
        <v>43966</v>
      </c>
      <c r="T43" s="349">
        <v>40844072.18</v>
      </c>
      <c r="U43" s="349">
        <v>3592441</v>
      </c>
      <c r="V43" s="349">
        <v>10984445</v>
      </c>
      <c r="W43" s="349">
        <v>1315498</v>
      </c>
      <c r="X43" s="349">
        <v>996455</v>
      </c>
      <c r="Y43" s="349">
        <v>838165</v>
      </c>
      <c r="Z43" s="349">
        <v>284239</v>
      </c>
      <c r="AA43" s="349">
        <v>3436</v>
      </c>
      <c r="AB43" s="349">
        <v>850</v>
      </c>
      <c r="AC43" s="349">
        <v>1356419</v>
      </c>
      <c r="AD43" s="349">
        <v>141833</v>
      </c>
      <c r="AE43" s="349">
        <v>222155</v>
      </c>
      <c r="AF43" s="349">
        <v>373068</v>
      </c>
      <c r="AG43" s="349">
        <v>9088506</v>
      </c>
      <c r="AH43" s="349">
        <v>434897</v>
      </c>
      <c r="AI43" s="349">
        <v>1068811</v>
      </c>
    </row>
    <row r="44" spans="1:35">
      <c r="A44" s="271">
        <v>43969</v>
      </c>
      <c r="B44" s="162">
        <v>609.52</v>
      </c>
      <c r="C44">
        <v>8.08</v>
      </c>
      <c r="D44">
        <v>12.3</v>
      </c>
      <c r="E44">
        <v>15.1</v>
      </c>
      <c r="F44">
        <v>6.18</v>
      </c>
      <c r="G44">
        <v>10.84</v>
      </c>
      <c r="H44">
        <v>6.85</v>
      </c>
      <c r="I44">
        <v>20.2</v>
      </c>
      <c r="J44">
        <v>1.3049999999999999</v>
      </c>
      <c r="K44">
        <v>21.36</v>
      </c>
      <c r="L44">
        <v>8.42</v>
      </c>
      <c r="M44" s="162">
        <v>16.7</v>
      </c>
      <c r="N44">
        <v>7.86</v>
      </c>
      <c r="O44">
        <v>0.32</v>
      </c>
      <c r="P44">
        <v>3.9849999999999999</v>
      </c>
      <c r="Q44" s="162">
        <v>8.69</v>
      </c>
      <c r="S44" s="271">
        <v>43969</v>
      </c>
      <c r="T44" s="349">
        <v>32285194.670000002</v>
      </c>
      <c r="U44" s="349">
        <v>1911557</v>
      </c>
      <c r="V44" s="349">
        <v>4541760</v>
      </c>
      <c r="W44" s="349">
        <v>1322516</v>
      </c>
      <c r="X44" s="349">
        <v>692823</v>
      </c>
      <c r="Y44" s="349">
        <v>1045889</v>
      </c>
      <c r="Z44" s="349">
        <v>193724</v>
      </c>
      <c r="AA44" s="349">
        <v>29492</v>
      </c>
      <c r="AB44" s="349">
        <v>575</v>
      </c>
      <c r="AC44" s="349">
        <v>1528826</v>
      </c>
      <c r="AD44" s="349">
        <v>90035</v>
      </c>
      <c r="AE44" s="349">
        <v>225986</v>
      </c>
      <c r="AF44" s="349">
        <v>49343</v>
      </c>
      <c r="AG44" s="349">
        <v>2880447</v>
      </c>
      <c r="AH44" s="349">
        <v>660097</v>
      </c>
      <c r="AI44" s="349">
        <v>519653</v>
      </c>
    </row>
    <row r="45" spans="1:35">
      <c r="A45" s="271">
        <v>43970</v>
      </c>
      <c r="B45">
        <v>601.16</v>
      </c>
      <c r="C45">
        <v>7.95</v>
      </c>
      <c r="D45">
        <v>12.25</v>
      </c>
      <c r="E45">
        <v>15.2</v>
      </c>
      <c r="F45">
        <v>6</v>
      </c>
      <c r="G45">
        <v>10.4</v>
      </c>
      <c r="H45">
        <v>6.88</v>
      </c>
      <c r="I45">
        <v>20.2</v>
      </c>
      <c r="J45">
        <v>1.3049999999999999</v>
      </c>
      <c r="K45">
        <v>20.62</v>
      </c>
      <c r="L45">
        <v>8.4</v>
      </c>
      <c r="M45">
        <v>16.64</v>
      </c>
      <c r="N45">
        <v>7.76</v>
      </c>
      <c r="O45">
        <v>0.30599999999999999</v>
      </c>
      <c r="P45">
        <v>3.9</v>
      </c>
      <c r="Q45">
        <v>8.7899999999999991</v>
      </c>
      <c r="S45" s="271">
        <v>43970</v>
      </c>
      <c r="T45" s="349">
        <v>53923529.399999999</v>
      </c>
      <c r="U45" s="349">
        <v>3764248</v>
      </c>
      <c r="V45" s="349">
        <v>6549640</v>
      </c>
      <c r="W45" s="349">
        <v>3762738</v>
      </c>
      <c r="X45" s="349">
        <v>415651</v>
      </c>
      <c r="Y45" s="349">
        <v>2034002</v>
      </c>
      <c r="Z45" s="349">
        <v>181331</v>
      </c>
      <c r="AA45" s="349">
        <v>136251</v>
      </c>
      <c r="AB45" s="349">
        <v>0</v>
      </c>
      <c r="AC45" s="349">
        <v>1352615</v>
      </c>
      <c r="AD45" s="349">
        <v>186605</v>
      </c>
      <c r="AE45" s="349">
        <v>103818</v>
      </c>
      <c r="AF45" s="349">
        <v>51461</v>
      </c>
      <c r="AG45" s="349">
        <v>13728193</v>
      </c>
      <c r="AH45" s="349">
        <v>359010</v>
      </c>
      <c r="AI45" s="349">
        <v>746934</v>
      </c>
    </row>
    <row r="46" spans="1:35">
      <c r="A46" s="272">
        <v>43971</v>
      </c>
      <c r="B46">
        <v>610.52</v>
      </c>
      <c r="C46">
        <v>7.9</v>
      </c>
      <c r="D46">
        <v>12.3</v>
      </c>
      <c r="E46">
        <v>15.6</v>
      </c>
      <c r="F46">
        <v>6.15</v>
      </c>
      <c r="G46">
        <v>10.88</v>
      </c>
      <c r="H46">
        <v>6.8</v>
      </c>
      <c r="I46">
        <v>20.3</v>
      </c>
      <c r="J46">
        <v>1.3</v>
      </c>
      <c r="K46">
        <v>21</v>
      </c>
      <c r="L46">
        <v>8.2799999999999994</v>
      </c>
      <c r="M46">
        <v>16.8</v>
      </c>
      <c r="N46">
        <v>7.74</v>
      </c>
      <c r="O46">
        <v>0.308</v>
      </c>
      <c r="P46">
        <v>3.85</v>
      </c>
      <c r="Q46">
        <v>9.1999999999999993</v>
      </c>
      <c r="S46" s="272">
        <v>43971</v>
      </c>
      <c r="T46" s="349">
        <v>56368443.200000003</v>
      </c>
      <c r="U46" s="349">
        <v>5071916</v>
      </c>
      <c r="V46" s="349">
        <v>6237855</v>
      </c>
      <c r="W46" s="349">
        <v>1770458</v>
      </c>
      <c r="X46" s="349">
        <v>421628</v>
      </c>
      <c r="Y46" s="349">
        <v>1475464</v>
      </c>
      <c r="Z46" s="349">
        <v>267992</v>
      </c>
      <c r="AA46" s="349">
        <v>25171</v>
      </c>
      <c r="AB46" s="349">
        <v>0</v>
      </c>
      <c r="AC46" s="349">
        <v>2471466</v>
      </c>
      <c r="AD46" s="349">
        <v>127184</v>
      </c>
      <c r="AE46" s="349">
        <v>211545</v>
      </c>
      <c r="AF46" s="349">
        <v>44250</v>
      </c>
      <c r="AG46" s="349">
        <v>7698915</v>
      </c>
      <c r="AH46" s="349">
        <v>975175</v>
      </c>
      <c r="AI46" s="349">
        <v>1533982</v>
      </c>
    </row>
    <row r="47" spans="1:35">
      <c r="A47" s="44">
        <v>43972</v>
      </c>
      <c r="B47">
        <v>608.34</v>
      </c>
      <c r="C47">
        <v>7.9749999999999996</v>
      </c>
      <c r="D47">
        <v>12.29</v>
      </c>
      <c r="E47">
        <v>15.5</v>
      </c>
      <c r="F47">
        <v>6.12</v>
      </c>
      <c r="G47">
        <v>11.04</v>
      </c>
      <c r="H47">
        <v>6.85</v>
      </c>
      <c r="I47">
        <v>20.3</v>
      </c>
      <c r="J47">
        <v>1.3</v>
      </c>
      <c r="K47">
        <v>20.8</v>
      </c>
      <c r="L47">
        <v>8.36</v>
      </c>
      <c r="M47">
        <v>16.88</v>
      </c>
      <c r="N47">
        <v>7.88</v>
      </c>
      <c r="O47">
        <v>0.30499999999999999</v>
      </c>
      <c r="P47">
        <v>3.4950000000000001</v>
      </c>
      <c r="Q47">
        <v>9.24</v>
      </c>
      <c r="S47" s="271"/>
    </row>
    <row r="48" spans="1:35">
      <c r="S48" s="272"/>
    </row>
    <row r="52" spans="1:17">
      <c r="A52" s="413" t="s">
        <v>171</v>
      </c>
      <c r="B52" s="413"/>
      <c r="C52" s="413"/>
      <c r="D52" s="413"/>
      <c r="E52" s="413"/>
      <c r="F52" s="413"/>
      <c r="G52" s="413"/>
      <c r="H52" s="413"/>
      <c r="I52" s="413"/>
      <c r="J52" s="413"/>
      <c r="K52" s="413"/>
      <c r="L52" s="413"/>
      <c r="M52" s="413"/>
      <c r="N52" s="413"/>
      <c r="O52" s="413"/>
      <c r="P52" s="413"/>
      <c r="Q52" s="413"/>
    </row>
    <row r="53" spans="1:17">
      <c r="A53" s="216"/>
      <c r="B53" s="217" t="s">
        <v>196</v>
      </c>
      <c r="C53" s="217" t="s">
        <v>43</v>
      </c>
      <c r="D53" s="217" t="s">
        <v>47</v>
      </c>
      <c r="E53" s="217" t="s">
        <v>12</v>
      </c>
      <c r="F53" s="217" t="s">
        <v>14</v>
      </c>
      <c r="G53" s="217" t="s">
        <v>111</v>
      </c>
      <c r="H53" s="217" t="s">
        <v>37</v>
      </c>
      <c r="I53" s="217" t="s">
        <v>85</v>
      </c>
      <c r="J53" s="218" t="s">
        <v>71</v>
      </c>
      <c r="K53" s="219" t="s">
        <v>6</v>
      </c>
      <c r="L53" s="219" t="s">
        <v>26</v>
      </c>
      <c r="M53" s="220" t="s">
        <v>45</v>
      </c>
      <c r="N53" s="220" t="s">
        <v>65</v>
      </c>
      <c r="O53" s="219" t="s">
        <v>8</v>
      </c>
      <c r="P53" s="218" t="s">
        <v>55</v>
      </c>
      <c r="Q53" s="217" t="s">
        <v>49</v>
      </c>
    </row>
    <row r="54" spans="1:17">
      <c r="A54" s="221">
        <v>43902</v>
      </c>
      <c r="B54" s="263">
        <f>LN(B4/B3)</f>
        <v>2.461335417733275E-2</v>
      </c>
      <c r="C54" s="263">
        <f t="shared" ref="C54:Q54" si="0">LN(C4/C3)</f>
        <v>-2.1548336206202948E-2</v>
      </c>
      <c r="D54" s="263">
        <f t="shared" si="0"/>
        <v>3.3467690471084929E-2</v>
      </c>
      <c r="E54" s="263">
        <f t="shared" si="0"/>
        <v>-6.3191363514785463E-3</v>
      </c>
      <c r="F54" s="263">
        <f t="shared" si="0"/>
        <v>1.3047715392475675E-2</v>
      </c>
      <c r="G54" s="263">
        <f t="shared" si="0"/>
        <v>-2.2404195753847531E-2</v>
      </c>
      <c r="H54" s="263">
        <f t="shared" si="0"/>
        <v>1.6231194928582552E-2</v>
      </c>
      <c r="I54" s="263">
        <f t="shared" si="0"/>
        <v>0</v>
      </c>
      <c r="J54" s="263">
        <f t="shared" si="0"/>
        <v>-1.4388737452099669E-2</v>
      </c>
      <c r="K54" s="263">
        <f t="shared" si="0"/>
        <v>5.8249887857881745E-2</v>
      </c>
      <c r="L54" s="263">
        <f t="shared" si="0"/>
        <v>4.2937757739618769E-2</v>
      </c>
      <c r="M54" s="263">
        <f t="shared" si="0"/>
        <v>4.7881486233214005E-2</v>
      </c>
      <c r="N54" s="263">
        <f t="shared" si="0"/>
        <v>9.0971778205726786E-2</v>
      </c>
      <c r="O54" s="263">
        <f t="shared" si="0"/>
        <v>6.8486414145156035E-2</v>
      </c>
      <c r="P54" s="263">
        <f t="shared" si="0"/>
        <v>-6.4034370352070245E-3</v>
      </c>
      <c r="Q54" s="263">
        <f t="shared" si="0"/>
        <v>-4.1539518441323323E-2</v>
      </c>
    </row>
    <row r="55" spans="1:17">
      <c r="A55" s="221">
        <v>43903</v>
      </c>
      <c r="B55" s="263">
        <f t="shared" ref="B55:G97" si="1">LN(B5/B4)</f>
        <v>-0.13058268529517469</v>
      </c>
      <c r="C55" s="263">
        <f t="shared" si="1"/>
        <v>-0.25670374780651151</v>
      </c>
      <c r="D55" s="263">
        <f t="shared" si="1"/>
        <v>-0.10988833710608634</v>
      </c>
      <c r="E55" s="263">
        <f t="shared" si="1"/>
        <v>-0.10166950171261722</v>
      </c>
      <c r="F55" s="263">
        <f t="shared" si="1"/>
        <v>-0.19237189264745613</v>
      </c>
      <c r="G55" s="263">
        <f t="shared" si="1"/>
        <v>-8.4860335711315654E-2</v>
      </c>
      <c r="H55" s="263">
        <f t="shared" ref="H55:Q55" si="2">LN(H5/H4)</f>
        <v>-5.7053189448837603E-2</v>
      </c>
      <c r="I55" s="263">
        <f t="shared" si="2"/>
        <v>-5.1293294387550578E-2</v>
      </c>
      <c r="J55" s="263">
        <f t="shared" si="2"/>
        <v>-0.12981161152199058</v>
      </c>
      <c r="K55" s="263">
        <f t="shared" si="2"/>
        <v>-0.18546486556864331</v>
      </c>
      <c r="L55" s="263">
        <f t="shared" si="2"/>
        <v>-5.9719234701622312E-2</v>
      </c>
      <c r="M55" s="263">
        <f t="shared" si="2"/>
        <v>-6.1599122462013191E-2</v>
      </c>
      <c r="N55" s="263">
        <f t="shared" si="2"/>
        <v>-0.10375150485212568</v>
      </c>
      <c r="O55" s="263">
        <f t="shared" si="2"/>
        <v>-0.10720092632584644</v>
      </c>
      <c r="P55" s="263">
        <f t="shared" si="2"/>
        <v>-0.18532391804562393</v>
      </c>
      <c r="Q55" s="263">
        <f t="shared" si="2"/>
        <v>-5.879106726383386E-2</v>
      </c>
    </row>
    <row r="56" spans="1:17">
      <c r="A56" s="221">
        <v>43906</v>
      </c>
      <c r="B56" s="263">
        <f t="shared" si="1"/>
        <v>1.5445746157204206E-2</v>
      </c>
      <c r="C56" s="263">
        <f t="shared" si="1"/>
        <v>3.1908668453828774E-2</v>
      </c>
      <c r="D56" s="263">
        <f t="shared" si="1"/>
        <v>9.1423062152902346E-3</v>
      </c>
      <c r="E56" s="263">
        <f t="shared" si="1"/>
        <v>-1.9486887673496735E-2</v>
      </c>
      <c r="F56" s="263">
        <f t="shared" si="1"/>
        <v>9.2142224571973436E-2</v>
      </c>
      <c r="G56" s="263">
        <f t="shared" si="1"/>
        <v>-2.2446698538238618E-3</v>
      </c>
      <c r="H56" s="263">
        <f t="shared" ref="H56:Q56" si="3">LN(H6/H5)</f>
        <v>0.10251556352559499</v>
      </c>
      <c r="I56" s="263">
        <f t="shared" si="3"/>
        <v>-2.6668247082161294E-2</v>
      </c>
      <c r="J56" s="263">
        <f t="shared" si="3"/>
        <v>7.0092376820368341E-2</v>
      </c>
      <c r="K56" s="263">
        <f t="shared" si="3"/>
        <v>-2.7860188462124607E-2</v>
      </c>
      <c r="L56" s="263">
        <f t="shared" si="3"/>
        <v>1.5267472130788381E-2</v>
      </c>
      <c r="M56" s="263">
        <f t="shared" si="3"/>
        <v>0.13663430840492727</v>
      </c>
      <c r="N56" s="263">
        <f t="shared" si="3"/>
        <v>4.4032270150503344E-2</v>
      </c>
      <c r="O56" s="263">
        <f t="shared" si="3"/>
        <v>-0.11122563511022437</v>
      </c>
      <c r="P56" s="263">
        <f t="shared" si="3"/>
        <v>5.5151820075080064E-2</v>
      </c>
      <c r="Q56" s="263">
        <f t="shared" si="3"/>
        <v>9.4051130220314041E-2</v>
      </c>
    </row>
    <row r="57" spans="1:17">
      <c r="A57" s="221">
        <v>43907</v>
      </c>
      <c r="B57" s="263">
        <f t="shared" si="1"/>
        <v>-9.3742070529222454E-3</v>
      </c>
      <c r="C57" s="263">
        <f t="shared" si="1"/>
        <v>-2.7651531330510008E-2</v>
      </c>
      <c r="D57" s="263">
        <f t="shared" si="1"/>
        <v>7.2270862022831797E-2</v>
      </c>
      <c r="E57" s="263">
        <f t="shared" si="1"/>
        <v>8.9405459688071415E-4</v>
      </c>
      <c r="F57" s="263">
        <f t="shared" si="1"/>
        <v>3.0659196218349827E-3</v>
      </c>
      <c r="G57" s="263">
        <f t="shared" si="1"/>
        <v>4.9325066562501491E-2</v>
      </c>
      <c r="H57" s="263">
        <f t="shared" ref="H57:Q57" si="4">LN(H7/H6)</f>
        <v>4.0206420478040607E-2</v>
      </c>
      <c r="I57" s="263">
        <f t="shared" si="4"/>
        <v>2.139118998131756E-2</v>
      </c>
      <c r="J57" s="263">
        <f t="shared" si="4"/>
        <v>-5.5350095083164956E-2</v>
      </c>
      <c r="K57" s="263">
        <f t="shared" si="4"/>
        <v>0</v>
      </c>
      <c r="L57" s="263">
        <f t="shared" si="4"/>
        <v>-3.8614836127779543E-2</v>
      </c>
      <c r="M57" s="263">
        <f t="shared" si="4"/>
        <v>-4.057102200042869E-2</v>
      </c>
      <c r="N57" s="263">
        <f t="shared" si="4"/>
        <v>-5.0483905431992097E-2</v>
      </c>
      <c r="O57" s="263">
        <f t="shared" si="4"/>
        <v>-5.1293294387550578E-2</v>
      </c>
      <c r="P57" s="263">
        <f t="shared" si="4"/>
        <v>-2.9705154413915694E-2</v>
      </c>
      <c r="Q57" s="263">
        <f t="shared" si="4"/>
        <v>2.0265697459583142E-2</v>
      </c>
    </row>
    <row r="58" spans="1:17">
      <c r="A58" s="221">
        <v>43908</v>
      </c>
      <c r="B58" s="263">
        <f t="shared" si="1"/>
        <v>7.4967940254585808E-2</v>
      </c>
      <c r="C58" s="263">
        <f t="shared" si="1"/>
        <v>5.5363166038848069E-2</v>
      </c>
      <c r="D58" s="263">
        <f t="shared" si="1"/>
        <v>0.12703624113686673</v>
      </c>
      <c r="E58" s="263">
        <f t="shared" si="1"/>
        <v>5.9835791610665046E-2</v>
      </c>
      <c r="F58" s="263">
        <f t="shared" si="1"/>
        <v>-1.4388737452099669E-2</v>
      </c>
      <c r="G58" s="263">
        <f t="shared" si="1"/>
        <v>0.14970997120519366</v>
      </c>
      <c r="H58" s="263">
        <f t="shared" ref="H58:Q58" si="5">LN(H8/H7)</f>
        <v>0.12051602451245237</v>
      </c>
      <c r="I58" s="263">
        <f t="shared" si="5"/>
        <v>4.1456713678346128E-2</v>
      </c>
      <c r="J58" s="263">
        <f t="shared" si="5"/>
        <v>1.6129381929883717E-2</v>
      </c>
      <c r="K58" s="263">
        <f t="shared" si="5"/>
        <v>7.8638181243700395E-2</v>
      </c>
      <c r="L58" s="263">
        <f t="shared" si="5"/>
        <v>3.8614836127779516E-2</v>
      </c>
      <c r="M58" s="263">
        <f t="shared" si="5"/>
        <v>5.2547213047144305E-2</v>
      </c>
      <c r="N58" s="263">
        <f t="shared" si="5"/>
        <v>1.9231361927887592E-2</v>
      </c>
      <c r="O58" s="263">
        <f t="shared" si="5"/>
        <v>5.1293294387550481E-2</v>
      </c>
      <c r="P58" s="263">
        <f t="shared" si="5"/>
        <v>-4.3652630157736759E-2</v>
      </c>
      <c r="Q58" s="263">
        <f t="shared" si="5"/>
        <v>3.9339414560032294E-2</v>
      </c>
    </row>
    <row r="59" spans="1:17">
      <c r="A59" s="221">
        <v>43909</v>
      </c>
      <c r="B59" s="263">
        <f t="shared" si="1"/>
        <v>5.5251829514308799E-2</v>
      </c>
      <c r="C59" s="263">
        <f t="shared" si="1"/>
        <v>5.6264838586137844E-2</v>
      </c>
      <c r="D59" s="263">
        <f t="shared" si="1"/>
        <v>3.2789822822990755E-2</v>
      </c>
      <c r="E59" s="263">
        <f t="shared" si="1"/>
        <v>-4.6520015634892928E-2</v>
      </c>
      <c r="F59" s="263">
        <f t="shared" si="1"/>
        <v>5.0464793925909121E-2</v>
      </c>
      <c r="G59" s="263">
        <f t="shared" si="1"/>
        <v>5.3776396780804203E-2</v>
      </c>
      <c r="H59" s="263">
        <f t="shared" ref="H59:Q59" si="6">LN(H9/H8)</f>
        <v>-1.1713164663653203E-2</v>
      </c>
      <c r="I59" s="263">
        <f t="shared" si="6"/>
        <v>5.4334350963329517E-2</v>
      </c>
      <c r="J59" s="263">
        <f t="shared" si="6"/>
        <v>0</v>
      </c>
      <c r="K59" s="263">
        <f t="shared" si="6"/>
        <v>6.4266449308930787E-2</v>
      </c>
      <c r="L59" s="263">
        <f t="shared" si="6"/>
        <v>0.11441035117774431</v>
      </c>
      <c r="M59" s="263">
        <f t="shared" si="6"/>
        <v>-1.438873745209978E-2</v>
      </c>
      <c r="N59" s="263">
        <f t="shared" si="6"/>
        <v>4.6520015634892907E-2</v>
      </c>
      <c r="O59" s="263">
        <f t="shared" si="6"/>
        <v>7.0951735972284394E-2</v>
      </c>
      <c r="P59" s="263">
        <f t="shared" si="6"/>
        <v>0.18406980898748401</v>
      </c>
      <c r="Q59" s="263">
        <f t="shared" si="6"/>
        <v>6.3239458135917179E-2</v>
      </c>
    </row>
    <row r="60" spans="1:17">
      <c r="A60" s="221">
        <v>43910</v>
      </c>
      <c r="B60" s="263">
        <f t="shared" si="1"/>
        <v>-7.8790032448388878E-2</v>
      </c>
      <c r="C60" s="263">
        <f t="shared" si="1"/>
        <v>-7.5745974157960277E-2</v>
      </c>
      <c r="D60" s="263">
        <f t="shared" si="1"/>
        <v>-3.2789822822990838E-2</v>
      </c>
      <c r="E60" s="263">
        <f t="shared" si="1"/>
        <v>-0.13176927763112334</v>
      </c>
      <c r="F60" s="263">
        <f t="shared" si="1"/>
        <v>-5.6695343676545294E-2</v>
      </c>
      <c r="G60" s="263">
        <f t="shared" si="1"/>
        <v>-7.800871016857211E-2</v>
      </c>
      <c r="H60" s="263">
        <f t="shared" ref="H60:Q60" si="7">LN(H10/H9)</f>
        <v>-5.9152951204978488E-2</v>
      </c>
      <c r="I60" s="263">
        <f t="shared" si="7"/>
        <v>-7.7441925973479139E-2</v>
      </c>
      <c r="J60" s="263">
        <f t="shared" si="7"/>
        <v>0</v>
      </c>
      <c r="K60" s="263">
        <f t="shared" si="7"/>
        <v>-8.5157808340306951E-2</v>
      </c>
      <c r="L60" s="263">
        <f t="shared" si="7"/>
        <v>-7.2861348264871839E-2</v>
      </c>
      <c r="M60" s="263">
        <f t="shared" si="7"/>
        <v>-8.8329768742887962E-2</v>
      </c>
      <c r="N60" s="263">
        <f t="shared" si="7"/>
        <v>-4.6520015634892817E-2</v>
      </c>
      <c r="O60" s="263">
        <f t="shared" si="7"/>
        <v>-0.14732471475685843</v>
      </c>
      <c r="P60" s="263">
        <f t="shared" si="7"/>
        <v>-0.17362584982640072</v>
      </c>
      <c r="Q60" s="263">
        <f t="shared" si="7"/>
        <v>-2.96841582877003E-2</v>
      </c>
    </row>
    <row r="61" spans="1:17">
      <c r="A61" s="221">
        <v>43913</v>
      </c>
      <c r="B61" s="263">
        <f t="shared" si="1"/>
        <v>7.3950643455459292E-2</v>
      </c>
      <c r="C61" s="263">
        <f t="shared" si="1"/>
        <v>7.4985806884562814E-2</v>
      </c>
      <c r="D61" s="263">
        <f t="shared" si="1"/>
        <v>4.0400853221126694E-2</v>
      </c>
      <c r="E61" s="263">
        <f t="shared" si="1"/>
        <v>0.13967445713823656</v>
      </c>
      <c r="F61" s="263">
        <f t="shared" si="1"/>
        <v>0.11592946700706044</v>
      </c>
      <c r="G61" s="263">
        <f t="shared" si="1"/>
        <v>3.7041271680349076E-2</v>
      </c>
      <c r="H61" s="263">
        <f t="shared" ref="H61:Q61" si="8">LN(H11/H10)</f>
        <v>3.8318864302136602E-2</v>
      </c>
      <c r="I61" s="263">
        <f t="shared" si="8"/>
        <v>8.7011376989629699E-2</v>
      </c>
      <c r="J61" s="263">
        <f t="shared" si="8"/>
        <v>2.3716526617316065E-2</v>
      </c>
      <c r="K61" s="263">
        <f t="shared" si="8"/>
        <v>8.770558041910545E-2</v>
      </c>
      <c r="L61" s="263">
        <f t="shared" si="8"/>
        <v>2.9027596579614102E-3</v>
      </c>
      <c r="M61" s="263">
        <f t="shared" si="8"/>
        <v>7.2504727598491164E-2</v>
      </c>
      <c r="N61" s="263">
        <f t="shared" si="8"/>
        <v>9.0971778205726786E-2</v>
      </c>
      <c r="O61" s="263">
        <f t="shared" si="8"/>
        <v>8.2238098236972215E-2</v>
      </c>
      <c r="P61" s="263">
        <f t="shared" si="8"/>
        <v>3.8221212820197671E-2</v>
      </c>
      <c r="Q61" s="263">
        <f t="shared" si="8"/>
        <v>5.5802481428812709E-2</v>
      </c>
    </row>
    <row r="62" spans="1:17">
      <c r="A62" s="221">
        <v>43914</v>
      </c>
      <c r="B62" s="263">
        <f t="shared" si="1"/>
        <v>3.7133418925129419E-2</v>
      </c>
      <c r="C62" s="263">
        <f t="shared" si="1"/>
        <v>7.3292865465473062E-2</v>
      </c>
      <c r="D62" s="263">
        <f t="shared" si="1"/>
        <v>1.0892441166423754E-2</v>
      </c>
      <c r="E62" s="263">
        <f t="shared" si="1"/>
        <v>8.4675609504313992E-2</v>
      </c>
      <c r="F62" s="263">
        <f t="shared" si="1"/>
        <v>5.5920789919598687E-2</v>
      </c>
      <c r="G62" s="263">
        <f t="shared" si="1"/>
        <v>-5.4168236473149695E-2</v>
      </c>
      <c r="H62" s="263">
        <f t="shared" ref="H62:Q62" si="9">LN(H12/H11)</f>
        <v>1.1958288988873576E-2</v>
      </c>
      <c r="I62" s="263">
        <f t="shared" si="9"/>
        <v>9.4787439545437387E-3</v>
      </c>
      <c r="J62" s="263">
        <f t="shared" si="9"/>
        <v>1.5504186535965254E-2</v>
      </c>
      <c r="K62" s="263">
        <f t="shared" si="9"/>
        <v>-2.3167059281534303E-2</v>
      </c>
      <c r="L62" s="263">
        <f t="shared" si="9"/>
        <v>2.0086758566737292E-2</v>
      </c>
      <c r="M62" s="263">
        <f t="shared" si="9"/>
        <v>1.2195273093818206E-2</v>
      </c>
      <c r="N62" s="263">
        <f t="shared" si="9"/>
        <v>-8.7336799687546662E-3</v>
      </c>
      <c r="O62" s="263">
        <f t="shared" si="9"/>
        <v>0.20067069546215105</v>
      </c>
      <c r="P62" s="263">
        <f t="shared" si="9"/>
        <v>3.9220713153281329E-2</v>
      </c>
      <c r="Q62" s="263">
        <f t="shared" si="9"/>
        <v>-2.7173929765000266E-3</v>
      </c>
    </row>
    <row r="63" spans="1:17">
      <c r="A63" s="221">
        <v>43916</v>
      </c>
      <c r="B63" s="263">
        <f t="shared" si="1"/>
        <v>-4.0033810698239455E-2</v>
      </c>
      <c r="C63" s="263">
        <f t="shared" si="1"/>
        <v>-2.070763032748954E-2</v>
      </c>
      <c r="D63" s="263">
        <f t="shared" si="1"/>
        <v>-7.3467151881872514E-2</v>
      </c>
      <c r="E63" s="263">
        <f t="shared" si="1"/>
        <v>-2.7711634708337929E-2</v>
      </c>
      <c r="F63" s="263">
        <f t="shared" si="1"/>
        <v>-2.1277398447284965E-2</v>
      </c>
      <c r="G63" s="263">
        <f t="shared" si="1"/>
        <v>5.7416425676751828E-3</v>
      </c>
      <c r="H63" s="263">
        <f t="shared" ref="H63:Q63" si="10">LN(H13/H12)</f>
        <v>-2.9761926730461127E-3</v>
      </c>
      <c r="I63" s="263">
        <f t="shared" si="10"/>
        <v>-3.8466280827796052E-2</v>
      </c>
      <c r="J63" s="263">
        <f t="shared" si="10"/>
        <v>-2.0202707317519466E-2</v>
      </c>
      <c r="K63" s="263">
        <f t="shared" si="10"/>
        <v>-6.4260781932897318E-2</v>
      </c>
      <c r="L63" s="263">
        <f t="shared" si="10"/>
        <v>5.6657375356772999E-3</v>
      </c>
      <c r="M63" s="263">
        <f t="shared" si="10"/>
        <v>-3.20224405684063E-2</v>
      </c>
      <c r="N63" s="263">
        <f t="shared" si="10"/>
        <v>-4.1797128678461477E-2</v>
      </c>
      <c r="O63" s="263">
        <f t="shared" si="10"/>
        <v>-5.1545151837565764E-2</v>
      </c>
      <c r="P63" s="263">
        <f t="shared" si="10"/>
        <v>-2.1872074818668215E-2</v>
      </c>
      <c r="Q63" s="263">
        <f t="shared" si="10"/>
        <v>-2.3400930164612473E-2</v>
      </c>
    </row>
    <row r="64" spans="1:17">
      <c r="A64" s="221">
        <v>43917</v>
      </c>
      <c r="B64" s="263">
        <f t="shared" si="1"/>
        <v>1.4150116679029139E-2</v>
      </c>
      <c r="C64" s="263">
        <f t="shared" si="1"/>
        <v>2.4234970845457966E-2</v>
      </c>
      <c r="D64" s="263">
        <f t="shared" si="1"/>
        <v>8.9286307443013982E-3</v>
      </c>
      <c r="E64" s="263">
        <f t="shared" si="1"/>
        <v>4.8396540861850239E-2</v>
      </c>
      <c r="F64" s="263">
        <f t="shared" si="1"/>
        <v>0</v>
      </c>
      <c r="G64" s="263">
        <f t="shared" si="1"/>
        <v>-3.8240964384035057E-3</v>
      </c>
      <c r="H64" s="263">
        <f t="shared" ref="H64:Q64" si="11">LN(H14/H13)</f>
        <v>2.3565155250667533E-2</v>
      </c>
      <c r="I64" s="263">
        <f t="shared" si="11"/>
        <v>4.3172171865208782E-2</v>
      </c>
      <c r="J64" s="263">
        <f t="shared" si="11"/>
        <v>0</v>
      </c>
      <c r="K64" s="263">
        <f t="shared" si="11"/>
        <v>-2.7773920467386167E-4</v>
      </c>
      <c r="L64" s="263">
        <f t="shared" si="11"/>
        <v>-1.1363758650315095E-2</v>
      </c>
      <c r="M64" s="263">
        <f t="shared" si="11"/>
        <v>-1.7677227983866346E-2</v>
      </c>
      <c r="N64" s="263">
        <f t="shared" si="11"/>
        <v>-5.0010420574661305E-2</v>
      </c>
      <c r="O64" s="263">
        <f t="shared" si="11"/>
        <v>4.674897957407282E-2</v>
      </c>
      <c r="P64" s="263">
        <f t="shared" si="11"/>
        <v>4.9019706002066876E-3</v>
      </c>
      <c r="Q64" s="263">
        <f t="shared" si="11"/>
        <v>2.7474255552248337E-2</v>
      </c>
    </row>
    <row r="65" spans="1:17">
      <c r="A65" s="221">
        <v>43920</v>
      </c>
      <c r="B65" s="263">
        <f t="shared" si="1"/>
        <v>-7.162041487884423E-4</v>
      </c>
      <c r="C65" s="263">
        <f t="shared" si="1"/>
        <v>-2.4234970845457841E-2</v>
      </c>
      <c r="D65" s="263">
        <f t="shared" si="1"/>
        <v>-2.4292692569044472E-2</v>
      </c>
      <c r="E65" s="263">
        <f t="shared" si="1"/>
        <v>-3.037803535917177E-2</v>
      </c>
      <c r="F65" s="263">
        <f t="shared" si="1"/>
        <v>2.1277398447284879E-2</v>
      </c>
      <c r="G65" s="263">
        <f t="shared" si="1"/>
        <v>-1.3500687218902463E-2</v>
      </c>
      <c r="H65" s="263">
        <f t="shared" ref="H65:Q65" si="12">LN(H15/H14)</f>
        <v>-4.6173503278260329E-2</v>
      </c>
      <c r="I65" s="263">
        <f t="shared" si="12"/>
        <v>-2.3754086008107144E-2</v>
      </c>
      <c r="J65" s="263">
        <f t="shared" si="12"/>
        <v>-3.1446566794717194E-3</v>
      </c>
      <c r="K65" s="263">
        <f t="shared" si="12"/>
        <v>6.3496311559127508E-2</v>
      </c>
      <c r="L65" s="263">
        <f t="shared" si="12"/>
        <v>-5.7306747089849834E-3</v>
      </c>
      <c r="M65" s="263">
        <f t="shared" si="12"/>
        <v>-1.0243367414760989E-2</v>
      </c>
      <c r="N65" s="263">
        <f t="shared" si="12"/>
        <v>1.2739025777429712E-2</v>
      </c>
      <c r="O65" s="263">
        <f t="shared" si="12"/>
        <v>-5.1799495360141341E-2</v>
      </c>
      <c r="P65" s="263">
        <f t="shared" si="12"/>
        <v>-2.4479816386400017E-3</v>
      </c>
      <c r="Q65" s="263">
        <f t="shared" si="12"/>
        <v>-1.2270092591814359E-2</v>
      </c>
    </row>
    <row r="66" spans="1:17">
      <c r="A66" s="221">
        <v>43921</v>
      </c>
      <c r="B66" s="263">
        <f t="shared" si="1"/>
        <v>-3.9923091233559395E-2</v>
      </c>
      <c r="C66" s="263">
        <f t="shared" si="1"/>
        <v>-7.9561822836185569E-2</v>
      </c>
      <c r="D66" s="263">
        <f t="shared" si="1"/>
        <v>-4.9473457670564658E-2</v>
      </c>
      <c r="E66" s="263">
        <f t="shared" si="1"/>
        <v>-2.0500922995933542E-2</v>
      </c>
      <c r="F66" s="263">
        <f t="shared" si="1"/>
        <v>-2.6668247082161409E-2</v>
      </c>
      <c r="G66" s="263">
        <f t="shared" si="1"/>
        <v>-9.756174945364798E-3</v>
      </c>
      <c r="H66" s="263">
        <f t="shared" ref="H66:Q66" si="13">LN(H16/H15)</f>
        <v>-2.6256334566554206E-2</v>
      </c>
      <c r="I66" s="263">
        <f t="shared" si="13"/>
        <v>9.5694510161506725E-3</v>
      </c>
      <c r="J66" s="263">
        <f t="shared" si="13"/>
        <v>-1.5873349156290122E-2</v>
      </c>
      <c r="K66" s="263">
        <f t="shared" si="13"/>
        <v>6.2370264555476982E-3</v>
      </c>
      <c r="L66" s="263">
        <f t="shared" si="13"/>
        <v>-2.3256862164267235E-2</v>
      </c>
      <c r="M66" s="263">
        <f t="shared" si="13"/>
        <v>-1.165061721997525E-2</v>
      </c>
      <c r="N66" s="263">
        <f t="shared" si="13"/>
        <v>-1.9169916107720172E-2</v>
      </c>
      <c r="O66" s="263">
        <f t="shared" si="13"/>
        <v>-9.5563376412843043E-2</v>
      </c>
      <c r="P66" s="263">
        <f t="shared" si="13"/>
        <v>-4.3839205124421118E-2</v>
      </c>
      <c r="Q66" s="263">
        <f t="shared" si="13"/>
        <v>-2.6408761973297112E-2</v>
      </c>
    </row>
    <row r="67" spans="1:17">
      <c r="A67" s="221">
        <v>43922</v>
      </c>
      <c r="B67" s="263">
        <f t="shared" si="1"/>
        <v>9.2588958950486425E-3</v>
      </c>
      <c r="C67" s="263">
        <f t="shared" si="1"/>
        <v>-1.5748356968139282E-2</v>
      </c>
      <c r="D67" s="263">
        <f t="shared" si="1"/>
        <v>8.9639499395899352E-2</v>
      </c>
      <c r="E67" s="263">
        <f t="shared" si="1"/>
        <v>9.4782813234675981E-2</v>
      </c>
      <c r="F67" s="263">
        <f t="shared" si="1"/>
        <v>-2.7398974188114388E-2</v>
      </c>
      <c r="G67" s="263">
        <f t="shared" si="1"/>
        <v>-1.9627091678487058E-3</v>
      </c>
      <c r="H67" s="263">
        <f t="shared" ref="H67:Q67" si="14">LN(H17/H16)</f>
        <v>1.5637219761827589E-3</v>
      </c>
      <c r="I67" s="263">
        <f t="shared" si="14"/>
        <v>-5.8840500022933465E-2</v>
      </c>
      <c r="J67" s="263">
        <f t="shared" si="14"/>
        <v>0</v>
      </c>
      <c r="K67" s="263">
        <f t="shared" si="14"/>
        <v>-1.4614038793595628E-2</v>
      </c>
      <c r="L67" s="263">
        <f t="shared" si="14"/>
        <v>-1.4716706114562507E-3</v>
      </c>
      <c r="M67" s="263">
        <f t="shared" si="14"/>
        <v>1.3012363579719556E-3</v>
      </c>
      <c r="N67" s="263">
        <f t="shared" si="14"/>
        <v>3.7979248065216471E-2</v>
      </c>
      <c r="O67" s="263">
        <f t="shared" si="14"/>
        <v>-3.3997608541419734E-2</v>
      </c>
      <c r="P67" s="263">
        <f t="shared" si="14"/>
        <v>-1.939298009909465E-2</v>
      </c>
      <c r="Q67" s="263">
        <f t="shared" si="14"/>
        <v>2.3661507498158228E-2</v>
      </c>
    </row>
    <row r="68" spans="1:17">
      <c r="A68" s="221">
        <v>43923</v>
      </c>
      <c r="B68" s="263">
        <f t="shared" si="1"/>
        <v>-1.2936851496570527E-3</v>
      </c>
      <c r="C68" s="263">
        <f t="shared" si="1"/>
        <v>3.125254350410453E-2</v>
      </c>
      <c r="D68" s="263">
        <f t="shared" si="1"/>
        <v>-3.5622644541308222E-2</v>
      </c>
      <c r="E68" s="263">
        <f t="shared" si="1"/>
        <v>1.7183837100267718E-2</v>
      </c>
      <c r="F68" s="263">
        <f t="shared" si="1"/>
        <v>-1.4925650216675706E-2</v>
      </c>
      <c r="G68" s="263">
        <f t="shared" si="1"/>
        <v>3.9215736531818647E-3</v>
      </c>
      <c r="H68" s="263">
        <f t="shared" ref="H68:Q68" si="15">LN(H18/H17)</f>
        <v>-6.2696130135953742E-3</v>
      </c>
      <c r="I68" s="263">
        <f t="shared" si="15"/>
        <v>0</v>
      </c>
      <c r="J68" s="263">
        <f t="shared" si="15"/>
        <v>1.5873349156290163E-2</v>
      </c>
      <c r="K68" s="263">
        <f t="shared" si="15"/>
        <v>1.2539349252735392E-2</v>
      </c>
      <c r="L68" s="263">
        <f t="shared" si="15"/>
        <v>-1.3343415173684335E-2</v>
      </c>
      <c r="M68" s="263">
        <f t="shared" si="15"/>
        <v>-6.5231803391235955E-3</v>
      </c>
      <c r="N68" s="263">
        <f t="shared" si="15"/>
        <v>-1.2500162764231494E-2</v>
      </c>
      <c r="O68" s="263">
        <f t="shared" si="15"/>
        <v>-2.9241849594497302E-2</v>
      </c>
      <c r="P68" s="263">
        <f t="shared" si="15"/>
        <v>2.3226850609816555E-2</v>
      </c>
      <c r="Q68" s="263">
        <f t="shared" si="15"/>
        <v>-1.1065119812472575E-2</v>
      </c>
    </row>
    <row r="69" spans="1:17">
      <c r="A69" s="221">
        <v>43924</v>
      </c>
      <c r="B69" s="263">
        <f t="shared" si="1"/>
        <v>8.1165892746055457E-2</v>
      </c>
      <c r="C69" s="263">
        <f t="shared" si="1"/>
        <v>4.5120435280469641E-2</v>
      </c>
      <c r="D69" s="263">
        <f t="shared" si="1"/>
        <v>8.011244511210848E-2</v>
      </c>
      <c r="E69" s="263">
        <f t="shared" si="1"/>
        <v>9.1261591278324519E-2</v>
      </c>
      <c r="F69" s="263">
        <f t="shared" si="1"/>
        <v>9.6676300235368204E-2</v>
      </c>
      <c r="G69" s="263">
        <f t="shared" si="1"/>
        <v>8.9779882951394718E-2</v>
      </c>
      <c r="H69" s="263">
        <f t="shared" ref="H69:Q69" si="16">LN(H19/H18)</f>
        <v>3.2485455144488307E-2</v>
      </c>
      <c r="I69" s="263">
        <f t="shared" si="16"/>
        <v>4.9271049006782835E-2</v>
      </c>
      <c r="J69" s="263">
        <f t="shared" si="16"/>
        <v>1.5625317903080815E-2</v>
      </c>
      <c r="K69" s="263">
        <f t="shared" si="16"/>
        <v>9.5970775307987241E-2</v>
      </c>
      <c r="L69" s="263">
        <f t="shared" si="16"/>
        <v>0.1299803188994452</v>
      </c>
      <c r="M69" s="263">
        <f t="shared" si="16"/>
        <v>5.7231127891971136E-2</v>
      </c>
      <c r="N69" s="263">
        <f t="shared" si="16"/>
        <v>3.096222560396689E-2</v>
      </c>
      <c r="O69" s="263">
        <f t="shared" si="16"/>
        <v>6.6021101097793772E-2</v>
      </c>
      <c r="P69" s="263">
        <f t="shared" si="16"/>
        <v>5.3395674673283433E-2</v>
      </c>
      <c r="Q69" s="263">
        <f t="shared" si="16"/>
        <v>4.0877625796172747E-2</v>
      </c>
    </row>
    <row r="70" spans="1:17">
      <c r="A70" s="221">
        <v>43927</v>
      </c>
      <c r="B70" s="263">
        <f t="shared" si="1"/>
        <v>3.5626239812339165E-2</v>
      </c>
      <c r="C70" s="263">
        <f t="shared" si="1"/>
        <v>5.6463728157270139E-2</v>
      </c>
      <c r="D70" s="263">
        <f t="shared" si="1"/>
        <v>-4.1928782600359274E-3</v>
      </c>
      <c r="E70" s="263">
        <f t="shared" si="1"/>
        <v>2.6686039884973166E-2</v>
      </c>
      <c r="F70" s="263">
        <f t="shared" si="1"/>
        <v>2.1941808538436729E-2</v>
      </c>
      <c r="G70" s="263">
        <f t="shared" si="1"/>
        <v>1.7873105740956587E-3</v>
      </c>
      <c r="H70" s="263">
        <f t="shared" ref="H70:Q70" si="17">LN(H20/H19)</f>
        <v>1.9593693900401284E-2</v>
      </c>
      <c r="I70" s="263">
        <f t="shared" si="17"/>
        <v>3.3099948426344707E-2</v>
      </c>
      <c r="J70" s="263">
        <f t="shared" si="17"/>
        <v>7.7220460939103185E-3</v>
      </c>
      <c r="K70" s="263">
        <f t="shared" si="17"/>
        <v>7.2759354282428301E-2</v>
      </c>
      <c r="L70" s="263">
        <f t="shared" si="17"/>
        <v>-1.7184824754100856E-2</v>
      </c>
      <c r="M70" s="263">
        <f t="shared" si="17"/>
        <v>4.5901777593562752E-2</v>
      </c>
      <c r="N70" s="263">
        <f t="shared" si="17"/>
        <v>0.12856481125967181</v>
      </c>
      <c r="O70" s="263">
        <f t="shared" si="17"/>
        <v>5.4067221270275793E-2</v>
      </c>
      <c r="P70" s="263">
        <f t="shared" si="17"/>
        <v>3.5633223574088498E-2</v>
      </c>
      <c r="Q70" s="263">
        <f t="shared" si="17"/>
        <v>2.8949390046109923E-2</v>
      </c>
    </row>
    <row r="71" spans="1:17">
      <c r="A71" s="221">
        <v>43928</v>
      </c>
      <c r="B71" s="263">
        <f t="shared" si="1"/>
        <v>2.2353356557181128E-3</v>
      </c>
      <c r="C71" s="263">
        <f t="shared" si="1"/>
        <v>-1.3291556292061439E-2</v>
      </c>
      <c r="D71" s="263">
        <f t="shared" si="1"/>
        <v>5.8651194523980576E-3</v>
      </c>
      <c r="E71" s="263">
        <f t="shared" si="1"/>
        <v>-1.5926016770986099E-2</v>
      </c>
      <c r="F71" s="263">
        <f t="shared" si="1"/>
        <v>4.9958471933716697E-3</v>
      </c>
      <c r="G71" s="263">
        <f t="shared" si="1"/>
        <v>-8.9686699827603751E-3</v>
      </c>
      <c r="H71" s="263">
        <f t="shared" ref="H71:Q71" si="18">LN(H21/H20)</f>
        <v>-3.4931417884111256E-2</v>
      </c>
      <c r="I71" s="263">
        <f t="shared" si="18"/>
        <v>-4.7628048989254587E-2</v>
      </c>
      <c r="J71" s="263">
        <f t="shared" si="18"/>
        <v>-1.1605546120308003E-2</v>
      </c>
      <c r="K71" s="263">
        <f t="shared" si="18"/>
        <v>-5.8707600826778041E-2</v>
      </c>
      <c r="L71" s="263">
        <f t="shared" si="18"/>
        <v>-2.0202707317519466E-2</v>
      </c>
      <c r="M71" s="263">
        <f t="shared" si="18"/>
        <v>-1.1876624162579209E-2</v>
      </c>
      <c r="N71" s="263">
        <f t="shared" si="18"/>
        <v>-4.6647688791785116E-2</v>
      </c>
      <c r="O71" s="263">
        <f t="shared" si="18"/>
        <v>5.1293294387550481E-2</v>
      </c>
      <c r="P71" s="263">
        <f t="shared" si="18"/>
        <v>-1.1675424560377012E-3</v>
      </c>
      <c r="Q71" s="263">
        <f t="shared" si="18"/>
        <v>2.3077947282544673E-2</v>
      </c>
    </row>
    <row r="72" spans="1:17">
      <c r="A72" s="221">
        <v>43929</v>
      </c>
      <c r="B72" s="263">
        <f t="shared" si="1"/>
        <v>-2.9596036006640904E-3</v>
      </c>
      <c r="C72" s="263">
        <f t="shared" si="1"/>
        <v>1.398624197473987E-2</v>
      </c>
      <c r="D72" s="263">
        <f t="shared" si="1"/>
        <v>-7.5472056353828544E-3</v>
      </c>
      <c r="E72" s="263">
        <f t="shared" si="1"/>
        <v>-3.8872947543794709E-2</v>
      </c>
      <c r="F72" s="263">
        <f t="shared" si="1"/>
        <v>-3.722934176835592E-2</v>
      </c>
      <c r="G72" s="263">
        <f t="shared" si="1"/>
        <v>-9.0498355199179273E-3</v>
      </c>
      <c r="H72" s="263">
        <f t="shared" ref="H72:Q72" si="19">LN(H22/H21)</f>
        <v>-1.5576638928737112E-2</v>
      </c>
      <c r="I72" s="263">
        <f t="shared" si="19"/>
        <v>2.4097551579060524E-2</v>
      </c>
      <c r="J72" s="263">
        <f t="shared" si="19"/>
        <v>1.160554612030811E-2</v>
      </c>
      <c r="K72" s="263">
        <f t="shared" si="19"/>
        <v>2.9784561357527495E-2</v>
      </c>
      <c r="L72" s="263">
        <f t="shared" si="19"/>
        <v>1.8868484304382954E-2</v>
      </c>
      <c r="M72" s="263">
        <f t="shared" si="19"/>
        <v>-2.7863704486934909E-2</v>
      </c>
      <c r="N72" s="263">
        <f t="shared" si="19"/>
        <v>-5.6338177182560199E-3</v>
      </c>
      <c r="O72" s="263">
        <f t="shared" si="19"/>
        <v>0</v>
      </c>
      <c r="P72" s="263">
        <f t="shared" si="19"/>
        <v>-2.8437935320533514E-2</v>
      </c>
      <c r="Q72" s="263">
        <f t="shared" si="19"/>
        <v>0</v>
      </c>
    </row>
    <row r="73" spans="1:17">
      <c r="A73" s="221">
        <v>43930</v>
      </c>
      <c r="B73" s="263">
        <f t="shared" si="1"/>
        <v>3.3836232038956172E-2</v>
      </c>
      <c r="C73" s="263">
        <f t="shared" si="1"/>
        <v>6.920442844573757E-3</v>
      </c>
      <c r="D73" s="263">
        <f t="shared" si="1"/>
        <v>8.4139676819161785E-4</v>
      </c>
      <c r="E73" s="263">
        <f t="shared" si="1"/>
        <v>4.2878293352469794E-2</v>
      </c>
      <c r="F73" s="263">
        <f t="shared" si="1"/>
        <v>3.0562650410166883E-2</v>
      </c>
      <c r="G73" s="263">
        <f t="shared" si="1"/>
        <v>9.3655919708298313E-2</v>
      </c>
      <c r="H73" s="263">
        <f t="shared" ref="H73:Q73" si="20">LN(H23/H22)</f>
        <v>6.5323142597988937E-2</v>
      </c>
      <c r="I73" s="263">
        <f t="shared" si="20"/>
        <v>1.8868484304382736E-2</v>
      </c>
      <c r="J73" s="263">
        <f t="shared" si="20"/>
        <v>3.4029748586311255E-2</v>
      </c>
      <c r="K73" s="263">
        <f t="shared" si="20"/>
        <v>3.7656719438005137E-2</v>
      </c>
      <c r="L73" s="263">
        <f t="shared" si="20"/>
        <v>6.5872744150707749E-2</v>
      </c>
      <c r="M73" s="263">
        <f t="shared" si="20"/>
        <v>1.946533478810325E-2</v>
      </c>
      <c r="N73" s="263">
        <f t="shared" si="20"/>
        <v>5.6338177182560642E-3</v>
      </c>
      <c r="O73" s="263">
        <f t="shared" si="20"/>
        <v>0</v>
      </c>
      <c r="P73" s="263">
        <f t="shared" si="20"/>
        <v>4.0052467741226533E-2</v>
      </c>
      <c r="Q73" s="263">
        <f t="shared" si="20"/>
        <v>3.7317763007195068E-2</v>
      </c>
    </row>
    <row r="74" spans="1:17">
      <c r="A74" s="271">
        <v>43935</v>
      </c>
      <c r="B74" s="263">
        <f t="shared" si="1"/>
        <v>-3.3375273566444125E-2</v>
      </c>
      <c r="C74" s="263">
        <f t="shared" si="1"/>
        <v>-2.6556417361432709E-2</v>
      </c>
      <c r="D74" s="263">
        <f t="shared" si="1"/>
        <v>-3.3350675333486186E-2</v>
      </c>
      <c r="E74" s="263">
        <f t="shared" si="1"/>
        <v>-6.0140508697558081E-3</v>
      </c>
      <c r="F74" s="263">
        <f t="shared" si="1"/>
        <v>-4.0961357631065405E-2</v>
      </c>
      <c r="G74" s="263">
        <f t="shared" si="1"/>
        <v>-2.6847250036188052E-2</v>
      </c>
      <c r="H74" s="263">
        <f t="shared" ref="H74:Q74" si="21">LN(H24/H23)</f>
        <v>-1.1834457647002796E-2</v>
      </c>
      <c r="I74" s="263">
        <f t="shared" si="21"/>
        <v>-4.6838493124263143E-3</v>
      </c>
      <c r="J74" s="263">
        <f t="shared" si="21"/>
        <v>0</v>
      </c>
      <c r="K74" s="263">
        <f t="shared" si="21"/>
        <v>-4.445176257083381E-2</v>
      </c>
      <c r="L74" s="263">
        <f t="shared" si="21"/>
        <v>-3.1748698314580298E-2</v>
      </c>
      <c r="M74" s="263">
        <f t="shared" si="21"/>
        <v>-2.0694591242832981E-2</v>
      </c>
      <c r="N74" s="263">
        <f t="shared" si="21"/>
        <v>-1.6997576368571136E-2</v>
      </c>
      <c r="O74" s="263">
        <f t="shared" si="21"/>
        <v>-6.4538521137571178E-2</v>
      </c>
      <c r="P74" s="263">
        <f t="shared" si="21"/>
        <v>9.1954670931003943E-3</v>
      </c>
      <c r="Q74" s="263">
        <f t="shared" si="21"/>
        <v>-2.0975475986554967E-2</v>
      </c>
    </row>
    <row r="75" spans="1:17">
      <c r="A75" s="271">
        <v>43936</v>
      </c>
      <c r="B75" s="263">
        <f t="shared" si="1"/>
        <v>-1.3505503073969478E-3</v>
      </c>
      <c r="C75" s="263">
        <f>LN(C25/C24)</f>
        <v>-3.3120377922451975E-2</v>
      </c>
      <c r="D75" s="263">
        <f t="shared" si="1"/>
        <v>1.8949748779662153E-2</v>
      </c>
      <c r="E75" s="263">
        <f t="shared" si="1"/>
        <v>-7.2253639696956279E-2</v>
      </c>
      <c r="F75" s="263">
        <f t="shared" si="1"/>
        <v>3.2565002678158879E-2</v>
      </c>
      <c r="G75" s="263">
        <f t="shared" si="1"/>
        <v>-5.2009626796405105E-2</v>
      </c>
      <c r="H75" s="263">
        <f t="shared" ref="H75:Q75" si="22">LN(H25/H24)</f>
        <v>-1.8018505502678365E-2</v>
      </c>
      <c r="I75" s="263">
        <f t="shared" si="22"/>
        <v>-9.4340322333585289E-3</v>
      </c>
      <c r="J75" s="263">
        <f t="shared" si="22"/>
        <v>0</v>
      </c>
      <c r="K75" s="263">
        <f t="shared" si="22"/>
        <v>-7.2993024816116079E-3</v>
      </c>
      <c r="L75" s="263">
        <f t="shared" si="22"/>
        <v>-6.4725145056174788E-3</v>
      </c>
      <c r="M75" s="263">
        <f t="shared" si="22"/>
        <v>2.7897503536890876E-2</v>
      </c>
      <c r="N75" s="263">
        <f t="shared" si="22"/>
        <v>5.6980211146377959E-3</v>
      </c>
      <c r="O75" s="263">
        <f t="shared" si="22"/>
        <v>-2.1564177915840525E-2</v>
      </c>
      <c r="P75" s="263">
        <f t="shared" si="22"/>
        <v>3.374898473664082E-2</v>
      </c>
      <c r="Q75" s="263">
        <f t="shared" si="22"/>
        <v>2.463178718966564E-2</v>
      </c>
    </row>
    <row r="76" spans="1:17">
      <c r="A76" s="271">
        <v>43937</v>
      </c>
      <c r="B76" s="263">
        <f>LN(B26/B25)</f>
        <v>-2.6266986825657989E-2</v>
      </c>
      <c r="C76" s="263">
        <f>LN(C26/C25)</f>
        <v>5.2061666756632513E-2</v>
      </c>
      <c r="D76" s="263">
        <f t="shared" ref="D76:Q76" si="23">LN(D26/D25)</f>
        <v>-1.8949748779662233E-2</v>
      </c>
      <c r="E76" s="263">
        <f t="shared" si="23"/>
        <v>-6.5499597617121708E-2</v>
      </c>
      <c r="F76" s="263">
        <f t="shared" si="23"/>
        <v>-3.9558038169129485E-2</v>
      </c>
      <c r="G76" s="263">
        <f t="shared" si="23"/>
        <v>-1.4799042875705125E-2</v>
      </c>
      <c r="H76" s="263">
        <f t="shared" si="23"/>
        <v>2.099027589183583E-2</v>
      </c>
      <c r="I76" s="263">
        <f t="shared" si="23"/>
        <v>-9.5238815112555896E-3</v>
      </c>
      <c r="J76" s="263">
        <f t="shared" si="23"/>
        <v>3.7105793965357746E-3</v>
      </c>
      <c r="K76" s="263">
        <f t="shared" si="23"/>
        <v>-8.737696428205521E-3</v>
      </c>
      <c r="L76" s="263">
        <f t="shared" si="23"/>
        <v>1.8018505502678212E-2</v>
      </c>
      <c r="M76" s="263">
        <f t="shared" si="23"/>
        <v>4.7732787526578117E-3</v>
      </c>
      <c r="N76" s="263">
        <f t="shared" si="23"/>
        <v>-2.008675856673723E-2</v>
      </c>
      <c r="O76" s="263">
        <f t="shared" si="23"/>
        <v>-0.10626919359404428</v>
      </c>
      <c r="P76" s="263">
        <f t="shared" si="23"/>
        <v>-2.6907452919924156E-2</v>
      </c>
      <c r="Q76" s="263">
        <f t="shared" si="23"/>
        <v>-1.7178336535084628E-2</v>
      </c>
    </row>
    <row r="77" spans="1:17">
      <c r="A77" s="271">
        <v>43942</v>
      </c>
      <c r="B77" s="263">
        <f>LN(B27/B26)</f>
        <v>7.4003860912242097E-3</v>
      </c>
      <c r="C77" s="263">
        <f>LN(C27/C26)</f>
        <v>-6.2739836334148522E-3</v>
      </c>
      <c r="D77" s="263">
        <f t="shared" ref="D77:Q77" si="24">LN(D27/D26)</f>
        <v>2.9136594086655247E-2</v>
      </c>
      <c r="E77" s="263">
        <f t="shared" si="24"/>
        <v>-2.7292142288007512E-2</v>
      </c>
      <c r="F77" s="263">
        <f t="shared" si="24"/>
        <v>1.3937507843781678E-2</v>
      </c>
      <c r="G77" s="263">
        <f t="shared" si="24"/>
        <v>2.6907452919924402E-2</v>
      </c>
      <c r="H77" s="263">
        <f t="shared" si="24"/>
        <v>-2.0990275891835858E-2</v>
      </c>
      <c r="I77" s="263">
        <f t="shared" si="24"/>
        <v>3.7563101575648523E-2</v>
      </c>
      <c r="J77" s="263">
        <f t="shared" si="24"/>
        <v>3.6968618813259814E-3</v>
      </c>
      <c r="K77" s="263">
        <f t="shared" si="24"/>
        <v>1.5127494526976567E-2</v>
      </c>
      <c r="L77" s="263">
        <f t="shared" si="24"/>
        <v>-5.1151006667703768E-3</v>
      </c>
      <c r="M77" s="263">
        <f t="shared" si="24"/>
        <v>-8.3682496705166903E-3</v>
      </c>
      <c r="N77" s="263">
        <f t="shared" si="24"/>
        <v>2.5752496102414549E-2</v>
      </c>
      <c r="O77" s="263">
        <f t="shared" si="24"/>
        <v>2.3953241022492796E-2</v>
      </c>
      <c r="P77" s="263">
        <f t="shared" si="24"/>
        <v>1.1299555253933247E-2</v>
      </c>
      <c r="Q77" s="263">
        <f t="shared" si="24"/>
        <v>-1.2383902511465827E-3</v>
      </c>
    </row>
    <row r="78" spans="1:17">
      <c r="A78" s="271">
        <v>43943</v>
      </c>
      <c r="B78" s="263">
        <f>LN(B28/B27)</f>
        <v>2.4995289109100843E-2</v>
      </c>
      <c r="C78" s="263">
        <f>LN(C28/C27)</f>
        <v>8.8292607145678215E-2</v>
      </c>
      <c r="D78" s="263">
        <f t="shared" ref="D78:Q78" si="25">LN(D28/D27)</f>
        <v>-1.3605652055778598E-2</v>
      </c>
      <c r="E78" s="263">
        <f t="shared" si="25"/>
        <v>7.2412577568477091E-2</v>
      </c>
      <c r="F78" s="263">
        <f t="shared" si="25"/>
        <v>2.054866822738776E-2</v>
      </c>
      <c r="G78" s="263">
        <f t="shared" si="25"/>
        <v>6.8402726884400411E-2</v>
      </c>
      <c r="H78" s="263">
        <f t="shared" si="25"/>
        <v>3.0257209165371114E-3</v>
      </c>
      <c r="I78" s="263">
        <f t="shared" si="25"/>
        <v>-3.2789822822990838E-2</v>
      </c>
      <c r="J78" s="263">
        <f t="shared" si="25"/>
        <v>0</v>
      </c>
      <c r="K78" s="263">
        <f t="shared" si="25"/>
        <v>5.4446595482317639E-3</v>
      </c>
      <c r="L78" s="263">
        <f t="shared" si="25"/>
        <v>3.278982282299097E-2</v>
      </c>
      <c r="M78" s="263">
        <f t="shared" si="25"/>
        <v>3.0735279817412729E-2</v>
      </c>
      <c r="N78" s="263">
        <f t="shared" si="25"/>
        <v>6.8239291948651859E-2</v>
      </c>
      <c r="O78" s="263">
        <f t="shared" si="25"/>
        <v>3.1452796551805641E-2</v>
      </c>
      <c r="P78" s="263">
        <f t="shared" si="25"/>
        <v>5.8904703419315058E-2</v>
      </c>
      <c r="Q78" s="263">
        <f t="shared" si="25"/>
        <v>1.5980671988349869E-2</v>
      </c>
    </row>
    <row r="79" spans="1:17">
      <c r="A79" s="271">
        <v>43944</v>
      </c>
      <c r="B79" s="263">
        <f t="shared" si="1"/>
        <v>-6.6892080240156431E-3</v>
      </c>
      <c r="C79" s="263">
        <f t="shared" si="1"/>
        <v>1.7137836137084701E-2</v>
      </c>
      <c r="D79" s="263">
        <f t="shared" si="1"/>
        <v>-2.602054870189607E-2</v>
      </c>
      <c r="E79" s="263">
        <f t="shared" si="1"/>
        <v>0</v>
      </c>
      <c r="F79" s="263">
        <f t="shared" si="1"/>
        <v>2.1794659827420293E-2</v>
      </c>
      <c r="G79" s="263">
        <f t="shared" si="1"/>
        <v>-1.6542600960264651E-3</v>
      </c>
      <c r="H79" s="263">
        <f t="shared" ref="H79:Q79" si="26">LN(H29/H28)</f>
        <v>-4.5420214345010092E-3</v>
      </c>
      <c r="I79" s="263">
        <f t="shared" si="26"/>
        <v>9.4787439545437387E-3</v>
      </c>
      <c r="J79" s="263">
        <f t="shared" si="26"/>
        <v>-1.4870162479451393E-2</v>
      </c>
      <c r="K79" s="263">
        <f t="shared" si="26"/>
        <v>-4.0807129853368184E-3</v>
      </c>
      <c r="L79" s="263">
        <f t="shared" si="26"/>
        <v>-1.2484556662245396E-2</v>
      </c>
      <c r="M79" s="263">
        <f t="shared" si="26"/>
        <v>-1.4068227332200913E-2</v>
      </c>
      <c r="N79" s="263">
        <f t="shared" si="26"/>
        <v>-7.947061692531945E-3</v>
      </c>
      <c r="O79" s="263">
        <f t="shared" si="26"/>
        <v>-3.2044687661124914E-2</v>
      </c>
      <c r="P79" s="263">
        <f t="shared" si="26"/>
        <v>8.4388686458646035E-3</v>
      </c>
      <c r="Q79" s="263">
        <f t="shared" si="26"/>
        <v>4.8661896511729063E-3</v>
      </c>
    </row>
    <row r="80" spans="1:17">
      <c r="A80" s="271">
        <v>43945</v>
      </c>
      <c r="B80" s="263">
        <f t="shared" si="1"/>
        <v>3.2049604539220504E-2</v>
      </c>
      <c r="C80" s="263">
        <f t="shared" si="1"/>
        <v>1.8861998676122948E-3</v>
      </c>
      <c r="D80" s="263">
        <f t="shared" si="1"/>
        <v>2.7731413105525377E-2</v>
      </c>
      <c r="E80" s="263">
        <f t="shared" si="1"/>
        <v>1.0969031370573937E-2</v>
      </c>
      <c r="F80" s="263">
        <f t="shared" si="1"/>
        <v>3.5834453009216109E-2</v>
      </c>
      <c r="G80" s="263">
        <f t="shared" ref="G80:Q80" si="27">LN(G30/G29)</f>
        <v>4.531519621204249E-2</v>
      </c>
      <c r="H80" s="263">
        <f t="shared" si="27"/>
        <v>9.0635061533469105E-3</v>
      </c>
      <c r="I80" s="263">
        <f t="shared" si="27"/>
        <v>-9.47874395454377E-3</v>
      </c>
      <c r="J80" s="263">
        <f t="shared" si="27"/>
        <v>0</v>
      </c>
      <c r="K80" s="263">
        <f t="shared" si="27"/>
        <v>4.399732039077927E-2</v>
      </c>
      <c r="L80" s="263">
        <f t="shared" si="27"/>
        <v>0</v>
      </c>
      <c r="M80" s="263">
        <f t="shared" si="27"/>
        <v>2.1028812279824796E-2</v>
      </c>
      <c r="N80" s="263">
        <f t="shared" si="27"/>
        <v>2.365419089788981E-2</v>
      </c>
      <c r="O80" s="263">
        <f t="shared" si="27"/>
        <v>5.2476726478330647E-2</v>
      </c>
      <c r="P80" s="263">
        <f t="shared" si="27"/>
        <v>8.3682496705165792E-3</v>
      </c>
      <c r="Q80" s="263">
        <f t="shared" si="27"/>
        <v>2.1609484332854909E-2</v>
      </c>
    </row>
    <row r="81" spans="1:17">
      <c r="A81" s="271">
        <v>43948</v>
      </c>
      <c r="B81" s="263">
        <f t="shared" si="1"/>
        <v>1.3956075286037583E-2</v>
      </c>
      <c r="C81" s="263">
        <f t="shared" si="1"/>
        <v>1.0000083334583179E-2</v>
      </c>
      <c r="D81" s="263">
        <f t="shared" si="1"/>
        <v>1.1894787652149146E-2</v>
      </c>
      <c r="E81" s="263">
        <f t="shared" si="1"/>
        <v>2.6553407952515585E-2</v>
      </c>
      <c r="F81" s="263">
        <f t="shared" si="1"/>
        <v>-2.2654690564806151E-2</v>
      </c>
      <c r="G81" s="263">
        <f t="shared" ref="G81:Q81" si="28">LN(G31/G30)</f>
        <v>2.6543322557232494E-2</v>
      </c>
      <c r="H81" s="263">
        <f t="shared" si="28"/>
        <v>-1.5151805020602333E-2</v>
      </c>
      <c r="I81" s="263">
        <f t="shared" si="28"/>
        <v>0</v>
      </c>
      <c r="J81" s="263">
        <f t="shared" si="28"/>
        <v>0</v>
      </c>
      <c r="K81" s="263">
        <f t="shared" si="28"/>
        <v>3.5031347998004413E-2</v>
      </c>
      <c r="L81" s="263">
        <f t="shared" si="28"/>
        <v>5.0125418235441935E-3</v>
      </c>
      <c r="M81" s="263">
        <f t="shared" si="28"/>
        <v>1.1554016305558895E-3</v>
      </c>
      <c r="N81" s="263">
        <f t="shared" si="28"/>
        <v>2.056627758147702E-2</v>
      </c>
      <c r="O81" s="263">
        <f t="shared" si="28"/>
        <v>5.2261926235811246E-2</v>
      </c>
      <c r="P81" s="263">
        <f t="shared" si="28"/>
        <v>-2.1053409197832267E-2</v>
      </c>
      <c r="Q81" s="263">
        <f t="shared" si="28"/>
        <v>-1.0746372075484073E-2</v>
      </c>
    </row>
    <row r="82" spans="1:17">
      <c r="A82" s="271">
        <v>43949</v>
      </c>
      <c r="B82" s="263">
        <f t="shared" si="1"/>
        <v>1.0932836595950029E-2</v>
      </c>
      <c r="C82" s="263">
        <f t="shared" si="1"/>
        <v>1.3588844061896579E-2</v>
      </c>
      <c r="D82" s="263">
        <f t="shared" si="1"/>
        <v>2.6668247082161273E-2</v>
      </c>
      <c r="E82" s="263">
        <f t="shared" si="1"/>
        <v>1.1967759876680039E-2</v>
      </c>
      <c r="F82" s="263">
        <f t="shared" si="1"/>
        <v>-9.8685011407538912E-3</v>
      </c>
      <c r="G82" s="263">
        <f t="shared" ref="G82:Q82" si="29">LN(G32/G31)</f>
        <v>1.5290817798417145E-2</v>
      </c>
      <c r="H82" s="263">
        <f t="shared" si="29"/>
        <v>9.1186042164343381E-3</v>
      </c>
      <c r="I82" s="263">
        <f t="shared" si="29"/>
        <v>0</v>
      </c>
      <c r="J82" s="263">
        <f t="shared" si="29"/>
        <v>0</v>
      </c>
      <c r="K82" s="263">
        <f t="shared" si="29"/>
        <v>-3.3641747456320988E-3</v>
      </c>
      <c r="L82" s="263">
        <f t="shared" si="29"/>
        <v>-1.2578782206860073E-2</v>
      </c>
      <c r="M82" s="263">
        <f t="shared" si="29"/>
        <v>-2.3121397583795024E-3</v>
      </c>
      <c r="N82" s="263">
        <f t="shared" si="29"/>
        <v>-2.5774622688615252E-2</v>
      </c>
      <c r="O82" s="263">
        <f t="shared" si="29"/>
        <v>4.2792858343016202E-2</v>
      </c>
      <c r="P82" s="263">
        <f t="shared" si="29"/>
        <v>7.4192179220286467E-3</v>
      </c>
      <c r="Q82" s="263">
        <f t="shared" si="29"/>
        <v>1.9025544144504622E-2</v>
      </c>
    </row>
    <row r="83" spans="1:17">
      <c r="A83" s="271">
        <v>43950</v>
      </c>
      <c r="B83" s="263">
        <f t="shared" si="1"/>
        <v>-2.1556664954868677E-2</v>
      </c>
      <c r="C83" s="263">
        <f t="shared" si="1"/>
        <v>6.1162270174360536E-3</v>
      </c>
      <c r="D83" s="263">
        <f t="shared" si="1"/>
        <v>-4.9464239353255741E-3</v>
      </c>
      <c r="E83" s="263">
        <f t="shared" si="1"/>
        <v>0</v>
      </c>
      <c r="F83" s="263">
        <f t="shared" si="1"/>
        <v>-8.2988028146950658E-3</v>
      </c>
      <c r="G83" s="263">
        <f t="shared" ref="G83:Q83" si="30">LN(G33/G32)</f>
        <v>-6.0842779146674977E-2</v>
      </c>
      <c r="H83" s="263">
        <f t="shared" si="30"/>
        <v>2.5393448088709313E-2</v>
      </c>
      <c r="I83" s="263">
        <f t="shared" si="30"/>
        <v>-4.7732787526577709E-3</v>
      </c>
      <c r="J83" s="263">
        <f t="shared" si="30"/>
        <v>-1.1299555253933282E-2</v>
      </c>
      <c r="K83" s="263">
        <f t="shared" si="30"/>
        <v>-1.9996411867321564E-2</v>
      </c>
      <c r="L83" s="263">
        <f t="shared" si="30"/>
        <v>-1.2739025777429826E-2</v>
      </c>
      <c r="M83" s="263">
        <f t="shared" si="30"/>
        <v>-1.0471299867295366E-2</v>
      </c>
      <c r="N83" s="263">
        <f t="shared" si="30"/>
        <v>-1.3140793561058368E-2</v>
      </c>
      <c r="O83" s="263">
        <f t="shared" si="30"/>
        <v>-6.190257726192689E-2</v>
      </c>
      <c r="P83" s="263">
        <f t="shared" si="30"/>
        <v>-8.4836139778153661E-3</v>
      </c>
      <c r="Q83" s="263">
        <f t="shared" si="30"/>
        <v>4.7003611803316143E-3</v>
      </c>
    </row>
    <row r="84" spans="1:17">
      <c r="A84" s="271">
        <v>43951</v>
      </c>
      <c r="B84" s="263">
        <f t="shared" si="1"/>
        <v>-4.2082903205082851E-2</v>
      </c>
      <c r="C84" s="263">
        <f t="shared" si="1"/>
        <v>-1.4123661241137049E-2</v>
      </c>
      <c r="D84" s="263">
        <f t="shared" si="1"/>
        <v>4.1237171838621562E-3</v>
      </c>
      <c r="E84" s="263">
        <f t="shared" si="1"/>
        <v>-2.5515204150061661E-2</v>
      </c>
      <c r="F84" s="263">
        <f t="shared" si="1"/>
        <v>-7.2570692834835374E-2</v>
      </c>
      <c r="G84" s="263">
        <f t="shared" ref="G84:Q84" si="31">LN(G34/G33)</f>
        <v>-1.1108072217233481E-2</v>
      </c>
      <c r="H84" s="263">
        <f t="shared" si="31"/>
        <v>-6.5522289047703991E-2</v>
      </c>
      <c r="I84" s="263">
        <f t="shared" si="31"/>
        <v>-3.4066554563606195E-2</v>
      </c>
      <c r="J84" s="263">
        <f t="shared" si="31"/>
        <v>-7.6045993852193036E-3</v>
      </c>
      <c r="K84" s="263">
        <f t="shared" si="31"/>
        <v>-4.5272507931818737E-2</v>
      </c>
      <c r="L84" s="263">
        <f t="shared" si="31"/>
        <v>0</v>
      </c>
      <c r="M84" s="263">
        <f t="shared" si="31"/>
        <v>-1.7699577099400975E-2</v>
      </c>
      <c r="N84" s="263">
        <f t="shared" si="31"/>
        <v>1.3140793561058328E-2</v>
      </c>
      <c r="O84" s="263">
        <f t="shared" si="31"/>
        <v>-8.2082830788480624E-2</v>
      </c>
      <c r="P84" s="263">
        <f t="shared" si="31"/>
        <v>-0.14778123154177861</v>
      </c>
      <c r="Q84" s="263">
        <f t="shared" si="31"/>
        <v>-3.3376161156998034E-2</v>
      </c>
    </row>
    <row r="85" spans="1:17">
      <c r="A85" s="271">
        <v>43955</v>
      </c>
      <c r="B85" s="263">
        <f t="shared" si="1"/>
        <v>1.3242823917561769E-2</v>
      </c>
      <c r="C85" s="263">
        <f t="shared" si="1"/>
        <v>-3.096936510533299E-3</v>
      </c>
      <c r="D85" s="263">
        <f t="shared" si="1"/>
        <v>-2.5845540330697903E-2</v>
      </c>
      <c r="E85" s="263">
        <f t="shared" si="1"/>
        <v>1.9197176815500656E-2</v>
      </c>
      <c r="F85" s="263">
        <f t="shared" si="1"/>
        <v>-1.2624153228396514E-2</v>
      </c>
      <c r="G85" s="263">
        <f t="shared" ref="G85:Q85" si="32">LN(G35/G34)</f>
        <v>3.1747350528354957E-3</v>
      </c>
      <c r="H85" s="263">
        <f t="shared" si="32"/>
        <v>2.6419563033961344E-2</v>
      </c>
      <c r="I85" s="263">
        <f t="shared" si="32"/>
        <v>4.9382816405825767E-3</v>
      </c>
      <c r="J85" s="263">
        <f t="shared" si="32"/>
        <v>0</v>
      </c>
      <c r="K85" s="263">
        <f t="shared" si="32"/>
        <v>7.168489478612497E-3</v>
      </c>
      <c r="L85" s="263">
        <f t="shared" si="32"/>
        <v>7.2916786783568915E-2</v>
      </c>
      <c r="M85" s="263">
        <f t="shared" si="32"/>
        <v>2.3781224049674193E-3</v>
      </c>
      <c r="N85" s="263">
        <f t="shared" si="32"/>
        <v>-1.3140793561058368E-2</v>
      </c>
      <c r="O85" s="263">
        <f t="shared" si="32"/>
        <v>3.193304710300901E-2</v>
      </c>
      <c r="P85" s="263">
        <f t="shared" si="32"/>
        <v>-2.1211026031636403E-2</v>
      </c>
      <c r="Q85" s="263">
        <f t="shared" si="32"/>
        <v>1.0850016024065844E-2</v>
      </c>
    </row>
    <row r="86" spans="1:17">
      <c r="A86" s="271">
        <v>43956</v>
      </c>
      <c r="B86" s="263">
        <f t="shared" si="1"/>
        <v>-1.6052398261837637E-2</v>
      </c>
      <c r="C86" s="263">
        <f t="shared" si="1"/>
        <v>-2.0683908810931621E-2</v>
      </c>
      <c r="D86" s="263">
        <f t="shared" si="1"/>
        <v>-5.0804512324190637E-3</v>
      </c>
      <c r="E86" s="263">
        <f t="shared" si="1"/>
        <v>-1.4094435032336043E-3</v>
      </c>
      <c r="F86" s="263">
        <f t="shared" si="1"/>
        <v>7.2333045935200607E-3</v>
      </c>
      <c r="G86" s="263">
        <f t="shared" ref="G86:Q86" si="33">LN(G36/G35)</f>
        <v>-9.636660936985517E-3</v>
      </c>
      <c r="H86" s="263">
        <f t="shared" si="33"/>
        <v>3.0627895305457308E-3</v>
      </c>
      <c r="I86" s="263">
        <f t="shared" si="33"/>
        <v>-4.9382816405826773E-3</v>
      </c>
      <c r="J86" s="263">
        <f t="shared" si="33"/>
        <v>0</v>
      </c>
      <c r="K86" s="263">
        <f t="shared" si="33"/>
        <v>-4.4742803949209663E-3</v>
      </c>
      <c r="L86" s="263">
        <f t="shared" si="33"/>
        <v>-1.0785005676562561E-2</v>
      </c>
      <c r="M86" s="263">
        <f t="shared" si="33"/>
        <v>-2.0396627907645699E-2</v>
      </c>
      <c r="N86" s="263">
        <f t="shared" si="33"/>
        <v>2.6420094628387975E-3</v>
      </c>
      <c r="O86" s="263">
        <f t="shared" si="33"/>
        <v>-4.380262265839277E-2</v>
      </c>
      <c r="P86" s="263">
        <f t="shared" si="33"/>
        <v>-1.9096697456456362E-2</v>
      </c>
      <c r="Q86" s="263">
        <f t="shared" si="33"/>
        <v>-9.6386288377687448E-3</v>
      </c>
    </row>
    <row r="87" spans="1:17">
      <c r="A87" s="271">
        <v>43957</v>
      </c>
      <c r="B87" s="263">
        <f t="shared" si="1"/>
        <v>2.9921727196576993E-3</v>
      </c>
      <c r="C87" s="263">
        <f t="shared" si="1"/>
        <v>-1.2674272926036961E-3</v>
      </c>
      <c r="D87" s="263">
        <f t="shared" si="1"/>
        <v>-1.1096998211731013E-2</v>
      </c>
      <c r="E87" s="263">
        <f t="shared" si="1"/>
        <v>7.0497006796973831E-4</v>
      </c>
      <c r="F87" s="263">
        <f t="shared" si="1"/>
        <v>7.6293484369014911E-2</v>
      </c>
      <c r="G87" s="263">
        <f t="shared" ref="G87:Q87" si="34">LN(G37/G36)</f>
        <v>-2.1147696932639428E-2</v>
      </c>
      <c r="H87" s="263">
        <f t="shared" si="34"/>
        <v>2.4170360927812971E-2</v>
      </c>
      <c r="I87" s="263">
        <f t="shared" si="34"/>
        <v>-9.950330853168092E-3</v>
      </c>
      <c r="J87" s="263">
        <f t="shared" si="34"/>
        <v>0</v>
      </c>
      <c r="K87" s="263">
        <f t="shared" si="34"/>
        <v>-2.3594560961258594E-2</v>
      </c>
      <c r="L87" s="263">
        <f t="shared" si="34"/>
        <v>1.197619104671562E-2</v>
      </c>
      <c r="M87" s="263">
        <f t="shared" si="34"/>
        <v>1.0850016024065844E-2</v>
      </c>
      <c r="N87" s="263">
        <f t="shared" si="34"/>
        <v>3.372563470803612E-2</v>
      </c>
      <c r="O87" s="263">
        <f t="shared" si="34"/>
        <v>0</v>
      </c>
      <c r="P87" s="263">
        <f t="shared" si="34"/>
        <v>2.5382073271417196E-2</v>
      </c>
      <c r="Q87" s="263">
        <f t="shared" si="34"/>
        <v>4.8309272696655924E-3</v>
      </c>
    </row>
    <row r="88" spans="1:17">
      <c r="A88" s="271">
        <v>43958</v>
      </c>
      <c r="B88" s="263">
        <f t="shared" si="1"/>
        <v>2.6191043715722917E-3</v>
      </c>
      <c r="C88" s="263">
        <f t="shared" si="1"/>
        <v>8.2097082512389043E-3</v>
      </c>
      <c r="D88" s="263">
        <f t="shared" si="1"/>
        <v>-1.9939975783845505E-2</v>
      </c>
      <c r="E88" s="263">
        <f t="shared" si="1"/>
        <v>7.0225007698246798E-3</v>
      </c>
      <c r="F88" s="263">
        <f t="shared" si="1"/>
        <v>4.9958471933716697E-3</v>
      </c>
      <c r="G88" s="263">
        <f t="shared" ref="G88:Q88" si="35">LN(G38/G37)</f>
        <v>-4.3773850665799023E-2</v>
      </c>
      <c r="H88" s="263">
        <f t="shared" si="35"/>
        <v>1.1869575555383729E-2</v>
      </c>
      <c r="I88" s="263">
        <f t="shared" si="35"/>
        <v>1.4888612493750777E-2</v>
      </c>
      <c r="J88" s="263">
        <f t="shared" si="35"/>
        <v>0</v>
      </c>
      <c r="K88" s="263">
        <f t="shared" si="35"/>
        <v>-3.2191336146139881E-3</v>
      </c>
      <c r="L88" s="263">
        <f t="shared" si="35"/>
        <v>1.0657294473987979E-2</v>
      </c>
      <c r="M88" s="263">
        <f t="shared" si="35"/>
        <v>8.3582576142012446E-3</v>
      </c>
      <c r="N88" s="263">
        <f t="shared" si="35"/>
        <v>2.0202707317519469E-2</v>
      </c>
      <c r="O88" s="263">
        <f t="shared" si="35"/>
        <v>-8.995562908577873E-3</v>
      </c>
      <c r="P88" s="263">
        <f t="shared" si="35"/>
        <v>2.7195742808489867E-2</v>
      </c>
      <c r="Q88" s="263">
        <f t="shared" si="35"/>
        <v>1.20409406480451E-3</v>
      </c>
    </row>
    <row r="89" spans="1:17">
      <c r="A89" s="271">
        <v>43959</v>
      </c>
      <c r="B89" s="263">
        <f t="shared" si="1"/>
        <v>-1.2846001757603552E-2</v>
      </c>
      <c r="C89" s="263">
        <f t="shared" si="1"/>
        <v>-1.2658396871923577E-2</v>
      </c>
      <c r="D89" s="263">
        <f t="shared" si="1"/>
        <v>-2.123973650091103E-2</v>
      </c>
      <c r="E89" s="263">
        <f t="shared" si="1"/>
        <v>6.9954532408571669E-4</v>
      </c>
      <c r="F89" s="263">
        <f t="shared" si="1"/>
        <v>-3.2070258958328587E-2</v>
      </c>
      <c r="G89" s="263">
        <f t="shared" ref="G89:Q89" si="36">LN(G39/G38)</f>
        <v>1.0279731606833565E-2</v>
      </c>
      <c r="H89" s="263">
        <f t="shared" si="36"/>
        <v>-2.3881732003387359E-2</v>
      </c>
      <c r="I89" s="263">
        <f t="shared" si="36"/>
        <v>9.8040000966208348E-3</v>
      </c>
      <c r="J89" s="263">
        <f t="shared" si="36"/>
        <v>0</v>
      </c>
      <c r="K89" s="263">
        <f t="shared" si="36"/>
        <v>-2.2357708175035716E-2</v>
      </c>
      <c r="L89" s="263">
        <f t="shared" si="36"/>
        <v>-3.4754846053048655E-2</v>
      </c>
      <c r="M89" s="263">
        <f t="shared" si="36"/>
        <v>-1.0759219151739495E-2</v>
      </c>
      <c r="N89" s="263">
        <f t="shared" si="36"/>
        <v>0</v>
      </c>
      <c r="O89" s="263">
        <f t="shared" si="36"/>
        <v>0</v>
      </c>
      <c r="P89" s="263">
        <f t="shared" si="36"/>
        <v>-1.2270092591814359E-2</v>
      </c>
      <c r="Q89" s="263">
        <f t="shared" si="36"/>
        <v>7.1942756340270106E-3</v>
      </c>
    </row>
    <row r="90" spans="1:17">
      <c r="A90" s="271">
        <v>43962</v>
      </c>
      <c r="B90" s="263">
        <f t="shared" si="1"/>
        <v>5.1970260769547297E-4</v>
      </c>
      <c r="C90" s="263">
        <f t="shared" si="1"/>
        <v>0</v>
      </c>
      <c r="D90" s="263">
        <f t="shared" si="1"/>
        <v>8.9047783429596853E-3</v>
      </c>
      <c r="E90" s="263">
        <f t="shared" si="1"/>
        <v>-6.9954532408565619E-4</v>
      </c>
      <c r="F90" s="263">
        <f t="shared" si="1"/>
        <v>3.4246608813639536E-3</v>
      </c>
      <c r="G90" s="263">
        <f t="shared" ref="G90:Q90" si="37">LN(G40/G39)</f>
        <v>-1.2032580434247859E-2</v>
      </c>
      <c r="H90" s="263">
        <f t="shared" si="37"/>
        <v>-1.2158204479809519E-2</v>
      </c>
      <c r="I90" s="263">
        <f t="shared" si="37"/>
        <v>-9.8040000966208556E-3</v>
      </c>
      <c r="J90" s="263">
        <f t="shared" si="37"/>
        <v>1.5151805020602246E-2</v>
      </c>
      <c r="K90" s="263">
        <f t="shared" si="37"/>
        <v>2.8222031902234252E-3</v>
      </c>
      <c r="L90" s="263">
        <f t="shared" si="37"/>
        <v>3.593200922606337E-2</v>
      </c>
      <c r="M90" s="263">
        <f t="shared" si="37"/>
        <v>-1.9418085857101627E-2</v>
      </c>
      <c r="N90" s="263">
        <f t="shared" si="37"/>
        <v>-7.5282664207915245E-3</v>
      </c>
      <c r="O90" s="263">
        <f t="shared" si="37"/>
        <v>6.0060240602119487E-3</v>
      </c>
      <c r="P90" s="263">
        <f t="shared" si="37"/>
        <v>1.7136282242987237E-2</v>
      </c>
      <c r="Q90" s="263">
        <f t="shared" si="37"/>
        <v>-2.3923456386198238E-3</v>
      </c>
    </row>
    <row r="91" spans="1:17">
      <c r="A91" s="271">
        <v>43963</v>
      </c>
      <c r="B91" s="263">
        <f t="shared" si="1"/>
        <v>-9.7854236432655499E-3</v>
      </c>
      <c r="C91" s="263">
        <f t="shared" si="1"/>
        <v>0</v>
      </c>
      <c r="D91" s="263">
        <f t="shared" si="1"/>
        <v>3.6557595733797514E-2</v>
      </c>
      <c r="E91" s="263">
        <f t="shared" si="1"/>
        <v>0</v>
      </c>
      <c r="F91" s="263">
        <f t="shared" si="1"/>
        <v>-2.9490428510705151E-2</v>
      </c>
      <c r="G91" s="263">
        <f t="shared" ref="G91:Q91" si="38">LN(G41/G40)</f>
        <v>-4.3017385083690816E-2</v>
      </c>
      <c r="H91" s="263">
        <f t="shared" si="38"/>
        <v>1.6679689198655593E-2</v>
      </c>
      <c r="I91" s="263">
        <f t="shared" si="38"/>
        <v>-1.4888612493750637E-2</v>
      </c>
      <c r="J91" s="263">
        <f t="shared" si="38"/>
        <v>-1.8975901459005805E-2</v>
      </c>
      <c r="K91" s="263">
        <f t="shared" si="38"/>
        <v>-2.3512825316500019E-3</v>
      </c>
      <c r="L91" s="263">
        <f t="shared" si="38"/>
        <v>1.4018921179330778E-2</v>
      </c>
      <c r="M91" s="263">
        <f t="shared" si="38"/>
        <v>-7.3801072976226456E-3</v>
      </c>
      <c r="N91" s="263">
        <f t="shared" si="38"/>
        <v>-2.0356937068744085E-2</v>
      </c>
      <c r="O91" s="263">
        <f t="shared" si="38"/>
        <v>-0.10735851832049952</v>
      </c>
      <c r="P91" s="263">
        <f t="shared" si="38"/>
        <v>-2.9558802241544391E-2</v>
      </c>
      <c r="Q91" s="263">
        <f t="shared" si="38"/>
        <v>5.9701669865039747E-3</v>
      </c>
    </row>
    <row r="92" spans="1:17">
      <c r="A92" s="271">
        <v>43964</v>
      </c>
      <c r="B92" s="263">
        <f t="shared" si="1"/>
        <v>-4.6142444629426582E-3</v>
      </c>
      <c r="C92" s="263">
        <f t="shared" si="1"/>
        <v>-6.38979809877101E-3</v>
      </c>
      <c r="D92" s="263">
        <f t="shared" si="1"/>
        <v>1.7789541563498459E-2</v>
      </c>
      <c r="E92" s="263">
        <f t="shared" si="1"/>
        <v>2.6926031244593474E-2</v>
      </c>
      <c r="F92" s="263">
        <f t="shared" si="1"/>
        <v>2.9490428510705158E-2</v>
      </c>
      <c r="G92" s="263">
        <f t="shared" ref="G92:Q92" si="39">LN(G42/G41)</f>
        <v>-7.352974305258806E-3</v>
      </c>
      <c r="H92" s="263">
        <f t="shared" si="39"/>
        <v>-1.0582109330536972E-2</v>
      </c>
      <c r="I92" s="263">
        <f t="shared" si="39"/>
        <v>4.9875415110391882E-3</v>
      </c>
      <c r="J92" s="263">
        <f t="shared" si="39"/>
        <v>0</v>
      </c>
      <c r="K92" s="263">
        <f t="shared" si="39"/>
        <v>-4.9708664958208332E-2</v>
      </c>
      <c r="L92" s="263">
        <f t="shared" si="39"/>
        <v>-4.0242116278433361E-2</v>
      </c>
      <c r="M92" s="263">
        <f t="shared" si="39"/>
        <v>0</v>
      </c>
      <c r="N92" s="263">
        <f t="shared" si="39"/>
        <v>-4.4685489345299721E-2</v>
      </c>
      <c r="O92" s="263">
        <f t="shared" si="39"/>
        <v>-5.8335577012963526E-2</v>
      </c>
      <c r="P92" s="263">
        <f t="shared" si="39"/>
        <v>-1.5113637810048184E-2</v>
      </c>
      <c r="Q92" s="263">
        <f t="shared" si="39"/>
        <v>1.8868484304382736E-2</v>
      </c>
    </row>
    <row r="93" spans="1:17">
      <c r="A93" s="271">
        <v>43965</v>
      </c>
      <c r="B93" s="263">
        <f t="shared" si="1"/>
        <v>8.7017427643927663E-3</v>
      </c>
      <c r="C93" s="263">
        <f t="shared" si="1"/>
        <v>1.5267472130788381E-2</v>
      </c>
      <c r="D93" s="263">
        <f t="shared" si="1"/>
        <v>1.3344651742231302E-2</v>
      </c>
      <c r="E93" s="263">
        <f t="shared" si="1"/>
        <v>-6.8143103147921141E-4</v>
      </c>
      <c r="F93" s="263">
        <f t="shared" si="1"/>
        <v>2.5317807984290001E-2</v>
      </c>
      <c r="G93" s="263">
        <f t="shared" ref="G93:Q93" si="40">LN(G43/G42)</f>
        <v>-1.299925454363971E-2</v>
      </c>
      <c r="H93" s="263">
        <f t="shared" si="40"/>
        <v>1.0582109330537008E-2</v>
      </c>
      <c r="I93" s="263">
        <f t="shared" si="40"/>
        <v>0</v>
      </c>
      <c r="J93" s="263">
        <f t="shared" si="40"/>
        <v>3.8240964384034758E-3</v>
      </c>
      <c r="K93" s="263">
        <f t="shared" si="40"/>
        <v>2.1537787991511907E-2</v>
      </c>
      <c r="L93" s="263">
        <f t="shared" si="40"/>
        <v>-1.2084593615683834E-3</v>
      </c>
      <c r="M93" s="263">
        <f t="shared" si="40"/>
        <v>6.1538655743782859E-3</v>
      </c>
      <c r="N93" s="263">
        <f t="shared" si="40"/>
        <v>3.9530838756635218E-2</v>
      </c>
      <c r="O93" s="263">
        <f t="shared" si="40"/>
        <v>1.4035318116383583E-2</v>
      </c>
      <c r="P93" s="263">
        <f t="shared" si="40"/>
        <v>-1.2771565679487505E-2</v>
      </c>
      <c r="Q93" s="263">
        <f t="shared" si="40"/>
        <v>1.1675424560376464E-3</v>
      </c>
    </row>
    <row r="94" spans="1:17">
      <c r="A94" s="271">
        <v>43966</v>
      </c>
      <c r="B94" s="263">
        <f t="shared" si="1"/>
        <v>2.7039010690905009E-2</v>
      </c>
      <c r="C94" s="263">
        <f t="shared" si="1"/>
        <v>2.0000666706669435E-2</v>
      </c>
      <c r="D94" s="263">
        <f t="shared" si="1"/>
        <v>1.8876227268931615E-2</v>
      </c>
      <c r="E94" s="263">
        <f t="shared" si="1"/>
        <v>2.8890151665988299E-2</v>
      </c>
      <c r="F94" s="263">
        <f t="shared" si="1"/>
        <v>2.9558802241544429E-2</v>
      </c>
      <c r="G94" s="263">
        <f t="shared" ref="G94:Q94" si="41">LN(G44/G43)</f>
        <v>1.2999254543639817E-2</v>
      </c>
      <c r="H94" s="263">
        <f t="shared" si="41"/>
        <v>2.9631797606371149E-2</v>
      </c>
      <c r="I94" s="263">
        <f t="shared" si="41"/>
        <v>4.962789342128876E-3</v>
      </c>
      <c r="J94" s="263">
        <f t="shared" si="41"/>
        <v>-3.8240964384035057E-3</v>
      </c>
      <c r="K94" s="263">
        <f t="shared" si="41"/>
        <v>3.3804694684952417E-2</v>
      </c>
      <c r="L94" s="263">
        <f t="shared" si="41"/>
        <v>1.7975319218635533E-2</v>
      </c>
      <c r="M94" s="263">
        <f t="shared" si="41"/>
        <v>2.4243611609992635E-2</v>
      </c>
      <c r="N94" s="263">
        <f t="shared" si="41"/>
        <v>1.5384918839479456E-2</v>
      </c>
      <c r="O94" s="263">
        <f t="shared" si="41"/>
        <v>0.10883878003415128</v>
      </c>
      <c r="P94" s="263">
        <f t="shared" si="41"/>
        <v>2.4128154611823292E-2</v>
      </c>
      <c r="Q94" s="263">
        <f t="shared" si="41"/>
        <v>1.3905206667612188E-2</v>
      </c>
    </row>
    <row r="95" spans="1:17">
      <c r="A95" s="271">
        <v>43969</v>
      </c>
      <c r="B95" s="263">
        <f t="shared" si="1"/>
        <v>-1.3810640098860599E-2</v>
      </c>
      <c r="C95" s="263">
        <f t="shared" si="1"/>
        <v>-1.6219943866763495E-2</v>
      </c>
      <c r="D95" s="263">
        <f t="shared" si="1"/>
        <v>-4.0733253876358982E-3</v>
      </c>
      <c r="E95" s="263">
        <f t="shared" si="1"/>
        <v>6.6006840313520927E-3</v>
      </c>
      <c r="F95" s="263">
        <f t="shared" si="1"/>
        <v>-2.9558802241544391E-2</v>
      </c>
      <c r="G95" s="263">
        <f t="shared" ref="G95:Q95" si="42">LN(G45/G44)</f>
        <v>-4.1437189864173177E-2</v>
      </c>
      <c r="H95" s="263">
        <f t="shared" si="42"/>
        <v>4.3699996711183877E-3</v>
      </c>
      <c r="I95" s="263">
        <f t="shared" si="42"/>
        <v>0</v>
      </c>
      <c r="J95" s="263">
        <f t="shared" si="42"/>
        <v>0</v>
      </c>
      <c r="K95" s="263">
        <f t="shared" si="42"/>
        <v>-3.5258535503180137E-2</v>
      </c>
      <c r="L95" s="263">
        <f t="shared" si="42"/>
        <v>-2.3781224049673243E-3</v>
      </c>
      <c r="M95" s="263">
        <f t="shared" si="42"/>
        <v>-3.5992840296467619E-3</v>
      </c>
      <c r="N95" s="263">
        <f t="shared" si="42"/>
        <v>-1.2804272245987854E-2</v>
      </c>
      <c r="O95" s="263">
        <f t="shared" si="42"/>
        <v>-4.4735893841391532E-2</v>
      </c>
      <c r="P95" s="263">
        <f t="shared" si="42"/>
        <v>-2.1560759106577624E-2</v>
      </c>
      <c r="Q95" s="263">
        <f t="shared" si="42"/>
        <v>1.1441772419784861E-2</v>
      </c>
    </row>
    <row r="96" spans="1:17">
      <c r="A96" s="271">
        <v>43970</v>
      </c>
      <c r="B96" s="263">
        <f t="shared" si="1"/>
        <v>1.5449930981027713E-2</v>
      </c>
      <c r="C96" s="263">
        <f t="shared" si="1"/>
        <v>-6.309169193264721E-3</v>
      </c>
      <c r="D96" s="263">
        <f t="shared" si="1"/>
        <v>4.0733253876358688E-3</v>
      </c>
      <c r="E96" s="263">
        <f t="shared" si="1"/>
        <v>2.5975486403260736E-2</v>
      </c>
      <c r="F96" s="263">
        <f t="shared" si="1"/>
        <v>2.4692612590371633E-2</v>
      </c>
      <c r="G96" s="263">
        <f t="shared" ref="G96:Q96" si="43">LN(G46/G45)</f>
        <v>4.5120435280469641E-2</v>
      </c>
      <c r="H96" s="263">
        <f t="shared" si="43"/>
        <v>-1.1696039763191298E-2</v>
      </c>
      <c r="I96" s="263">
        <f t="shared" si="43"/>
        <v>4.9382816405825767E-3</v>
      </c>
      <c r="J96" s="263">
        <f t="shared" si="43"/>
        <v>-3.8387763071656015E-3</v>
      </c>
      <c r="K96" s="263">
        <f t="shared" si="43"/>
        <v>1.8260959134609112E-2</v>
      </c>
      <c r="L96" s="263">
        <f t="shared" si="43"/>
        <v>-1.438873745209978E-2</v>
      </c>
      <c r="M96" s="263">
        <f t="shared" si="43"/>
        <v>9.5694510161506725E-3</v>
      </c>
      <c r="N96" s="263">
        <f t="shared" si="43"/>
        <v>-2.5806465934916254E-3</v>
      </c>
      <c r="O96" s="263">
        <f t="shared" si="43"/>
        <v>6.5146810211936723E-3</v>
      </c>
      <c r="P96" s="263">
        <f t="shared" si="43"/>
        <v>-1.2903404835907841E-2</v>
      </c>
      <c r="Q96" s="263">
        <f t="shared" si="43"/>
        <v>4.5588772357909091E-2</v>
      </c>
    </row>
    <row r="97" spans="1:17">
      <c r="A97" s="272">
        <v>43971</v>
      </c>
      <c r="B97" s="263">
        <f t="shared" si="1"/>
        <v>-3.5771168543777018E-3</v>
      </c>
      <c r="C97" s="263">
        <f t="shared" si="1"/>
        <v>9.4488891979322889E-3</v>
      </c>
      <c r="D97" s="263">
        <f t="shared" si="1"/>
        <v>-8.1333880042850704E-4</v>
      </c>
      <c r="E97" s="263">
        <f t="shared" si="1"/>
        <v>-6.4308903302904025E-3</v>
      </c>
      <c r="F97" s="263">
        <f t="shared" si="1"/>
        <v>-4.8899852941917919E-3</v>
      </c>
      <c r="G97" s="263">
        <f t="shared" ref="G97:Q97" si="44">LN(G47/G46)</f>
        <v>1.4598799421152631E-2</v>
      </c>
      <c r="H97" s="263">
        <f t="shared" si="44"/>
        <v>7.3260400920728812E-3</v>
      </c>
      <c r="I97" s="263">
        <f t="shared" si="44"/>
        <v>0</v>
      </c>
      <c r="J97" s="263">
        <f t="shared" si="44"/>
        <v>0</v>
      </c>
      <c r="K97" s="263">
        <f t="shared" si="44"/>
        <v>-9.5694510161506725E-3</v>
      </c>
      <c r="L97" s="263">
        <f t="shared" si="44"/>
        <v>9.6154586994419734E-3</v>
      </c>
      <c r="M97" s="263">
        <f t="shared" si="44"/>
        <v>4.7506027585977988E-3</v>
      </c>
      <c r="N97" s="263">
        <f t="shared" si="44"/>
        <v>1.7926216268151895E-2</v>
      </c>
      <c r="O97" s="263">
        <f t="shared" si="44"/>
        <v>-9.7880063661628207E-3</v>
      </c>
      <c r="P97" s="263">
        <f t="shared" si="44"/>
        <v>-9.673977261391925E-2</v>
      </c>
      <c r="Q97" s="263">
        <f t="shared" si="44"/>
        <v>4.3384015985983623E-3</v>
      </c>
    </row>
    <row r="98" spans="1:17">
      <c r="B98" s="263"/>
      <c r="C98" s="263"/>
      <c r="D98" s="263"/>
      <c r="E98" s="263"/>
      <c r="F98" s="263"/>
      <c r="G98" s="263"/>
      <c r="H98" s="263"/>
      <c r="I98" s="263"/>
      <c r="J98" s="263"/>
      <c r="K98" s="263"/>
      <c r="L98" s="263"/>
      <c r="M98" s="263"/>
      <c r="N98" s="263"/>
      <c r="O98" s="263"/>
      <c r="P98" s="263"/>
      <c r="Q98" s="263"/>
    </row>
    <row r="99" spans="1:17">
      <c r="B99" s="263"/>
      <c r="C99" s="263"/>
      <c r="D99" s="263"/>
      <c r="E99" s="263"/>
      <c r="F99" s="263"/>
      <c r="G99" s="263"/>
      <c r="H99" s="263"/>
      <c r="I99" s="263"/>
      <c r="J99" s="263"/>
      <c r="K99" s="263"/>
      <c r="L99" s="263"/>
      <c r="M99" s="263"/>
      <c r="N99" s="263"/>
      <c r="O99" s="263"/>
      <c r="P99" s="263"/>
      <c r="Q99" s="263"/>
    </row>
    <row r="100" spans="1:17">
      <c r="B100" s="263"/>
      <c r="C100" s="263"/>
      <c r="D100" s="263"/>
      <c r="E100" s="263"/>
      <c r="F100" s="263"/>
      <c r="G100" s="263"/>
      <c r="H100" s="263"/>
      <c r="I100" s="263"/>
      <c r="J100" s="263"/>
      <c r="K100" s="263"/>
      <c r="L100" s="263"/>
      <c r="M100" s="263"/>
      <c r="N100" s="263"/>
      <c r="O100" s="263"/>
      <c r="P100" s="263"/>
      <c r="Q100" s="263"/>
    </row>
    <row r="103" spans="1:17">
      <c r="A103" s="222"/>
      <c r="B103" s="222"/>
      <c r="C103" s="222"/>
      <c r="D103" s="222"/>
      <c r="E103" s="222"/>
      <c r="F103" s="222"/>
      <c r="G103" s="222"/>
      <c r="H103" s="222"/>
      <c r="I103" s="222"/>
      <c r="J103" s="222"/>
      <c r="K103" s="222"/>
      <c r="L103" s="222"/>
      <c r="M103" s="222"/>
      <c r="N103" s="222"/>
      <c r="O103" s="222"/>
      <c r="P103" s="222"/>
      <c r="Q103" s="222"/>
    </row>
    <row r="104" spans="1:17">
      <c r="A104" s="216"/>
      <c r="B104" s="217" t="s">
        <v>196</v>
      </c>
      <c r="C104" s="217" t="s">
        <v>43</v>
      </c>
      <c r="D104" s="217" t="s">
        <v>47</v>
      </c>
      <c r="E104" s="217" t="s">
        <v>12</v>
      </c>
      <c r="F104" s="217" t="s">
        <v>14</v>
      </c>
      <c r="G104" s="217" t="s">
        <v>111</v>
      </c>
      <c r="H104" s="217" t="s">
        <v>37</v>
      </c>
      <c r="I104" s="217" t="s">
        <v>85</v>
      </c>
      <c r="J104" s="218" t="s">
        <v>71</v>
      </c>
      <c r="K104" s="219" t="s">
        <v>6</v>
      </c>
      <c r="L104" s="219" t="s">
        <v>26</v>
      </c>
      <c r="M104" s="220" t="s">
        <v>45</v>
      </c>
      <c r="N104" s="220" t="s">
        <v>65</v>
      </c>
      <c r="O104" s="219" t="s">
        <v>8</v>
      </c>
      <c r="P104" s="218" t="s">
        <v>55</v>
      </c>
      <c r="Q104" s="217" t="s">
        <v>49</v>
      </c>
    </row>
    <row r="105" spans="1:17">
      <c r="A105" s="221"/>
    </row>
    <row r="106" spans="1:17">
      <c r="A106" s="221">
        <v>43930</v>
      </c>
    </row>
    <row r="107" spans="1:17">
      <c r="A107" s="271">
        <v>43935</v>
      </c>
      <c r="C107">
        <f>LN(C24/$C$23)</f>
        <v>-2.6556417361432709E-2</v>
      </c>
      <c r="D107">
        <f>LN(D24/$D$23)</f>
        <v>-3.3350675333486186E-2</v>
      </c>
      <c r="E107" s="162">
        <f>LN(E24/$E$23)</f>
        <v>-6.0140508697558081E-3</v>
      </c>
      <c r="F107" s="162">
        <f>LN(F24/$F$23)</f>
        <v>-4.0961357631065405E-2</v>
      </c>
      <c r="G107" s="162">
        <f>LN(G24/$G$23)</f>
        <v>-2.6847250036188052E-2</v>
      </c>
      <c r="H107" s="162">
        <f>LN(H24/$H$23)</f>
        <v>-1.1834457647002796E-2</v>
      </c>
      <c r="I107" s="162">
        <f>LN(I24/$I$23)</f>
        <v>-4.6838493124263143E-3</v>
      </c>
      <c r="J107" s="215">
        <f>LN(J24/$J$23)</f>
        <v>0</v>
      </c>
      <c r="K107" s="162">
        <f>LN(K24/$K$23)</f>
        <v>-4.445176257083381E-2</v>
      </c>
      <c r="L107" s="162">
        <f>LN(L24/$L$23)</f>
        <v>-3.1748698314580298E-2</v>
      </c>
      <c r="M107" s="162">
        <f>LN(M24/$M$23)</f>
        <v>-2.0694591242832981E-2</v>
      </c>
      <c r="N107" s="162">
        <f>LN(N24/$N$23)</f>
        <v>-1.6997576368571136E-2</v>
      </c>
      <c r="O107" s="162">
        <f>LN(O24/$O$23)</f>
        <v>-6.4538521137571178E-2</v>
      </c>
      <c r="P107" s="162">
        <f>LN(P24/$P$23)</f>
        <v>9.1954670931003943E-3</v>
      </c>
      <c r="Q107" s="162">
        <f>LN(Q24/$Q$23)</f>
        <v>-2.0975475986554967E-2</v>
      </c>
    </row>
    <row r="108" spans="1:17">
      <c r="A108" s="271">
        <v>43936</v>
      </c>
      <c r="C108" s="162">
        <f t="shared" ref="C108:C130" si="45">LN(C25/$C$23)</f>
        <v>-5.9676795283884691E-2</v>
      </c>
      <c r="D108" s="162">
        <f t="shared" ref="D108:D130" si="46">LN(D25/$D$23)</f>
        <v>-1.4400926553823881E-2</v>
      </c>
      <c r="E108" s="162">
        <f t="shared" ref="E108:E130" si="47">LN(E25/$E$23)</f>
        <v>-7.8267690566712053E-2</v>
      </c>
      <c r="F108" s="162">
        <f t="shared" ref="F108:F130" si="48">LN(F25/$F$23)</f>
        <v>-8.3963549529063909E-3</v>
      </c>
      <c r="G108" s="162">
        <f t="shared" ref="G108:G130" si="49">LN(G25/$G$23)</f>
        <v>-7.8856876832593195E-2</v>
      </c>
      <c r="H108" s="162">
        <f t="shared" ref="H108:H130" si="50">LN(H25/$H$23)</f>
        <v>-2.985296314968116E-2</v>
      </c>
      <c r="I108" s="162">
        <f t="shared" ref="I108:I130" si="51">LN(I25/$I$23)</f>
        <v>-1.4117881545784819E-2</v>
      </c>
      <c r="J108" s="162">
        <f t="shared" ref="J108:J130" si="52">LN(J25/$J$23)</f>
        <v>0</v>
      </c>
      <c r="K108" s="162">
        <f t="shared" ref="K108:K130" si="53">LN(K25/$K$23)</f>
        <v>-5.1751065052445346E-2</v>
      </c>
      <c r="L108" s="162">
        <f t="shared" ref="L108:L130" si="54">LN(L25/$L$23)</f>
        <v>-3.8221212820197741E-2</v>
      </c>
      <c r="M108" s="162">
        <f t="shared" ref="M108:M130" si="55">LN(M25/$M$23)</f>
        <v>7.202912294057796E-3</v>
      </c>
      <c r="N108" s="162">
        <f t="shared" ref="N108:N130" si="56">LN(N25/$N$23)</f>
        <v>-1.1299555253933394E-2</v>
      </c>
      <c r="O108" s="162">
        <f t="shared" ref="O108:O130" si="57">LN(O25/$O$23)</f>
        <v>-8.6102699053411738E-2</v>
      </c>
      <c r="P108" s="162">
        <f t="shared" ref="P108:P130" si="58">LN(P25/$P$23)</f>
        <v>4.2944451829741277E-2</v>
      </c>
      <c r="Q108" s="162">
        <f t="shared" ref="Q108:Q130" si="59">LN(Q25/$Q$23)</f>
        <v>3.6563112031107003E-3</v>
      </c>
    </row>
    <row r="109" spans="1:17">
      <c r="A109" s="271">
        <v>43937</v>
      </c>
      <c r="C109" s="162">
        <f t="shared" si="45"/>
        <v>-7.6151285272521947E-3</v>
      </c>
      <c r="D109" s="162">
        <f t="shared" si="46"/>
        <v>-3.3350675333486186E-2</v>
      </c>
      <c r="E109" s="162">
        <f t="shared" si="47"/>
        <v>-0.14376728818383383</v>
      </c>
      <c r="F109" s="162">
        <f t="shared" si="48"/>
        <v>-4.7954393122035983E-2</v>
      </c>
      <c r="G109" s="162">
        <f t="shared" si="49"/>
        <v>-9.3655919708298355E-2</v>
      </c>
      <c r="H109" s="162">
        <f t="shared" si="50"/>
        <v>-8.8626872578453173E-3</v>
      </c>
      <c r="I109" s="162">
        <f t="shared" si="51"/>
        <v>-2.3641763057040424E-2</v>
      </c>
      <c r="J109" s="162">
        <f t="shared" si="52"/>
        <v>3.7105793965357746E-3</v>
      </c>
      <c r="K109" s="162">
        <f t="shared" si="53"/>
        <v>-6.0488761480650952E-2</v>
      </c>
      <c r="L109" s="162">
        <f t="shared" si="54"/>
        <v>-2.0202707317519466E-2</v>
      </c>
      <c r="M109" s="162">
        <f t="shared" si="55"/>
        <v>1.197619104671562E-2</v>
      </c>
      <c r="N109" s="162">
        <f t="shared" si="56"/>
        <v>-3.1386313820670718E-2</v>
      </c>
      <c r="O109" s="162">
        <f t="shared" si="57"/>
        <v>-0.19237189264745613</v>
      </c>
      <c r="P109" s="162">
        <f t="shared" si="58"/>
        <v>1.6036998909817104E-2</v>
      </c>
      <c r="Q109" s="162">
        <f t="shared" si="59"/>
        <v>-1.3522025331973997E-2</v>
      </c>
    </row>
    <row r="110" spans="1:17">
      <c r="A110" s="271">
        <v>43942</v>
      </c>
      <c r="C110" s="162">
        <f t="shared" si="45"/>
        <v>-1.3889112160667037E-2</v>
      </c>
      <c r="D110" s="162">
        <f t="shared" si="46"/>
        <v>-4.2140812468308775E-3</v>
      </c>
      <c r="E110" s="162">
        <f t="shared" si="47"/>
        <v>-0.17105943047184136</v>
      </c>
      <c r="F110" s="162">
        <f t="shared" si="48"/>
        <v>-3.4016885278254243E-2</v>
      </c>
      <c r="G110" s="162">
        <f t="shared" si="49"/>
        <v>-6.6748466788373942E-2</v>
      </c>
      <c r="H110" s="162">
        <f t="shared" si="50"/>
        <v>-2.985296314968116E-2</v>
      </c>
      <c r="I110" s="162">
        <f t="shared" si="51"/>
        <v>1.3921338518608014E-2</v>
      </c>
      <c r="J110" s="162">
        <f t="shared" si="52"/>
        <v>7.4074412778618176E-3</v>
      </c>
      <c r="K110" s="162">
        <f t="shared" si="53"/>
        <v>-4.5361266953674401E-2</v>
      </c>
      <c r="L110" s="162">
        <f t="shared" si="54"/>
        <v>-2.5317807984289897E-2</v>
      </c>
      <c r="M110" s="162">
        <f t="shared" si="55"/>
        <v>3.6079413761990835E-3</v>
      </c>
      <c r="N110" s="162">
        <f t="shared" si="56"/>
        <v>-5.6338177182560199E-3</v>
      </c>
      <c r="O110" s="162">
        <f t="shared" si="57"/>
        <v>-0.16841865162496325</v>
      </c>
      <c r="P110" s="162">
        <f t="shared" si="58"/>
        <v>2.7336554163750418E-2</v>
      </c>
      <c r="Q110" s="162">
        <f t="shared" si="59"/>
        <v>-1.4760415583120573E-2</v>
      </c>
    </row>
    <row r="111" spans="1:17">
      <c r="A111" s="271">
        <v>43943</v>
      </c>
      <c r="C111" s="162">
        <f t="shared" si="45"/>
        <v>7.440349498501117E-2</v>
      </c>
      <c r="D111" s="162">
        <f t="shared" si="46"/>
        <v>-1.781973330260949E-2</v>
      </c>
      <c r="E111" s="162">
        <f t="shared" si="47"/>
        <v>-9.8646852903364265E-2</v>
      </c>
      <c r="F111" s="162">
        <f t="shared" si="48"/>
        <v>-1.3468217050866593E-2</v>
      </c>
      <c r="G111" s="162">
        <f t="shared" si="49"/>
        <v>1.6542600960264681E-3</v>
      </c>
      <c r="H111" s="162">
        <f t="shared" si="50"/>
        <v>-2.6827242233144075E-2</v>
      </c>
      <c r="I111" s="162">
        <f t="shared" si="51"/>
        <v>-1.8868484304382691E-2</v>
      </c>
      <c r="J111" s="162">
        <f t="shared" si="52"/>
        <v>7.4074412778618176E-3</v>
      </c>
      <c r="K111" s="162">
        <f t="shared" si="53"/>
        <v>-3.9916607405442436E-2</v>
      </c>
      <c r="L111" s="162">
        <f t="shared" si="54"/>
        <v>7.4720148387010564E-3</v>
      </c>
      <c r="M111" s="162">
        <f t="shared" si="55"/>
        <v>3.4343221193611627E-2</v>
      </c>
      <c r="N111" s="162">
        <f t="shared" si="56"/>
        <v>6.2605474230395988E-2</v>
      </c>
      <c r="O111" s="162">
        <f t="shared" si="57"/>
        <v>-0.13696585507315742</v>
      </c>
      <c r="P111" s="162">
        <f t="shared" si="58"/>
        <v>8.6241257583065487E-2</v>
      </c>
      <c r="Q111" s="162">
        <f t="shared" si="59"/>
        <v>1.220256405229369E-3</v>
      </c>
    </row>
    <row r="112" spans="1:17">
      <c r="A112" s="271">
        <v>43944</v>
      </c>
      <c r="C112" s="162">
        <f t="shared" si="45"/>
        <v>9.1541331122095851E-2</v>
      </c>
      <c r="D112" s="162">
        <f t="shared" si="46"/>
        <v>-4.3840282004505633E-2</v>
      </c>
      <c r="E112" s="162">
        <f t="shared" si="47"/>
        <v>-9.8646852903364265E-2</v>
      </c>
      <c r="F112" s="162">
        <f t="shared" si="48"/>
        <v>8.3264427765535904E-3</v>
      </c>
      <c r="G112" s="162">
        <f t="shared" si="49"/>
        <v>0</v>
      </c>
      <c r="H112" s="162">
        <f t="shared" si="50"/>
        <v>-3.1369263667645163E-2</v>
      </c>
      <c r="I112" s="162">
        <f t="shared" si="51"/>
        <v>-9.3897403498390316E-3</v>
      </c>
      <c r="J112" s="162">
        <f t="shared" si="52"/>
        <v>-7.4627212015896003E-3</v>
      </c>
      <c r="K112" s="162">
        <f t="shared" si="53"/>
        <v>-4.3997320390779339E-2</v>
      </c>
      <c r="L112" s="162">
        <f t="shared" si="54"/>
        <v>-5.0125418235442863E-3</v>
      </c>
      <c r="M112" s="162">
        <f t="shared" si="55"/>
        <v>2.0274993861410861E-2</v>
      </c>
      <c r="N112" s="162">
        <f t="shared" si="56"/>
        <v>5.4658412537863979E-2</v>
      </c>
      <c r="O112" s="162">
        <f t="shared" si="57"/>
        <v>-0.1690105427342824</v>
      </c>
      <c r="P112" s="162">
        <f t="shared" si="58"/>
        <v>9.4680126228930198E-2</v>
      </c>
      <c r="Q112" s="162">
        <f t="shared" si="59"/>
        <v>6.0864460564022532E-3</v>
      </c>
    </row>
    <row r="113" spans="1:17">
      <c r="A113" s="271">
        <v>43945</v>
      </c>
      <c r="C113" s="162">
        <f t="shared" si="45"/>
        <v>9.3427530989708255E-2</v>
      </c>
      <c r="D113" s="162">
        <f t="shared" si="46"/>
        <v>-1.6108868898980087E-2</v>
      </c>
      <c r="E113" s="162">
        <f t="shared" si="47"/>
        <v>-8.7677821532790259E-2</v>
      </c>
      <c r="F113" s="162">
        <f t="shared" si="48"/>
        <v>4.4160895785769629E-2</v>
      </c>
      <c r="G113" s="162">
        <f t="shared" si="49"/>
        <v>4.531519621204249E-2</v>
      </c>
      <c r="H113" s="162">
        <f t="shared" si="50"/>
        <v>-2.2305757514298162E-2</v>
      </c>
      <c r="I113" s="162">
        <f t="shared" si="51"/>
        <v>-1.8868484304382691E-2</v>
      </c>
      <c r="J113" s="162">
        <f t="shared" si="52"/>
        <v>-7.4627212015896003E-3</v>
      </c>
      <c r="K113" s="162">
        <f t="shared" si="53"/>
        <v>0</v>
      </c>
      <c r="L113" s="162">
        <f t="shared" si="54"/>
        <v>-5.0125418235442863E-3</v>
      </c>
      <c r="M113" s="162">
        <f t="shared" si="55"/>
        <v>4.1303806141235577E-2</v>
      </c>
      <c r="N113" s="162">
        <f t="shared" si="56"/>
        <v>7.8312603435753803E-2</v>
      </c>
      <c r="O113" s="162">
        <f t="shared" si="57"/>
        <v>-0.11653381625595163</v>
      </c>
      <c r="P113" s="162">
        <f t="shared" si="58"/>
        <v>0.10304837589944668</v>
      </c>
      <c r="Q113" s="162">
        <f t="shared" si="59"/>
        <v>2.7695930389257422E-2</v>
      </c>
    </row>
    <row r="114" spans="1:17">
      <c r="A114" s="271">
        <v>43948</v>
      </c>
      <c r="C114" s="162">
        <f t="shared" si="45"/>
        <v>0.10342761432429155</v>
      </c>
      <c r="D114" s="162">
        <f t="shared" si="46"/>
        <v>-4.2140812468308775E-3</v>
      </c>
      <c r="E114" s="162">
        <f t="shared" si="47"/>
        <v>-6.112441358027456E-2</v>
      </c>
      <c r="F114" s="162">
        <f t="shared" si="48"/>
        <v>2.1506205220963463E-2</v>
      </c>
      <c r="G114" s="162">
        <f t="shared" si="49"/>
        <v>7.185851876927514E-2</v>
      </c>
      <c r="H114" s="162">
        <f t="shared" si="50"/>
        <v>-3.7457562534900443E-2</v>
      </c>
      <c r="I114" s="162">
        <f t="shared" si="51"/>
        <v>-1.8868484304382691E-2</v>
      </c>
      <c r="J114" s="162">
        <f t="shared" si="52"/>
        <v>-7.4627212015896003E-3</v>
      </c>
      <c r="K114" s="162">
        <f t="shared" si="53"/>
        <v>3.5031347998004413E-2</v>
      </c>
      <c r="L114" s="162">
        <f t="shared" si="54"/>
        <v>0</v>
      </c>
      <c r="M114" s="162">
        <f t="shared" si="55"/>
        <v>4.2459207771791553E-2</v>
      </c>
      <c r="N114" s="162">
        <f t="shared" si="56"/>
        <v>9.8878881017230857E-2</v>
      </c>
      <c r="O114" s="162">
        <f t="shared" si="57"/>
        <v>-6.427189002014036E-2</v>
      </c>
      <c r="P114" s="162">
        <f t="shared" si="58"/>
        <v>8.1994966701614436E-2</v>
      </c>
      <c r="Q114" s="162">
        <f t="shared" si="59"/>
        <v>1.6949558313773424E-2</v>
      </c>
    </row>
    <row r="115" spans="1:17">
      <c r="A115" s="271">
        <v>43949</v>
      </c>
      <c r="C115" s="162">
        <f t="shared" si="45"/>
        <v>0.11701645838618796</v>
      </c>
      <c r="D115" s="162">
        <f t="shared" si="46"/>
        <v>2.2454165835330536E-2</v>
      </c>
      <c r="E115" s="162">
        <f t="shared" si="47"/>
        <v>-4.9156653703594552E-2</v>
      </c>
      <c r="F115" s="162">
        <f t="shared" si="48"/>
        <v>1.1637704080209609E-2</v>
      </c>
      <c r="G115" s="162">
        <f t="shared" si="49"/>
        <v>8.7149336567692345E-2</v>
      </c>
      <c r="H115" s="162">
        <f t="shared" si="50"/>
        <v>-2.8338958318465994E-2</v>
      </c>
      <c r="I115" s="162">
        <f t="shared" si="51"/>
        <v>-1.8868484304382691E-2</v>
      </c>
      <c r="J115" s="162">
        <f t="shared" si="52"/>
        <v>-7.4627212015896003E-3</v>
      </c>
      <c r="K115" s="162">
        <f t="shared" si="53"/>
        <v>3.1667173252372192E-2</v>
      </c>
      <c r="L115" s="162">
        <f t="shared" si="54"/>
        <v>-1.2578782206860073E-2</v>
      </c>
      <c r="M115" s="162">
        <f t="shared" si="55"/>
        <v>4.0147068013411946E-2</v>
      </c>
      <c r="N115" s="162">
        <f t="shared" si="56"/>
        <v>7.3104258328615446E-2</v>
      </c>
      <c r="O115" s="162">
        <f t="shared" si="57"/>
        <v>-2.1479031677124186E-2</v>
      </c>
      <c r="P115" s="162">
        <f t="shared" si="58"/>
        <v>8.9414184623643048E-2</v>
      </c>
      <c r="Q115" s="162">
        <f t="shared" si="59"/>
        <v>3.597510245827798E-2</v>
      </c>
    </row>
    <row r="116" spans="1:17">
      <c r="A116" s="271">
        <v>43950</v>
      </c>
      <c r="C116" s="162">
        <f t="shared" si="45"/>
        <v>0.12313268540362386</v>
      </c>
      <c r="D116" s="162">
        <f t="shared" si="46"/>
        <v>1.7507741900004859E-2</v>
      </c>
      <c r="E116" s="162">
        <f t="shared" si="47"/>
        <v>-4.9156653703594552E-2</v>
      </c>
      <c r="F116" s="162">
        <f t="shared" si="48"/>
        <v>3.3389012655146303E-3</v>
      </c>
      <c r="G116" s="162">
        <f t="shared" si="49"/>
        <v>2.6306557421017188E-2</v>
      </c>
      <c r="H116" s="162">
        <f t="shared" si="50"/>
        <v>-2.9455102297568031E-3</v>
      </c>
      <c r="I116" s="162">
        <f t="shared" si="51"/>
        <v>-2.3641763057040424E-2</v>
      </c>
      <c r="J116" s="162">
        <f t="shared" si="52"/>
        <v>-1.8762276455522892E-2</v>
      </c>
      <c r="K116" s="162">
        <f t="shared" si="53"/>
        <v>1.167076138505076E-2</v>
      </c>
      <c r="L116" s="162">
        <f t="shared" si="54"/>
        <v>-2.5317807984289897E-2</v>
      </c>
      <c r="M116" s="162">
        <f t="shared" si="55"/>
        <v>2.9675768146116541E-2</v>
      </c>
      <c r="N116" s="162">
        <f t="shared" si="56"/>
        <v>5.9963464767557269E-2</v>
      </c>
      <c r="O116" s="162">
        <f t="shared" si="57"/>
        <v>-8.3381608939051138E-2</v>
      </c>
      <c r="P116" s="162">
        <f t="shared" si="58"/>
        <v>8.0930570645827829E-2</v>
      </c>
      <c r="Q116" s="162">
        <f t="shared" si="59"/>
        <v>4.0675463638609764E-2</v>
      </c>
    </row>
    <row r="117" spans="1:17">
      <c r="A117" s="271">
        <v>43951</v>
      </c>
      <c r="C117" s="162">
        <f t="shared" si="45"/>
        <v>0.10900902416248691</v>
      </c>
      <c r="D117" s="162">
        <f t="shared" si="46"/>
        <v>2.1631459083867065E-2</v>
      </c>
      <c r="E117" s="162">
        <f t="shared" si="47"/>
        <v>-7.4671857853656196E-2</v>
      </c>
      <c r="F117" s="162">
        <f t="shared" si="48"/>
        <v>-6.9231791569320869E-2</v>
      </c>
      <c r="G117" s="162">
        <f t="shared" si="49"/>
        <v>1.5198485203783745E-2</v>
      </c>
      <c r="H117" s="162">
        <f t="shared" si="50"/>
        <v>-6.8467799277460717E-2</v>
      </c>
      <c r="I117" s="162">
        <f t="shared" si="51"/>
        <v>-5.770831762064673E-2</v>
      </c>
      <c r="J117" s="162">
        <f t="shared" si="52"/>
        <v>-2.6366875840742224E-2</v>
      </c>
      <c r="K117" s="162">
        <f t="shared" si="53"/>
        <v>-3.3601746546768119E-2</v>
      </c>
      <c r="L117" s="162">
        <f t="shared" si="54"/>
        <v>-2.5317807984289897E-2</v>
      </c>
      <c r="M117" s="162">
        <f t="shared" si="55"/>
        <v>1.197619104671562E-2</v>
      </c>
      <c r="N117" s="162">
        <f t="shared" si="56"/>
        <v>7.3104258328615446E-2</v>
      </c>
      <c r="O117" s="162">
        <f t="shared" si="57"/>
        <v>-0.16546443972753169</v>
      </c>
      <c r="P117" s="162">
        <f t="shared" si="58"/>
        <v>-6.6850660895950806E-2</v>
      </c>
      <c r="Q117" s="162">
        <f t="shared" si="59"/>
        <v>7.2993024816115351E-3</v>
      </c>
    </row>
    <row r="118" spans="1:17">
      <c r="A118" s="271">
        <v>43955</v>
      </c>
      <c r="C118" s="162">
        <f t="shared" si="45"/>
        <v>0.10591208765195356</v>
      </c>
      <c r="D118" s="162">
        <f t="shared" si="46"/>
        <v>-4.2140812468308775E-3</v>
      </c>
      <c r="E118" s="162">
        <f t="shared" si="47"/>
        <v>-5.547468103815556E-2</v>
      </c>
      <c r="F118" s="162">
        <f t="shared" si="48"/>
        <v>-8.1855944797717309E-2</v>
      </c>
      <c r="G118" s="162">
        <f t="shared" si="49"/>
        <v>1.8373220256619322E-2</v>
      </c>
      <c r="H118" s="162">
        <f t="shared" si="50"/>
        <v>-4.2048236243499508E-2</v>
      </c>
      <c r="I118" s="162">
        <f t="shared" si="51"/>
        <v>-5.2770035980064099E-2</v>
      </c>
      <c r="J118" s="162">
        <f t="shared" si="52"/>
        <v>-2.6366875840742224E-2</v>
      </c>
      <c r="K118" s="162">
        <f t="shared" si="53"/>
        <v>-2.6433257068155597E-2</v>
      </c>
      <c r="L118" s="162">
        <f t="shared" si="54"/>
        <v>4.7598978799278949E-2</v>
      </c>
      <c r="M118" s="162">
        <f t="shared" si="55"/>
        <v>1.4354313451683122E-2</v>
      </c>
      <c r="N118" s="162">
        <f t="shared" si="56"/>
        <v>5.9963464767557269E-2</v>
      </c>
      <c r="O118" s="162">
        <f t="shared" si="57"/>
        <v>-0.13353139262452274</v>
      </c>
      <c r="P118" s="162">
        <f t="shared" si="58"/>
        <v>-8.8061686927587271E-2</v>
      </c>
      <c r="Q118" s="162">
        <f t="shared" si="59"/>
        <v>1.8149318505677269E-2</v>
      </c>
    </row>
    <row r="119" spans="1:17">
      <c r="A119" s="271">
        <v>43956</v>
      </c>
      <c r="C119" s="162">
        <f t="shared" si="45"/>
        <v>8.5228178841021948E-2</v>
      </c>
      <c r="D119" s="162">
        <f t="shared" si="46"/>
        <v>-9.2945324792498788E-3</v>
      </c>
      <c r="E119" s="162">
        <f t="shared" si="47"/>
        <v>-5.6884124541389129E-2</v>
      </c>
      <c r="F119" s="162">
        <f t="shared" si="48"/>
        <v>-7.4622640204197288E-2</v>
      </c>
      <c r="G119" s="162">
        <f t="shared" si="49"/>
        <v>8.7365593196338052E-3</v>
      </c>
      <c r="H119" s="162">
        <f t="shared" si="50"/>
        <v>-3.8985446712953654E-2</v>
      </c>
      <c r="I119" s="162">
        <f t="shared" si="51"/>
        <v>-5.770831762064673E-2</v>
      </c>
      <c r="J119" s="162">
        <f t="shared" si="52"/>
        <v>-2.6366875840742224E-2</v>
      </c>
      <c r="K119" s="162">
        <f t="shared" si="53"/>
        <v>-3.0907537463076548E-2</v>
      </c>
      <c r="L119" s="162">
        <f t="shared" si="54"/>
        <v>3.6813973122716399E-2</v>
      </c>
      <c r="M119" s="162">
        <f t="shared" si="55"/>
        <v>-6.0423144559626982E-3</v>
      </c>
      <c r="N119" s="162">
        <f t="shared" si="56"/>
        <v>6.2605474230395988E-2</v>
      </c>
      <c r="O119" s="162">
        <f t="shared" si="57"/>
        <v>-0.17733401528291554</v>
      </c>
      <c r="P119" s="162">
        <f t="shared" si="58"/>
        <v>-0.10715838438404357</v>
      </c>
      <c r="Q119" s="162">
        <f t="shared" si="59"/>
        <v>8.5106896679086105E-3</v>
      </c>
    </row>
    <row r="120" spans="1:17">
      <c r="A120" s="271">
        <v>43957</v>
      </c>
      <c r="C120" s="162">
        <f t="shared" si="45"/>
        <v>8.39607515484182E-2</v>
      </c>
      <c r="D120" s="162">
        <f t="shared" si="46"/>
        <v>-2.0391530690980875E-2</v>
      </c>
      <c r="E120" s="162">
        <f t="shared" si="47"/>
        <v>-5.6179154473419354E-2</v>
      </c>
      <c r="F120" s="162">
        <f t="shared" si="48"/>
        <v>1.6708441648175007E-3</v>
      </c>
      <c r="G120" s="162">
        <f t="shared" si="49"/>
        <v>-1.2411137613005741E-2</v>
      </c>
      <c r="H120" s="162">
        <f t="shared" si="50"/>
        <v>-1.4815085785140587E-2</v>
      </c>
      <c r="I120" s="162">
        <f t="shared" si="51"/>
        <v>-6.7658648473814698E-2</v>
      </c>
      <c r="J120" s="162">
        <f t="shared" si="52"/>
        <v>-2.6366875840742224E-2</v>
      </c>
      <c r="K120" s="162">
        <f t="shared" si="53"/>
        <v>-5.4502098424335239E-2</v>
      </c>
      <c r="L120" s="162">
        <f t="shared" si="54"/>
        <v>4.8790164169432049E-2</v>
      </c>
      <c r="M120" s="162">
        <f t="shared" si="55"/>
        <v>4.8077015681030778E-3</v>
      </c>
      <c r="N120" s="162">
        <f t="shared" si="56"/>
        <v>9.6331108938432108E-2</v>
      </c>
      <c r="O120" s="162">
        <f t="shared" si="57"/>
        <v>-0.17733401528291554</v>
      </c>
      <c r="P120" s="162">
        <f t="shared" si="58"/>
        <v>-8.1776311112626399E-2</v>
      </c>
      <c r="Q120" s="162">
        <f t="shared" si="59"/>
        <v>1.3341616937574356E-2</v>
      </c>
    </row>
    <row r="121" spans="1:17">
      <c r="A121" s="271">
        <v>43958</v>
      </c>
      <c r="C121" s="162">
        <f t="shared" si="45"/>
        <v>9.2170459799657101E-2</v>
      </c>
      <c r="D121" s="162">
        <f t="shared" si="46"/>
        <v>-4.0331506474826403E-2</v>
      </c>
      <c r="E121" s="162">
        <f t="shared" si="47"/>
        <v>-4.9156653703594552E-2</v>
      </c>
      <c r="F121" s="162">
        <f t="shared" si="48"/>
        <v>6.6666913581890771E-3</v>
      </c>
      <c r="G121" s="162">
        <f t="shared" si="49"/>
        <v>-5.6184988278804734E-2</v>
      </c>
      <c r="H121" s="162">
        <f t="shared" si="50"/>
        <v>-2.9455102297568031E-3</v>
      </c>
      <c r="I121" s="162">
        <f t="shared" si="51"/>
        <v>-5.2770035980064099E-2</v>
      </c>
      <c r="J121" s="162">
        <f t="shared" si="52"/>
        <v>-2.6366875840742224E-2</v>
      </c>
      <c r="K121" s="162">
        <f t="shared" si="53"/>
        <v>-5.7721232038949202E-2</v>
      </c>
      <c r="L121" s="162">
        <f t="shared" si="54"/>
        <v>5.9447458643420048E-2</v>
      </c>
      <c r="M121" s="162">
        <f t="shared" si="55"/>
        <v>1.3165959182304303E-2</v>
      </c>
      <c r="N121" s="162">
        <f t="shared" si="56"/>
        <v>0.11653381625595161</v>
      </c>
      <c r="O121" s="162">
        <f t="shared" si="57"/>
        <v>-0.18632957819149348</v>
      </c>
      <c r="P121" s="162">
        <f t="shared" si="58"/>
        <v>-5.4580568304136504E-2</v>
      </c>
      <c r="Q121" s="162">
        <f t="shared" si="59"/>
        <v>1.4545711002378935E-2</v>
      </c>
    </row>
    <row r="122" spans="1:17">
      <c r="A122" s="271">
        <v>43959</v>
      </c>
      <c r="C122" s="162">
        <f t="shared" si="45"/>
        <v>7.9512062927733607E-2</v>
      </c>
      <c r="D122" s="162">
        <f t="shared" si="46"/>
        <v>-6.157124297573744E-2</v>
      </c>
      <c r="E122" s="162">
        <f t="shared" si="47"/>
        <v>-4.8457108379508951E-2</v>
      </c>
      <c r="F122" s="162">
        <f t="shared" si="48"/>
        <v>-2.5403567600139454E-2</v>
      </c>
      <c r="G122" s="162">
        <f t="shared" si="49"/>
        <v>-4.590525667197122E-2</v>
      </c>
      <c r="H122" s="162">
        <f t="shared" si="50"/>
        <v>-2.6827242233144075E-2</v>
      </c>
      <c r="I122" s="162">
        <f t="shared" si="51"/>
        <v>-4.2966035883443249E-2</v>
      </c>
      <c r="J122" s="162">
        <f t="shared" si="52"/>
        <v>-2.6366875840742224E-2</v>
      </c>
      <c r="K122" s="162">
        <f t="shared" si="53"/>
        <v>-8.0078940213984887E-2</v>
      </c>
      <c r="L122" s="162">
        <f t="shared" si="54"/>
        <v>2.4692612590371414E-2</v>
      </c>
      <c r="M122" s="162">
        <f t="shared" si="55"/>
        <v>2.4067400305648376E-3</v>
      </c>
      <c r="N122" s="162">
        <f t="shared" si="56"/>
        <v>0.11653381625595161</v>
      </c>
      <c r="O122" s="162">
        <f t="shared" si="57"/>
        <v>-0.18632957819149348</v>
      </c>
      <c r="P122" s="162">
        <f t="shared" si="58"/>
        <v>-6.6850660895950806E-2</v>
      </c>
      <c r="Q122" s="162">
        <f t="shared" si="59"/>
        <v>2.173998663640582E-2</v>
      </c>
    </row>
    <row r="123" spans="1:17">
      <c r="A123" s="271">
        <v>43962</v>
      </c>
      <c r="C123" s="162">
        <f t="shared" si="45"/>
        <v>7.9512062927733607E-2</v>
      </c>
      <c r="D123" s="162">
        <f t="shared" si="46"/>
        <v>-5.2666464632777743E-2</v>
      </c>
      <c r="E123" s="162">
        <f t="shared" si="47"/>
        <v>-4.9156653703594552E-2</v>
      </c>
      <c r="F123" s="162">
        <f t="shared" si="48"/>
        <v>-2.1978906718775341E-2</v>
      </c>
      <c r="G123" s="162">
        <f t="shared" si="49"/>
        <v>-5.7937837106219067E-2</v>
      </c>
      <c r="H123" s="162">
        <f t="shared" si="50"/>
        <v>-3.8985446712953654E-2</v>
      </c>
      <c r="I123" s="162">
        <f t="shared" si="51"/>
        <v>-5.2770035980064099E-2</v>
      </c>
      <c r="J123" s="162">
        <f t="shared" si="52"/>
        <v>-1.1215070820139957E-2</v>
      </c>
      <c r="K123" s="162">
        <f t="shared" si="53"/>
        <v>-7.7256737023761624E-2</v>
      </c>
      <c r="L123" s="162">
        <f t="shared" si="54"/>
        <v>6.062462181643484E-2</v>
      </c>
      <c r="M123" s="162">
        <f t="shared" si="55"/>
        <v>-1.7011345826536677E-2</v>
      </c>
      <c r="N123" s="162">
        <f t="shared" si="56"/>
        <v>0.10900554983516006</v>
      </c>
      <c r="O123" s="162">
        <f t="shared" si="57"/>
        <v>-0.18032355413128162</v>
      </c>
      <c r="P123" s="162">
        <f t="shared" si="58"/>
        <v>-4.9714378652963437E-2</v>
      </c>
      <c r="Q123" s="162">
        <f t="shared" si="59"/>
        <v>1.9347640997785989E-2</v>
      </c>
    </row>
    <row r="124" spans="1:17">
      <c r="A124" s="271">
        <v>43963</v>
      </c>
      <c r="C124" s="162">
        <f t="shared" si="45"/>
        <v>7.9512062927733607E-2</v>
      </c>
      <c r="D124" s="162">
        <f t="shared" si="46"/>
        <v>-1.6108868898980087E-2</v>
      </c>
      <c r="E124" s="162">
        <f t="shared" si="47"/>
        <v>-4.9156653703594552E-2</v>
      </c>
      <c r="F124" s="162">
        <f t="shared" si="48"/>
        <v>-5.1469335229480467E-2</v>
      </c>
      <c r="G124" s="162">
        <f t="shared" si="49"/>
        <v>-0.10095522218990996</v>
      </c>
      <c r="H124" s="162">
        <f t="shared" si="50"/>
        <v>-2.2305757514298162E-2</v>
      </c>
      <c r="I124" s="162">
        <f t="shared" si="51"/>
        <v>-6.7658648473814698E-2</v>
      </c>
      <c r="J124" s="162">
        <f t="shared" si="52"/>
        <v>-3.0190972279145682E-2</v>
      </c>
      <c r="K124" s="162">
        <f t="shared" si="53"/>
        <v>-7.9608019555411635E-2</v>
      </c>
      <c r="L124" s="162">
        <f t="shared" si="54"/>
        <v>7.4643542995765713E-2</v>
      </c>
      <c r="M124" s="162">
        <f t="shared" si="55"/>
        <v>-2.4391453124159239E-2</v>
      </c>
      <c r="N124" s="162">
        <f t="shared" si="56"/>
        <v>8.8648612766415891E-2</v>
      </c>
      <c r="O124" s="162">
        <f t="shared" si="57"/>
        <v>-0.28768207245178107</v>
      </c>
      <c r="P124" s="162">
        <f t="shared" si="58"/>
        <v>-7.9273180894507897E-2</v>
      </c>
      <c r="Q124" s="162">
        <f t="shared" si="59"/>
        <v>2.5317807984290001E-2</v>
      </c>
    </row>
    <row r="125" spans="1:17">
      <c r="A125" s="271">
        <v>43964</v>
      </c>
      <c r="C125" s="162">
        <f t="shared" si="45"/>
        <v>7.3122264828962585E-2</v>
      </c>
      <c r="D125" s="162">
        <f t="shared" si="46"/>
        <v>1.6806726645182443E-3</v>
      </c>
      <c r="E125" s="162">
        <f t="shared" si="47"/>
        <v>-2.2230622459001117E-2</v>
      </c>
      <c r="F125" s="162">
        <f t="shared" si="48"/>
        <v>-2.1978906718775341E-2</v>
      </c>
      <c r="G125" s="162">
        <f t="shared" si="49"/>
        <v>-0.10830819649516871</v>
      </c>
      <c r="H125" s="162">
        <f t="shared" si="50"/>
        <v>-3.2887866844835176E-2</v>
      </c>
      <c r="I125" s="162">
        <f t="shared" si="51"/>
        <v>-6.2671106962775558E-2</v>
      </c>
      <c r="J125" s="162">
        <f t="shared" si="52"/>
        <v>-3.0190972279145682E-2</v>
      </c>
      <c r="K125" s="162">
        <f t="shared" si="53"/>
        <v>-0.12931668451361999</v>
      </c>
      <c r="L125" s="162">
        <f t="shared" si="54"/>
        <v>3.4401426717332317E-2</v>
      </c>
      <c r="M125" s="162">
        <f t="shared" si="55"/>
        <v>-2.4391453124159239E-2</v>
      </c>
      <c r="N125" s="162">
        <f t="shared" si="56"/>
        <v>4.3963123421116204E-2</v>
      </c>
      <c r="O125" s="162">
        <f t="shared" si="57"/>
        <v>-0.3460176494647445</v>
      </c>
      <c r="P125" s="162">
        <f t="shared" si="58"/>
        <v>-9.4386818704556105E-2</v>
      </c>
      <c r="Q125" s="162">
        <f t="shared" si="59"/>
        <v>4.4186292288672734E-2</v>
      </c>
    </row>
    <row r="126" spans="1:17">
      <c r="A126" s="271">
        <v>43965</v>
      </c>
      <c r="C126" s="162">
        <f t="shared" si="45"/>
        <v>8.8389736959751122E-2</v>
      </c>
      <c r="D126" s="162">
        <f t="shared" si="46"/>
        <v>1.502532440674963E-2</v>
      </c>
      <c r="E126" s="162">
        <f t="shared" si="47"/>
        <v>-2.2912053490480217E-2</v>
      </c>
      <c r="F126" s="162">
        <f t="shared" si="48"/>
        <v>3.3389012655146303E-3</v>
      </c>
      <c r="G126" s="162">
        <f t="shared" si="49"/>
        <v>-0.12130745103880849</v>
      </c>
      <c r="H126" s="162">
        <f t="shared" si="50"/>
        <v>-2.2305757514298162E-2</v>
      </c>
      <c r="I126" s="162">
        <f t="shared" si="51"/>
        <v>-6.2671106962775558E-2</v>
      </c>
      <c r="J126" s="162">
        <f t="shared" si="52"/>
        <v>-2.6366875840742224E-2</v>
      </c>
      <c r="K126" s="162">
        <f t="shared" si="53"/>
        <v>-0.10777889652210801</v>
      </c>
      <c r="L126" s="162">
        <f t="shared" si="54"/>
        <v>3.3192967355763964E-2</v>
      </c>
      <c r="M126" s="162">
        <f t="shared" si="55"/>
        <v>-1.8237587549780901E-2</v>
      </c>
      <c r="N126" s="162">
        <f t="shared" si="56"/>
        <v>8.3493962177751291E-2</v>
      </c>
      <c r="O126" s="162">
        <f t="shared" si="57"/>
        <v>-0.33198233134836097</v>
      </c>
      <c r="P126" s="162">
        <f t="shared" si="58"/>
        <v>-0.10715838438404357</v>
      </c>
      <c r="Q126" s="162">
        <f t="shared" si="59"/>
        <v>4.5353834744710421E-2</v>
      </c>
    </row>
    <row r="127" spans="1:17">
      <c r="A127" s="271">
        <v>43966</v>
      </c>
      <c r="C127" s="162">
        <f t="shared" si="45"/>
        <v>0.10839040366642053</v>
      </c>
      <c r="D127" s="162">
        <f t="shared" si="46"/>
        <v>3.3901551675681416E-2</v>
      </c>
      <c r="E127" s="162">
        <f t="shared" si="47"/>
        <v>5.9780981755079626E-3</v>
      </c>
      <c r="F127" s="162">
        <f t="shared" si="48"/>
        <v>3.2897703507059013E-2</v>
      </c>
      <c r="G127" s="162">
        <f t="shared" si="49"/>
        <v>-0.10830819649516871</v>
      </c>
      <c r="H127" s="162">
        <f t="shared" si="50"/>
        <v>7.3260400920728812E-3</v>
      </c>
      <c r="I127" s="162">
        <f t="shared" si="51"/>
        <v>-5.770831762064673E-2</v>
      </c>
      <c r="J127" s="162">
        <f t="shared" si="52"/>
        <v>-3.0190972279145682E-2</v>
      </c>
      <c r="K127" s="162">
        <f t="shared" si="53"/>
        <v>-7.3974201837155612E-2</v>
      </c>
      <c r="L127" s="162">
        <f t="shared" si="54"/>
        <v>5.1168286574399424E-2</v>
      </c>
      <c r="M127" s="162">
        <f t="shared" si="55"/>
        <v>6.0060240602117284E-3</v>
      </c>
      <c r="N127" s="162">
        <f t="shared" si="56"/>
        <v>9.8878881017230857E-2</v>
      </c>
      <c r="O127" s="162">
        <f t="shared" si="57"/>
        <v>-0.22314355131420985</v>
      </c>
      <c r="P127" s="162">
        <f t="shared" si="58"/>
        <v>-8.303022977222016E-2</v>
      </c>
      <c r="Q127" s="162">
        <f t="shared" si="59"/>
        <v>5.9259041412322619E-2</v>
      </c>
    </row>
    <row r="128" spans="1:17">
      <c r="A128" s="271">
        <v>43969</v>
      </c>
      <c r="C128" s="162">
        <f t="shared" si="45"/>
        <v>9.2170459799657101E-2</v>
      </c>
      <c r="D128" s="162">
        <f t="shared" si="46"/>
        <v>2.9828226288045451E-2</v>
      </c>
      <c r="E128" s="162">
        <f t="shared" si="47"/>
        <v>1.2578782206860185E-2</v>
      </c>
      <c r="F128" s="162">
        <f t="shared" si="48"/>
        <v>3.3389012655146303E-3</v>
      </c>
      <c r="G128" s="162">
        <f t="shared" si="49"/>
        <v>-0.14974538635934184</v>
      </c>
      <c r="H128" s="162">
        <f t="shared" si="50"/>
        <v>1.1696039763191236E-2</v>
      </c>
      <c r="I128" s="162">
        <f t="shared" si="51"/>
        <v>-5.770831762064673E-2</v>
      </c>
      <c r="J128" s="162">
        <f t="shared" si="52"/>
        <v>-3.0190972279145682E-2</v>
      </c>
      <c r="K128" s="162">
        <f t="shared" si="53"/>
        <v>-0.10923273734033573</v>
      </c>
      <c r="L128" s="162">
        <f t="shared" si="54"/>
        <v>4.8790164169432049E-2</v>
      </c>
      <c r="M128" s="162">
        <f t="shared" si="55"/>
        <v>2.4067400305648376E-3</v>
      </c>
      <c r="N128" s="162">
        <f t="shared" si="56"/>
        <v>8.6074608771242983E-2</v>
      </c>
      <c r="O128" s="162">
        <f t="shared" si="57"/>
        <v>-0.26787944515560136</v>
      </c>
      <c r="P128" s="162">
        <f t="shared" si="58"/>
        <v>-0.10459098887879778</v>
      </c>
      <c r="Q128" s="162">
        <f t="shared" si="59"/>
        <v>7.0700813832107537E-2</v>
      </c>
    </row>
    <row r="129" spans="1:17">
      <c r="A129" s="271">
        <v>43970</v>
      </c>
      <c r="C129" s="162">
        <f t="shared" si="45"/>
        <v>8.586129060639236E-2</v>
      </c>
      <c r="D129" s="162">
        <f t="shared" si="46"/>
        <v>3.3901551675681416E-2</v>
      </c>
      <c r="E129" s="162">
        <f t="shared" si="47"/>
        <v>3.8554268610120832E-2</v>
      </c>
      <c r="F129" s="162">
        <f t="shared" si="48"/>
        <v>2.8031513855886224E-2</v>
      </c>
      <c r="G129" s="162">
        <f t="shared" si="49"/>
        <v>-0.10462495107887226</v>
      </c>
      <c r="H129" s="162">
        <f t="shared" si="50"/>
        <v>0</v>
      </c>
      <c r="I129" s="162">
        <f t="shared" si="51"/>
        <v>-5.2770035980064099E-2</v>
      </c>
      <c r="J129" s="162">
        <f t="shared" si="52"/>
        <v>-3.4029748586311373E-2</v>
      </c>
      <c r="K129" s="162">
        <f t="shared" si="53"/>
        <v>-9.0971778205726758E-2</v>
      </c>
      <c r="L129" s="162">
        <f t="shared" si="54"/>
        <v>3.4401426717332317E-2</v>
      </c>
      <c r="M129" s="162">
        <f t="shared" si="55"/>
        <v>1.197619104671562E-2</v>
      </c>
      <c r="N129" s="162">
        <f t="shared" si="56"/>
        <v>8.3493962177751291E-2</v>
      </c>
      <c r="O129" s="162">
        <f t="shared" si="57"/>
        <v>-0.26136476413440762</v>
      </c>
      <c r="P129" s="162">
        <f t="shared" si="58"/>
        <v>-0.11749439371470562</v>
      </c>
      <c r="Q129" s="162">
        <f t="shared" si="59"/>
        <v>0.11628958619001657</v>
      </c>
    </row>
    <row r="130" spans="1:17">
      <c r="A130" s="272">
        <v>43971</v>
      </c>
      <c r="C130" s="162">
        <f t="shared" si="45"/>
        <v>9.5310179804324741E-2</v>
      </c>
      <c r="D130" s="162">
        <f t="shared" si="46"/>
        <v>3.3088212875252855E-2</v>
      </c>
      <c r="E130" s="162">
        <f t="shared" si="47"/>
        <v>3.2123378279830465E-2</v>
      </c>
      <c r="F130" s="162">
        <f t="shared" si="48"/>
        <v>2.3141528561694331E-2</v>
      </c>
      <c r="G130" s="162">
        <f t="shared" si="49"/>
        <v>-9.0026151657719752E-2</v>
      </c>
      <c r="H130" s="162">
        <f t="shared" si="50"/>
        <v>7.3260400920728812E-3</v>
      </c>
      <c r="I130" s="162">
        <f t="shared" si="51"/>
        <v>-5.2770035980064099E-2</v>
      </c>
      <c r="J130" s="162">
        <f t="shared" si="52"/>
        <v>-3.4029748586311373E-2</v>
      </c>
      <c r="K130" s="162">
        <f t="shared" si="53"/>
        <v>-0.1005412292218774</v>
      </c>
      <c r="L130" s="162">
        <f t="shared" si="54"/>
        <v>4.401688541677426E-2</v>
      </c>
      <c r="M130" s="162">
        <f t="shared" si="55"/>
        <v>1.6726793805313365E-2</v>
      </c>
      <c r="N130" s="162">
        <f t="shared" si="56"/>
        <v>0.1014201784459033</v>
      </c>
      <c r="O130" s="162">
        <f t="shared" si="57"/>
        <v>-0.27115277050057041</v>
      </c>
      <c r="P130" s="162">
        <f t="shared" si="58"/>
        <v>-0.21423416632862491</v>
      </c>
      <c r="Q130" s="162">
        <f t="shared" si="59"/>
        <v>0.12062798778861472</v>
      </c>
    </row>
    <row r="131" spans="1:17">
      <c r="A131" s="271"/>
      <c r="C131" s="162"/>
      <c r="D131" s="162"/>
      <c r="E131" s="162"/>
      <c r="F131" s="162"/>
      <c r="G131" s="162"/>
      <c r="H131" s="162"/>
      <c r="I131" s="162"/>
      <c r="J131" s="162"/>
      <c r="K131" s="162"/>
      <c r="L131" s="162"/>
      <c r="M131" s="162"/>
      <c r="N131" s="162"/>
      <c r="O131" s="162"/>
      <c r="P131" s="162"/>
      <c r="Q131" s="162"/>
    </row>
    <row r="132" spans="1:17">
      <c r="A132" s="272"/>
      <c r="C132" s="162"/>
      <c r="D132" s="162"/>
      <c r="E132" s="162"/>
      <c r="F132" s="162"/>
      <c r="G132" s="162"/>
      <c r="H132" s="162"/>
      <c r="I132" s="162"/>
      <c r="J132" s="162"/>
      <c r="K132" s="162"/>
      <c r="L132" s="162"/>
      <c r="M132" s="162"/>
      <c r="N132" s="162"/>
      <c r="O132" s="162"/>
      <c r="P132" s="162"/>
      <c r="Q132" s="162"/>
    </row>
  </sheetData>
  <mergeCells count="3">
    <mergeCell ref="A1:Q1"/>
    <mergeCell ref="S1:AI1"/>
    <mergeCell ref="A52:Q5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E6F6-2169-4DC1-AB8C-C1D143226904}">
  <sheetPr>
    <tabColor theme="3" tint="-0.249977111117893"/>
  </sheetPr>
  <dimension ref="B2:AQ94"/>
  <sheetViews>
    <sheetView topLeftCell="AC2" zoomScale="65" zoomScaleNormal="65" workbookViewId="0">
      <selection activeCell="AF85" sqref="AF85"/>
    </sheetView>
  </sheetViews>
  <sheetFormatPr baseColWidth="10" defaultColWidth="11.1640625" defaultRowHeight="15"/>
  <cols>
    <col min="4" max="4" width="69.33203125" bestFit="1" customWidth="1"/>
    <col min="7" max="7" width="13.5" customWidth="1"/>
    <col min="13" max="13" width="73.6640625" bestFit="1" customWidth="1"/>
    <col min="22" max="22" width="84.33203125" bestFit="1" customWidth="1"/>
    <col min="31" max="31" width="81.6640625" bestFit="1" customWidth="1"/>
    <col min="39" max="39" width="110.5" bestFit="1" customWidth="1"/>
  </cols>
  <sheetData>
    <row r="2" spans="2:43" ht="64">
      <c r="B2" s="223" t="s">
        <v>1</v>
      </c>
      <c r="C2" s="223" t="s">
        <v>198</v>
      </c>
      <c r="D2" s="224" t="s">
        <v>199</v>
      </c>
      <c r="E2" s="224" t="s">
        <v>200</v>
      </c>
      <c r="F2" s="224" t="s">
        <v>201</v>
      </c>
      <c r="G2" s="224" t="s">
        <v>202</v>
      </c>
      <c r="H2" s="224" t="s">
        <v>203</v>
      </c>
      <c r="K2" s="223" t="s">
        <v>1</v>
      </c>
      <c r="L2" s="223" t="s">
        <v>198</v>
      </c>
      <c r="M2" s="224" t="s">
        <v>199</v>
      </c>
      <c r="N2" s="224" t="s">
        <v>200</v>
      </c>
      <c r="O2" s="224" t="s">
        <v>201</v>
      </c>
      <c r="P2" s="224" t="s">
        <v>202</v>
      </c>
      <c r="Q2" s="224" t="s">
        <v>203</v>
      </c>
      <c r="T2" s="223" t="s">
        <v>1</v>
      </c>
      <c r="U2" s="223" t="s">
        <v>198</v>
      </c>
      <c r="V2" s="224" t="s">
        <v>199</v>
      </c>
      <c r="W2" s="224" t="s">
        <v>200</v>
      </c>
      <c r="X2" s="224" t="s">
        <v>201</v>
      </c>
      <c r="Y2" s="224" t="s">
        <v>202</v>
      </c>
      <c r="Z2" s="224" t="s">
        <v>203</v>
      </c>
      <c r="AC2" s="223" t="s">
        <v>1</v>
      </c>
      <c r="AD2" s="223" t="s">
        <v>198</v>
      </c>
      <c r="AE2" s="224" t="s">
        <v>199</v>
      </c>
      <c r="AF2" s="224" t="s">
        <v>200</v>
      </c>
      <c r="AG2" s="224" t="s">
        <v>201</v>
      </c>
      <c r="AH2" s="224" t="s">
        <v>202</v>
      </c>
      <c r="AI2" s="224" t="s">
        <v>203</v>
      </c>
      <c r="AK2" s="223" t="s">
        <v>1</v>
      </c>
      <c r="AL2" s="223" t="s">
        <v>198</v>
      </c>
      <c r="AM2" s="224" t="s">
        <v>199</v>
      </c>
      <c r="AN2" s="224" t="s">
        <v>200</v>
      </c>
      <c r="AO2" s="224" t="s">
        <v>201</v>
      </c>
      <c r="AP2" s="224" t="s">
        <v>202</v>
      </c>
      <c r="AQ2" s="224" t="s">
        <v>203</v>
      </c>
    </row>
    <row r="3" spans="2:43">
      <c r="B3" s="415" t="s">
        <v>206</v>
      </c>
      <c r="C3" s="271">
        <v>43935</v>
      </c>
      <c r="D3" s="140"/>
      <c r="E3" s="140"/>
      <c r="F3" s="332">
        <f>STDEV('5.ΤΙΜΕΣ'!C54:C73)</f>
        <v>7.4584993791746351E-2</v>
      </c>
      <c r="G3" s="332">
        <f>AVERAGE('5.ΤΙΜΕΣ'!C54:C73)</f>
        <v>-3.2700109367525985E-3</v>
      </c>
      <c r="H3" s="334">
        <f>AVERAGE('5.ΤΙΜΕΣ'!U3:U23)</f>
        <v>7328894.666666667</v>
      </c>
      <c r="K3" s="415" t="s">
        <v>205</v>
      </c>
      <c r="L3" s="225">
        <v>43935</v>
      </c>
      <c r="M3" s="140"/>
      <c r="N3" s="140"/>
      <c r="O3" s="140">
        <f>STDEV('5.ΤΙΜΕΣ'!D54:D73)</f>
        <v>5.6834299528855305E-2</v>
      </c>
      <c r="P3" s="332">
        <f>AVERAGE('5.ΤΙΜΕΣ'!D54:D73)</f>
        <v>8.7056559021114008E-3</v>
      </c>
      <c r="Q3" s="352">
        <f>AVERAGE('5.ΤΙΜΕΣ'!V3:V23)</f>
        <v>11396860.19047619</v>
      </c>
      <c r="T3" s="415" t="s">
        <v>204</v>
      </c>
      <c r="U3" s="271">
        <v>43935</v>
      </c>
      <c r="V3" s="140"/>
      <c r="W3" s="140"/>
      <c r="X3" s="140">
        <f>STDEV('5.ΤΙΜΕΣ'!E54:E73)</f>
        <v>6.7091349569198946E-2</v>
      </c>
      <c r="Y3" s="140">
        <f>AVERAGE('5.ΤΙΜΕΣ'!E54:E73)</f>
        <v>8.3557326090412474E-3</v>
      </c>
      <c r="Z3" s="352">
        <f>AVERAGE('5.ΤΙΜΕΣ'!W3:W23)</f>
        <v>3254723.4761904762</v>
      </c>
      <c r="AC3" s="415" t="s">
        <v>207</v>
      </c>
      <c r="AD3" s="271">
        <v>43935</v>
      </c>
      <c r="AE3" s="140"/>
      <c r="AF3" s="140"/>
      <c r="AG3" s="140">
        <f>STDEV('5.ΤΙΜΕΣ'!F54:F73)</f>
        <v>6.5819744537465183E-2</v>
      </c>
      <c r="AH3" s="140">
        <f>AVERAGE('5.ΤΙΜΕΣ'!F54:F73)</f>
        <v>5.7534664892393622E-3</v>
      </c>
      <c r="AI3" s="334">
        <f>AVERAGE('5.ΤΙΜΕΣ'!X3:X23)</f>
        <v>1339958.1904761905</v>
      </c>
      <c r="AK3" s="415" t="s">
        <v>208</v>
      </c>
      <c r="AL3" s="271">
        <v>43935</v>
      </c>
      <c r="AM3" s="386" t="s">
        <v>291</v>
      </c>
      <c r="AN3" s="140"/>
      <c r="AO3" s="140">
        <f>STDEV('5.ΤΙΜΕΣ'!G54:G73)</f>
        <v>5.6781603071511998E-2</v>
      </c>
      <c r="AP3" s="140">
        <f>AVERAGE('5.ΤΙΜΕΣ'!G54:G73)</f>
        <v>9.7995357224793765E-3</v>
      </c>
      <c r="AQ3" s="352">
        <f>AVERAGE('5.ΤΙΜΕΣ'!Y3:Y23)</f>
        <v>882100.61904761905</v>
      </c>
    </row>
    <row r="4" spans="2:43">
      <c r="B4" s="416"/>
      <c r="C4" s="271">
        <v>43936</v>
      </c>
      <c r="D4" s="140"/>
      <c r="E4" s="140"/>
      <c r="F4" s="332">
        <f>STDEV('5.ΤΙΜΕΣ'!C55:C74)</f>
        <v>7.4657960475568247E-2</v>
      </c>
      <c r="G4" s="333">
        <f>AVERAGE('5.ΤΙΜΕΣ'!C55:C74)</f>
        <v>-3.520414994514086E-3</v>
      </c>
      <c r="H4" s="334">
        <f>AVERAGE('5.ΤΙΜΕΣ'!U4:U24)</f>
        <v>6890117.7142857146</v>
      </c>
      <c r="K4" s="416"/>
      <c r="L4" s="225">
        <v>43936</v>
      </c>
      <c r="M4" s="385" t="s">
        <v>273</v>
      </c>
      <c r="N4" s="140"/>
      <c r="O4" s="140">
        <f>STDEV('5.ΤΙΜΕΣ'!D55:D74)</f>
        <v>5.7264371396064044E-2</v>
      </c>
      <c r="P4" s="332">
        <f>AVERAGE('5.ΤΙΜΕΣ'!D55:D74)</f>
        <v>5.3647376118828444E-3</v>
      </c>
      <c r="Q4" s="183">
        <f>AVERAGE('5.ΤΙΜΕΣ'!V4:V24)</f>
        <v>11034008.666666666</v>
      </c>
      <c r="T4" s="416"/>
      <c r="U4" s="271">
        <v>43936</v>
      </c>
      <c r="V4" s="140"/>
      <c r="W4" s="140"/>
      <c r="X4" s="140">
        <f>STDEV('5.ΤΙΜΕΣ'!E55:E74)</f>
        <v>6.7087871991132919E-2</v>
      </c>
      <c r="Y4" s="140">
        <f>AVERAGE('5.ΤΙΜΕΣ'!E55:E74)</f>
        <v>8.3709868831273824E-3</v>
      </c>
      <c r="Z4" s="183">
        <f>AVERAGE('5.ΤΙΜΕΣ'!W4:W24)</f>
        <v>3180562.9047619049</v>
      </c>
      <c r="AC4" s="416"/>
      <c r="AD4" s="271">
        <v>43936</v>
      </c>
      <c r="AE4" s="140"/>
      <c r="AF4" s="140"/>
      <c r="AG4" s="140">
        <f>STDEV('5.ΤΙΜΕΣ'!F55:F74)</f>
        <v>6.6607948148950352E-2</v>
      </c>
      <c r="AH4" s="140">
        <f>AVERAGE('5.ΤΙΜΕΣ'!F55:F74)</f>
        <v>3.0530128380623083E-3</v>
      </c>
      <c r="AI4" s="334">
        <f>AVERAGE('5.ΤΙΜΕΣ'!X4:X24)</f>
        <v>1256528.7619047619</v>
      </c>
      <c r="AK4" s="416"/>
      <c r="AL4" s="271">
        <v>43936</v>
      </c>
      <c r="AM4" s="140"/>
      <c r="AN4" s="140"/>
      <c r="AO4" s="140">
        <f>STDEV('5.ΤΙΜΕΣ'!G55:G74)</f>
        <v>5.6922744528702454E-2</v>
      </c>
      <c r="AP4" s="140">
        <f>AVERAGE('5.ΤΙΜΕΣ'!G55:G74)</f>
        <v>9.5773830083623508E-3</v>
      </c>
      <c r="AQ4" s="183">
        <f>AVERAGE('5.ΤΙΜΕΣ'!Y4:Y24)</f>
        <v>896520.04761904757</v>
      </c>
    </row>
    <row r="5" spans="2:43">
      <c r="B5" s="416"/>
      <c r="C5" s="271">
        <v>43937</v>
      </c>
      <c r="D5" s="140"/>
      <c r="E5" s="140"/>
      <c r="F5" s="332">
        <f>STDEV('5.ΤΙΜΕΣ'!C56:C75)</f>
        <v>4.5984718177929117E-2</v>
      </c>
      <c r="G5" s="333">
        <f>AVERAGE('5.ΤΙΜΕΣ'!C56:C75)</f>
        <v>7.6587534996888917E-3</v>
      </c>
      <c r="H5" s="334">
        <f>AVERAGE('5.ΤΙΜΕΣ'!U5:U25)</f>
        <v>6694364.4285714282</v>
      </c>
      <c r="K5" s="416"/>
      <c r="L5" s="225">
        <v>43937</v>
      </c>
      <c r="M5" s="385" t="s">
        <v>272</v>
      </c>
      <c r="N5" s="140"/>
      <c r="O5" s="140">
        <f>STDEV('5.ΤΙΜΕΣ'!D56:D75)</f>
        <v>5.0459089773216295E-2</v>
      </c>
      <c r="P5" s="332">
        <f>AVERAGE('5.ΤΙΜΕΣ'!D56:D75)</f>
        <v>1.1806641906170262E-2</v>
      </c>
      <c r="Q5" s="183">
        <f>AVERAGE('5.ΤΙΜΕΣ'!V5:V25)</f>
        <v>10949200.952380951</v>
      </c>
      <c r="T5" s="416"/>
      <c r="U5" s="271">
        <v>43937</v>
      </c>
      <c r="V5" s="140"/>
      <c r="W5" s="140"/>
      <c r="X5" s="140">
        <f>STDEV('5.ΤΙΜΕΣ'!E56:E75)</f>
        <v>6.4832994130894592E-2</v>
      </c>
      <c r="Y5" s="140">
        <f>AVERAGE('5.ΤΙΜΕΣ'!E56:E75)</f>
        <v>9.8417799839104272E-3</v>
      </c>
      <c r="Z5" s="183">
        <f>AVERAGE('5.ΤΙΜΕΣ'!W5:W25)</f>
        <v>3199052.3333333335</v>
      </c>
      <c r="AC5" s="416"/>
      <c r="AD5" s="271">
        <v>43937</v>
      </c>
      <c r="AE5" s="140"/>
      <c r="AF5" s="140"/>
      <c r="AG5" s="140">
        <f>STDEV('5.ΤΙΜΕΣ'!F56:F75)</f>
        <v>4.8365924222488074E-2</v>
      </c>
      <c r="AH5" s="140">
        <f>AVERAGE('5.ΤΙΜΕΣ'!F56:F75)</f>
        <v>1.4299857604343057E-2</v>
      </c>
      <c r="AI5" s="334">
        <f>AVERAGE('5.ΤΙΜΕΣ'!X5:X25)</f>
        <v>1164436.3333333333</v>
      </c>
      <c r="AK5" s="416"/>
      <c r="AL5" s="271">
        <v>43937</v>
      </c>
      <c r="AM5" s="140"/>
      <c r="AN5" s="140"/>
      <c r="AO5" s="140">
        <f>STDEV('5.ΤΙΜΕΣ'!G56:G75)</f>
        <v>5.447563272491824E-2</v>
      </c>
      <c r="AP5" s="140">
        <f>AVERAGE('5.ΤΙΜΕΣ'!G56:G75)</f>
        <v>1.1219918454107875E-2</v>
      </c>
      <c r="AQ5" s="183">
        <f>AVERAGE('5.ΤΙΜΕΣ'!Y5:Y25)</f>
        <v>905963.71428571432</v>
      </c>
    </row>
    <row r="6" spans="2:43">
      <c r="B6" s="416"/>
      <c r="C6" s="271">
        <v>43942</v>
      </c>
      <c r="D6" s="385" t="s">
        <v>271</v>
      </c>
      <c r="E6" s="140"/>
      <c r="F6" s="332">
        <f>STDEV('5.ΤΙΜΕΣ'!C57:C76)</f>
        <v>4.6758362593207085E-2</v>
      </c>
      <c r="G6" s="333">
        <f>AVERAGE('5.ΤΙΜΕΣ'!C57:C76)</f>
        <v>8.6664034148290787E-3</v>
      </c>
      <c r="H6" s="334">
        <f>AVERAGE('5.ΤΙΜΕΣ'!U6:U26)</f>
        <v>6542095.7142857146</v>
      </c>
      <c r="K6" s="416"/>
      <c r="L6" s="225">
        <v>43942</v>
      </c>
      <c r="M6" s="385" t="s">
        <v>273</v>
      </c>
      <c r="N6" s="140"/>
      <c r="O6" s="140">
        <f>STDEV('5.ΤΙΜΕΣ'!D57:D76)</f>
        <v>5.0925990562023286E-2</v>
      </c>
      <c r="P6" s="332">
        <f>AVERAGE('5.ΤΙΜΕΣ'!D57:D76)</f>
        <v>1.0402039156422642E-2</v>
      </c>
      <c r="Q6" s="183">
        <f>AVERAGE('5.ΤΙΜΕΣ'!V6:V26)</f>
        <v>11130633.047619049</v>
      </c>
      <c r="T6" s="416"/>
      <c r="U6" s="271">
        <v>43942</v>
      </c>
      <c r="V6" s="140"/>
      <c r="W6" s="140"/>
      <c r="X6" s="140">
        <f>STDEV('5.ΤΙΜΕΣ'!E57:E76)</f>
        <v>6.6717518961033132E-2</v>
      </c>
      <c r="Y6" s="140">
        <f>AVERAGE('5.ΤΙΜΕΣ'!E57:E76)</f>
        <v>7.5411444867291774E-3</v>
      </c>
      <c r="Z6" s="183">
        <f>AVERAGE('5.ΤΙΜΕΣ'!W6:W26)</f>
        <v>3287348.1904761903</v>
      </c>
      <c r="AC6" s="416"/>
      <c r="AD6" s="271">
        <v>43942</v>
      </c>
      <c r="AE6" s="140"/>
      <c r="AF6" s="140"/>
      <c r="AG6" s="140">
        <f>STDEV('5.ΤΙΜΕΣ'!F57:F76)</f>
        <v>4.6123393296068738E-2</v>
      </c>
      <c r="AH6" s="140">
        <f>AVERAGE('5.ΤΙΜΕΣ'!F57:F76)</f>
        <v>7.7148444672879108E-3</v>
      </c>
      <c r="AI6" s="334">
        <f>AVERAGE('5.ΤΙΜΕΣ'!X6:X26)</f>
        <v>1137234.9047619049</v>
      </c>
      <c r="AK6" s="416"/>
      <c r="AL6" s="271">
        <v>43942</v>
      </c>
      <c r="AM6" s="387" t="s">
        <v>291</v>
      </c>
      <c r="AN6" s="140"/>
      <c r="AO6" s="140">
        <f>STDEV('5.ΤΙΜΕΣ'!G57:G76)</f>
        <v>5.4710774100626101E-2</v>
      </c>
      <c r="AP6" s="140">
        <f>AVERAGE('5.ΤΙΜΕΣ'!G57:G76)</f>
        <v>1.0592199803013813E-2</v>
      </c>
      <c r="AQ6" s="183">
        <f>AVERAGE('5.ΤΙΜΕΣ'!Y6:Y26)</f>
        <v>914434.23809523811</v>
      </c>
    </row>
    <row r="7" spans="2:43">
      <c r="B7" s="416"/>
      <c r="C7" s="271">
        <v>43943</v>
      </c>
      <c r="D7" s="140"/>
      <c r="E7" s="140"/>
      <c r="F7" s="332">
        <f>STDEV('5.ΤΙΜΕΣ'!C58:C77)</f>
        <v>4.6124498445007378E-2</v>
      </c>
      <c r="G7" s="333">
        <f>AVERAGE('5.ΤΙΜΕΣ'!C58:C77)</f>
        <v>9.7352807996838354E-3</v>
      </c>
      <c r="H7" s="334">
        <f>AVERAGE('5.ΤΙΜΕΣ'!U7:U27)</f>
        <v>6227117.8095238097</v>
      </c>
      <c r="K7" s="416"/>
      <c r="L7" s="225">
        <v>43943</v>
      </c>
      <c r="M7" s="385" t="s">
        <v>273</v>
      </c>
      <c r="N7" s="140"/>
      <c r="O7" s="140">
        <f>STDEV('5.ΤΙΜΕΣ'!D58:D77)</f>
        <v>4.9046636148284362E-2</v>
      </c>
      <c r="P7" s="332">
        <f>AVERAGE('5.ΤΙΜΕΣ'!D58:D77)</f>
        <v>8.2453257596138176E-3</v>
      </c>
      <c r="Q7" s="183">
        <f>AVERAGE('5.ΤΙΜΕΣ'!V7:V27)</f>
        <v>10577186.857142856</v>
      </c>
      <c r="T7" s="416"/>
      <c r="U7" s="271">
        <v>43943</v>
      </c>
      <c r="V7" s="140"/>
      <c r="W7" s="140"/>
      <c r="X7" s="140">
        <f>STDEV('5.ΤΙΜΕΣ'!E58:E77)</f>
        <v>6.716153753952446E-2</v>
      </c>
      <c r="Y7" s="140">
        <f>AVERAGE('5.ΤΙΜΕΣ'!E58:E77)</f>
        <v>6.1318346424847677E-3</v>
      </c>
      <c r="Z7" s="183">
        <f>AVERAGE('5.ΤΙΜΕΣ'!W7:W27)</f>
        <v>3116107.2857142859</v>
      </c>
      <c r="AC7" s="416"/>
      <c r="AD7" s="271">
        <v>43943</v>
      </c>
      <c r="AE7" s="140"/>
      <c r="AF7" s="140"/>
      <c r="AG7" s="140">
        <f>STDEV('5.ΤΙΜΕΣ'!F58:F77)</f>
        <v>4.6129782729922936E-2</v>
      </c>
      <c r="AH7" s="140">
        <f>AVERAGE('5.ΤΙΜΕΣ'!F58:F77)</f>
        <v>8.2584238783852473E-3</v>
      </c>
      <c r="AI7" s="334">
        <f>AVERAGE('5.ΤΙΜΕΣ'!X7:X27)</f>
        <v>1047359.0952380953</v>
      </c>
      <c r="AK7" s="416"/>
      <c r="AL7" s="271">
        <v>43943</v>
      </c>
      <c r="AM7" s="140"/>
      <c r="AN7" s="140"/>
      <c r="AO7" s="140">
        <f>STDEV('5.ΤΙΜΕΣ'!G58:G77)</f>
        <v>5.4101723047711513E-2</v>
      </c>
      <c r="AP7" s="140">
        <f>AVERAGE('5.ΤΙΜΕΣ'!G58:G77)</f>
        <v>9.4713191208849606E-3</v>
      </c>
      <c r="AQ7" s="183">
        <f>AVERAGE('5.ΤΙΜΕΣ'!Y7:Y27)</f>
        <v>891771.61904761905</v>
      </c>
    </row>
    <row r="8" spans="2:43">
      <c r="B8" s="416"/>
      <c r="C8" s="271">
        <v>43944</v>
      </c>
      <c r="D8" s="140"/>
      <c r="E8" s="140"/>
      <c r="F8" s="332">
        <f>STDEV('5.ΤΙΜΕΣ'!C59:C78)</f>
        <v>4.8371941620127042E-2</v>
      </c>
      <c r="G8" s="333">
        <f>AVERAGE('5.ΤΙΜΕΣ'!C59:C78)</f>
        <v>1.1381752855025341E-2</v>
      </c>
      <c r="H8" s="334">
        <f>AVERAGE('5.ΤΙΜΕΣ'!U8:U28)</f>
        <v>6291023.4761904757</v>
      </c>
      <c r="K8" s="416"/>
      <c r="L8" s="225">
        <v>43944</v>
      </c>
      <c r="M8" s="385" t="s">
        <v>273</v>
      </c>
      <c r="N8" s="140"/>
      <c r="O8" s="140">
        <f>STDEV('5.ΤΙΜΕΣ'!D59:D78)</f>
        <v>4.0446881592804268E-2</v>
      </c>
      <c r="P8" s="332">
        <f>AVERAGE('5.ΤΙΜΕΣ'!D59:D78)</f>
        <v>1.2132310999815501E-3</v>
      </c>
      <c r="Q8" s="183">
        <f>AVERAGE('5.ΤΙΜΕΣ'!V8:V28)</f>
        <v>10358893</v>
      </c>
      <c r="T8" s="416"/>
      <c r="U8" s="271">
        <v>43944</v>
      </c>
      <c r="V8" s="140"/>
      <c r="W8" s="140"/>
      <c r="X8" s="140">
        <f>STDEV('5.ΤΙΜΕΣ'!E59:E78)</f>
        <v>6.7747162877211095E-2</v>
      </c>
      <c r="Y8" s="140">
        <f>AVERAGE('5.ΤΙΜΕΣ'!E59:E78)</f>
        <v>6.7606739403753722E-3</v>
      </c>
      <c r="Z8" s="183">
        <f>AVERAGE('5.ΤΙΜΕΣ'!W8:W28)</f>
        <v>3280748.4761904762</v>
      </c>
      <c r="AC8" s="416"/>
      <c r="AD8" s="271">
        <v>43944</v>
      </c>
      <c r="AE8" s="140"/>
      <c r="AF8" s="140"/>
      <c r="AG8" s="140">
        <f>STDEV('5.ΤΙΜΕΣ'!F59:F78)</f>
        <v>4.5887909950877249E-2</v>
      </c>
      <c r="AH8" s="140">
        <f>AVERAGE('5.ΤΙΜΕΣ'!F59:F78)</f>
        <v>1.000529416235962E-2</v>
      </c>
      <c r="AI8" s="334">
        <f>AVERAGE('5.ΤΙΜΕΣ'!X8:X28)</f>
        <v>1036987.9523809524</v>
      </c>
      <c r="AK8" s="416"/>
      <c r="AL8" s="271">
        <v>43944</v>
      </c>
      <c r="AM8" s="140"/>
      <c r="AN8" s="140"/>
      <c r="AO8" s="140">
        <f>STDEV('5.ΤΙΜΕΣ'!G59:G78)</f>
        <v>4.5357306718002539E-2</v>
      </c>
      <c r="AP8" s="140">
        <f>AVERAGE('5.ΤΙΜΕΣ'!G59:G78)</f>
        <v>5.4059569048452985E-3</v>
      </c>
      <c r="AQ8" s="183">
        <f>AVERAGE('5.ΤΙΜΕΣ'!Y8:Y28)</f>
        <v>912193.28571428568</v>
      </c>
    </row>
    <row r="9" spans="2:43">
      <c r="B9" s="416"/>
      <c r="C9" s="271">
        <v>43945</v>
      </c>
      <c r="D9" s="140"/>
      <c r="E9" s="140"/>
      <c r="F9" s="332">
        <f>STDEV('5.ΤΙΜΕΣ'!C60:C79)</f>
        <v>4.7239114580080649E-2</v>
      </c>
      <c r="G9" s="333">
        <f>AVERAGE('5.ΤΙΜΕΣ'!C60:C79)</f>
        <v>9.4254027325726859E-3</v>
      </c>
      <c r="H9" s="334">
        <f>AVERAGE('5.ΤΙΜΕΣ'!U9:U29)</f>
        <v>6088280.6190476194</v>
      </c>
      <c r="K9" s="416"/>
      <c r="L9" s="225">
        <v>43945</v>
      </c>
      <c r="M9" s="385" t="s">
        <v>273</v>
      </c>
      <c r="N9" s="140"/>
      <c r="O9" s="140">
        <f>STDEV('5.ΤΙΜΕΣ'!D60:D79)</f>
        <v>4.0167228727025862E-2</v>
      </c>
      <c r="P9" s="332">
        <f>AVERAGE('5.ΤΙΜΕΣ'!D60:D79)</f>
        <v>-1.7272874762627912E-3</v>
      </c>
      <c r="Q9" s="183">
        <f>AVERAGE('5.ΤΙΜΕΣ'!V9:V29)</f>
        <v>10067579.761904761</v>
      </c>
      <c r="T9" s="416"/>
      <c r="U9" s="271">
        <v>43945</v>
      </c>
      <c r="V9" s="140"/>
      <c r="W9" s="140"/>
      <c r="X9" s="140">
        <f>STDEV('5.ΤΙΜΕΣ'!E60:E79)</f>
        <v>6.6610633226588348E-2</v>
      </c>
      <c r="Y9" s="140">
        <f>AVERAGE('5.ΤΙΜΕΣ'!E60:E79)</f>
        <v>9.086674722120016E-3</v>
      </c>
      <c r="Z9" s="183">
        <f>AVERAGE('5.ΤΙΜΕΣ'!W9:W29)</f>
        <v>3312845</v>
      </c>
      <c r="AC9" s="416"/>
      <c r="AD9" s="271">
        <v>43945</v>
      </c>
      <c r="AE9" s="140"/>
      <c r="AF9" s="140"/>
      <c r="AG9" s="140">
        <f>STDEV('5.ΤΙΜΕΣ'!F60:F79)</f>
        <v>4.4996622391220209E-2</v>
      </c>
      <c r="AH9" s="140">
        <f>AVERAGE('5.ΤΙΜΕΣ'!F60:F79)</f>
        <v>8.5717874574351774E-3</v>
      </c>
      <c r="AI9" s="334">
        <f>AVERAGE('5.ΤΙΜΕΣ'!X9:X29)</f>
        <v>1007096.3333333334</v>
      </c>
      <c r="AK9" s="416"/>
      <c r="AL9" s="271">
        <v>43945</v>
      </c>
      <c r="AM9" s="140"/>
      <c r="AN9" s="140"/>
      <c r="AO9" s="140">
        <f>STDEV('5.ΤΙΜΕΣ'!G60:G79)</f>
        <v>4.3916751093598133E-2</v>
      </c>
      <c r="AP9" s="140">
        <f>AVERAGE('5.ΤΙΜΕΣ'!G60:G79)</f>
        <v>2.6344240610037652E-3</v>
      </c>
      <c r="AQ9" s="183">
        <f>AVERAGE('5.ΤΙΜΕΣ'!Y9:Y29)</f>
        <v>908692.42857142852</v>
      </c>
    </row>
    <row r="10" spans="2:43">
      <c r="B10" s="416"/>
      <c r="C10" s="271">
        <v>43948</v>
      </c>
      <c r="D10" s="140"/>
      <c r="E10" s="140"/>
      <c r="F10" s="332">
        <f>STDEV('5.ΤΙΜΕΣ'!C61:C80)</f>
        <v>4.2858692784116768E-2</v>
      </c>
      <c r="G10" s="333">
        <f>AVERAGE('5.ΤΙΜΕΣ'!C61:C80)</f>
        <v>1.3307011433851315E-2</v>
      </c>
      <c r="H10" s="334">
        <f>AVERAGE('5.ΤΙΜΕΣ'!U10:U30)</f>
        <v>5923986.2857142854</v>
      </c>
      <c r="K10" s="416"/>
      <c r="L10" s="225">
        <v>43948</v>
      </c>
      <c r="M10" s="385" t="s">
        <v>273</v>
      </c>
      <c r="N10" s="140"/>
      <c r="O10" s="140">
        <f>STDEV('5.ΤΙΜΕΣ'!D61:D80)</f>
        <v>3.9983228027485399E-2</v>
      </c>
      <c r="P10" s="332">
        <f>AVERAGE('5.ΤΙΜΕΣ'!D61:D80)</f>
        <v>1.2987743201630197E-3</v>
      </c>
      <c r="Q10" s="183">
        <f>AVERAGE('5.ΤΙΜΕΣ'!V10:V30)</f>
        <v>9550006.333333334</v>
      </c>
      <c r="T10" s="416"/>
      <c r="U10" s="271">
        <v>43948</v>
      </c>
      <c r="V10" s="140"/>
      <c r="W10" s="140"/>
      <c r="X10" s="140">
        <f>STDEV('5.ΤΙΜΕΣ'!E61:E80)</f>
        <v>5.7786806647809039E-2</v>
      </c>
      <c r="Y10" s="140">
        <f>AVERAGE('5.ΤΙΜΕΣ'!E61:E80)</f>
        <v>1.6223590172204878E-2</v>
      </c>
      <c r="Z10" s="183">
        <f>AVERAGE('5.ΤΙΜΕΣ'!W10:W30)</f>
        <v>3049676.6666666665</v>
      </c>
      <c r="AC10" s="416"/>
      <c r="AD10" s="271">
        <v>43948</v>
      </c>
      <c r="AE10" s="140"/>
      <c r="AF10" s="140"/>
      <c r="AG10" s="140">
        <f>STDEV('5.ΤΙΜΕΣ'!F61:F80)</f>
        <v>4.2627265100202427E-2</v>
      </c>
      <c r="AH10" s="140">
        <f>AVERAGE('5.ΤΙΜΕΣ'!F61:F80)</f>
        <v>1.3198277291723246E-2</v>
      </c>
      <c r="AI10" s="334">
        <f>AVERAGE('5.ΤΙΜΕΣ'!X10:X30)</f>
        <v>1002527.4761904762</v>
      </c>
      <c r="AK10" s="416"/>
      <c r="AL10" s="271">
        <v>43948</v>
      </c>
      <c r="AM10" s="140"/>
      <c r="AN10" s="140"/>
      <c r="AO10" s="140">
        <f>STDEV('5.ΤΙΜΕΣ'!G61:G80)</f>
        <v>4.0524738009812412E-2</v>
      </c>
      <c r="AP10" s="140">
        <f>AVERAGE('5.ΤΙΜΕΣ'!G61:G80)</f>
        <v>8.800619380034496E-3</v>
      </c>
      <c r="AQ10" s="183">
        <f>AVERAGE('5.ΤΙΜΕΣ'!Y10:Y30)</f>
        <v>897216.04761904757</v>
      </c>
    </row>
    <row r="11" spans="2:43">
      <c r="B11" s="416"/>
      <c r="C11" s="271">
        <v>43949</v>
      </c>
      <c r="D11" s="140"/>
      <c r="E11" s="140"/>
      <c r="F11" s="332">
        <f>STDEV('5.ΤΙΜΕΣ'!C62:C81)</f>
        <v>4.0324987778925979E-2</v>
      </c>
      <c r="G11" s="333">
        <f>AVERAGE('5.ΤΙΜΕΣ'!C62:C81)</f>
        <v>1.0057725256352332E-2</v>
      </c>
      <c r="H11" s="334">
        <f>AVERAGE('5.ΤΙΜΕΣ'!U11:U31)</f>
        <v>6011800.7142857146</v>
      </c>
      <c r="K11" s="416"/>
      <c r="L11" s="225">
        <v>43949</v>
      </c>
      <c r="M11" s="385" t="s">
        <v>273</v>
      </c>
      <c r="N11" s="140"/>
      <c r="O11" s="140">
        <f>STDEV('5.ΤΙΜΕΣ'!D62:D81)</f>
        <v>3.9012268705804036E-2</v>
      </c>
      <c r="P11" s="332">
        <f>AVERAGE('5.ΤΙΜΕΣ'!D62:D81)</f>
        <v>-1.2652895828585759E-4</v>
      </c>
      <c r="Q11" s="183">
        <f>AVERAGE('5.ΤΙΜΕΣ'!V11:V31)</f>
        <v>9560735.7619047612</v>
      </c>
      <c r="T11" s="416"/>
      <c r="U11" s="271">
        <v>43949</v>
      </c>
      <c r="V11" s="140"/>
      <c r="W11" s="140"/>
      <c r="X11" s="140">
        <f>STDEV('5.ΤΙΜΕΣ'!E62:E81)</f>
        <v>5.0091366742625376E-2</v>
      </c>
      <c r="Y11" s="140">
        <f>AVERAGE('5.ΤΙΜΕΣ'!E62:E81)</f>
        <v>1.0567537712918832E-2</v>
      </c>
      <c r="Z11" s="183">
        <f>AVERAGE('5.ΤΙΜΕΣ'!W11:W31)</f>
        <v>3093730.9523809524</v>
      </c>
      <c r="AC11" s="416"/>
      <c r="AD11" s="271">
        <v>43949</v>
      </c>
      <c r="AE11" s="140"/>
      <c r="AF11" s="140"/>
      <c r="AG11" s="140">
        <f>STDEV('5.ΤΙΜΕΣ'!F62:F81)</f>
        <v>3.5759467201253753E-2</v>
      </c>
      <c r="AH11" s="140">
        <f>AVERAGE('5.ΤΙΜΕΣ'!F62:F81)</f>
        <v>6.2690694131299169E-3</v>
      </c>
      <c r="AI11" s="334">
        <f>AVERAGE('5.ΤΙΜΕΣ'!X11:X31)</f>
        <v>1021603.7142857143</v>
      </c>
      <c r="AK11" s="416"/>
      <c r="AL11" s="271">
        <v>43949</v>
      </c>
      <c r="AM11" s="387" t="s">
        <v>293</v>
      </c>
      <c r="AN11" s="140"/>
      <c r="AO11" s="140">
        <f>STDEV('5.ΤΙΜΕΣ'!G62:G81)</f>
        <v>4.0206435823799E-2</v>
      </c>
      <c r="AP11" s="140">
        <f>AVERAGE('5.ΤΙΜΕΣ'!G62:G81)</f>
        <v>8.2757219238786643E-3</v>
      </c>
      <c r="AQ11" s="183">
        <f>AVERAGE('5.ΤΙΜΕΣ'!Y11:Y31)</f>
        <v>949948.38095238095</v>
      </c>
    </row>
    <row r="12" spans="2:43">
      <c r="B12" s="416"/>
      <c r="C12" s="271">
        <v>43950</v>
      </c>
      <c r="D12" s="140"/>
      <c r="E12" s="140"/>
      <c r="F12" s="332">
        <f>STDEV('5.ΤΙΜΕΣ'!C63:C82)</f>
        <v>3.7508978210980114E-2</v>
      </c>
      <c r="G12" s="333">
        <f>AVERAGE('5.ΤΙΜΕΣ'!C63:C82)</f>
        <v>7.0725241861735091E-3</v>
      </c>
      <c r="H12" s="334">
        <f>AVERAGE('5.ΤΙΜΕΣ'!U12:U32)</f>
        <v>5946219.1428571427</v>
      </c>
      <c r="K12" s="416"/>
      <c r="L12" s="225">
        <v>43950</v>
      </c>
      <c r="M12" s="385" t="s">
        <v>273</v>
      </c>
      <c r="N12" s="140"/>
      <c r="O12" s="140">
        <f>STDEV('5.ΤΙΜΕΣ'!D63:D82)</f>
        <v>3.9404303531825988E-2</v>
      </c>
      <c r="P12" s="332">
        <f>AVERAGE('5.ΤΙΜΕΣ'!D63:D82)</f>
        <v>6.6226133750101914E-4</v>
      </c>
      <c r="Q12" s="183">
        <f>AVERAGE('5.ΤΙΜΕΣ'!V12:V32)</f>
        <v>9103643.0952380951</v>
      </c>
      <c r="T12" s="416"/>
      <c r="U12" s="271">
        <v>43950</v>
      </c>
      <c r="V12" s="140"/>
      <c r="W12" s="140"/>
      <c r="X12" s="140">
        <f>STDEV('5.ΤΙΜΕΣ'!E63:E82)</f>
        <v>4.6971093108497286E-2</v>
      </c>
      <c r="Y12" s="140">
        <f>AVERAGE('5.ΤΙΜΕΣ'!E63:E82)</f>
        <v>6.9321452315371348E-3</v>
      </c>
      <c r="Z12" s="183">
        <f>AVERAGE('5.ΤΙΜΕΣ'!W12:W32)</f>
        <v>3053136.8095238097</v>
      </c>
      <c r="AC12" s="416"/>
      <c r="AD12" s="271">
        <v>43950</v>
      </c>
      <c r="AE12" s="140"/>
      <c r="AF12" s="140"/>
      <c r="AG12" s="140">
        <f>STDEV('5.ΤΙΜΕΣ'!F63:F82)</f>
        <v>3.3930863678221693E-2</v>
      </c>
      <c r="AH12" s="140">
        <f>AVERAGE('5.ΤΙΜΕΣ'!F63:F82)</f>
        <v>2.979604860112289E-3</v>
      </c>
      <c r="AI12" s="334">
        <f>AVERAGE('5.ΤΙΜΕΣ'!X12:X32)</f>
        <v>995912.19047619053</v>
      </c>
      <c r="AK12" s="416"/>
      <c r="AL12" s="271">
        <v>43950</v>
      </c>
      <c r="AM12" s="140"/>
      <c r="AN12" s="140"/>
      <c r="AO12" s="140">
        <f>STDEV('5.ΤΙΜΕΣ'!G63:G82)</f>
        <v>3.7432977137556833E-2</v>
      </c>
      <c r="AP12" s="140">
        <f>AVERAGE('5.ΤΙΜΕΣ'!G63:G82)</f>
        <v>1.174867463745701E-2</v>
      </c>
      <c r="AQ12" s="183">
        <f>AVERAGE('5.ΤΙΜΕΣ'!Y12:Y32)</f>
        <v>933535.28571428568</v>
      </c>
    </row>
    <row r="13" spans="2:43">
      <c r="B13" s="416"/>
      <c r="C13" s="271">
        <v>43951</v>
      </c>
      <c r="D13" s="140"/>
      <c r="E13" s="140"/>
      <c r="F13" s="332">
        <f>STDEV('5.ΤΙΜΕΣ'!C64:C83)</f>
        <v>3.6938602711678148E-2</v>
      </c>
      <c r="G13" s="333">
        <f>AVERAGE('5.ΤΙΜΕΣ'!C64:C83)</f>
        <v>8.4137170534197888E-3</v>
      </c>
      <c r="H13" s="334">
        <f>AVERAGE('5.ΤΙΜΕΣ'!U13:U33)</f>
        <v>5933908.9047619049</v>
      </c>
      <c r="K13" s="416"/>
      <c r="L13" s="225">
        <v>43951</v>
      </c>
      <c r="M13" s="385" t="s">
        <v>273</v>
      </c>
      <c r="N13" s="140"/>
      <c r="O13" s="140">
        <f>STDEV('5.ΤΙΜΕΣ'!D64:D83)</f>
        <v>3.5394629787479558E-2</v>
      </c>
      <c r="P13" s="332">
        <f>AVERAGE('5.ΤΙΜΕΣ'!D64:D83)</f>
        <v>4.0882977348283642E-3</v>
      </c>
      <c r="Q13" s="183">
        <f>AVERAGE('5.ΤΙΜΕΣ'!V13:V33)</f>
        <v>8402696.4761904757</v>
      </c>
      <c r="T13" s="416"/>
      <c r="U13" s="271">
        <v>43951</v>
      </c>
      <c r="V13" s="140"/>
      <c r="W13" s="140"/>
      <c r="X13" s="140">
        <f>STDEV('5.ΤΙΜΕΣ'!E64:E83)</f>
        <v>4.6299286445799413E-2</v>
      </c>
      <c r="Y13" s="140">
        <f>AVERAGE('5.ΤΙΜΕΣ'!E64:E83)</f>
        <v>8.3177269669540317E-3</v>
      </c>
      <c r="Z13" s="183">
        <f>AVERAGE('5.ΤΙΜΕΣ'!W13:W33)</f>
        <v>2992983.9523809524</v>
      </c>
      <c r="AC13" s="416"/>
      <c r="AD13" s="271">
        <v>43951</v>
      </c>
      <c r="AE13" s="140"/>
      <c r="AF13" s="140"/>
      <c r="AG13" s="140">
        <f>STDEV('5.ΤΙΜΕΣ'!F64:F83)</f>
        <v>3.3564662465507551E-2</v>
      </c>
      <c r="AH13" s="140">
        <f>AVERAGE('5.ΤΙΜΕΣ'!F64:F83)</f>
        <v>3.6285346417417831E-3</v>
      </c>
      <c r="AI13" s="334">
        <f>AVERAGE('5.ΤΙΜΕΣ'!X13:X33)</f>
        <v>924608.14285714284</v>
      </c>
      <c r="AK13" s="416"/>
      <c r="AL13" s="271">
        <v>43951</v>
      </c>
      <c r="AM13" s="140"/>
      <c r="AN13" s="140"/>
      <c r="AO13" s="140">
        <f>STDEV('5.ΤΙΜΕΣ'!G64:G83)</f>
        <v>4.0804468432868876E-2</v>
      </c>
      <c r="AP13" s="140">
        <f>AVERAGE('5.ΤΙΜΕΣ'!G64:G83)</f>
        <v>8.4194535517394999E-3</v>
      </c>
      <c r="AQ13" s="183">
        <f>AVERAGE('5.ΤΙΜΕΣ'!Y13:Y33)</f>
        <v>907409.28571428568</v>
      </c>
    </row>
    <row r="14" spans="2:43">
      <c r="B14" s="416"/>
      <c r="C14" s="271">
        <v>43955</v>
      </c>
      <c r="D14" s="140"/>
      <c r="E14" s="140"/>
      <c r="F14" s="332">
        <f>STDEV('5.ΤΙΜΕΣ'!C65:C84)</f>
        <v>3.7069493168482237E-2</v>
      </c>
      <c r="G14" s="333">
        <f>AVERAGE('5.ΤΙΜΕΣ'!C65:C84)</f>
        <v>6.4957854490900373E-3</v>
      </c>
      <c r="H14" s="334">
        <f>AVERAGE('5.ΤΙΜΕΣ'!U14:U34)</f>
        <v>5712113.4761904757</v>
      </c>
      <c r="K14" s="416"/>
      <c r="L14" s="225">
        <v>43955</v>
      </c>
      <c r="M14" s="385" t="s">
        <v>273</v>
      </c>
      <c r="N14" s="140"/>
      <c r="O14" s="140">
        <f>STDEV('5.ΤΙΜΕΣ'!D65:D84)</f>
        <v>3.5376348484054902E-2</v>
      </c>
      <c r="P14" s="332">
        <f>AVERAGE('5.ΤΙΜΕΣ'!D65:D84)</f>
        <v>3.8480520568064031E-3</v>
      </c>
      <c r="Q14" s="183">
        <f>AVERAGE('5.ΤΙΜΕΣ'!V14:V34)</f>
        <v>8192631.3809523806</v>
      </c>
      <c r="T14" s="416"/>
      <c r="U14" s="271">
        <v>43955</v>
      </c>
      <c r="V14" s="140"/>
      <c r="W14" s="140"/>
      <c r="X14" s="140">
        <f>STDEV('5.ΤΙΜΕΣ'!E65:E84)</f>
        <v>4.5879741650620087E-2</v>
      </c>
      <c r="Y14" s="140">
        <f>AVERAGE('5.ΤΙΜΕΣ'!E65:E84)</f>
        <v>4.6221397163584378E-3</v>
      </c>
      <c r="Z14" s="183">
        <f>AVERAGE('5.ΤΙΜΕΣ'!W14:W34)</f>
        <v>2977363.9523809524</v>
      </c>
      <c r="AC14" s="416"/>
      <c r="AD14" s="271">
        <v>43955</v>
      </c>
      <c r="AE14" s="140"/>
      <c r="AF14" s="140"/>
      <c r="AG14" s="140">
        <f>STDEV('5.ΤΙΜΕΣ'!F65:F84)</f>
        <v>3.7651431435359518E-2</v>
      </c>
      <c r="AH14" s="140">
        <f>AVERAGE('5.ΤΙΜΕΣ'!F65:F84)</f>
        <v>1.457167719820518E-17</v>
      </c>
      <c r="AI14" s="334">
        <f>AVERAGE('5.ΤΙΜΕΣ'!X14:X34)</f>
        <v>895853.57142857148</v>
      </c>
      <c r="AK14" s="416"/>
      <c r="AL14" s="271">
        <v>43955</v>
      </c>
      <c r="AM14" s="140"/>
      <c r="AN14" s="140"/>
      <c r="AO14" s="140">
        <f>STDEV('5.ΤΙΜΕΣ'!G65:G84)</f>
        <v>4.095173999826876E-2</v>
      </c>
      <c r="AP14" s="140">
        <f>AVERAGE('5.ΤΙΜΕΣ'!G65:G84)</f>
        <v>8.0552547627980031E-3</v>
      </c>
      <c r="AQ14" s="183">
        <f>AVERAGE('5.ΤΙΜΕΣ'!Y14:Y34)</f>
        <v>902146.19047619053</v>
      </c>
    </row>
    <row r="15" spans="2:43">
      <c r="B15" s="416"/>
      <c r="C15" s="271">
        <v>43956</v>
      </c>
      <c r="D15" s="140"/>
      <c r="E15" s="140"/>
      <c r="F15" s="332">
        <f>STDEV('5.ΤΙΜΕΣ'!C66:C85)</f>
        <v>3.6443250229838173E-2</v>
      </c>
      <c r="G15" s="333">
        <f>AVERAGE('5.ΤΙΜΕΣ'!C66:C85)</f>
        <v>7.5526871658362655E-3</v>
      </c>
      <c r="H15" s="334">
        <f>AVERAGE('5.ΤΙΜΕΣ'!U15:U35)</f>
        <v>5714238.1904761903</v>
      </c>
      <c r="K15" s="416"/>
      <c r="L15" s="225">
        <v>43956</v>
      </c>
      <c r="M15" s="385" t="s">
        <v>273</v>
      </c>
      <c r="N15" s="140"/>
      <c r="O15" s="140">
        <f>STDEV('5.ΤΙΜΕΣ'!D66:D85)</f>
        <v>3.5443002399857607E-2</v>
      </c>
      <c r="P15" s="332">
        <f>AVERAGE('5.ΤΙΜΕΣ'!D66:D85)</f>
        <v>3.7704096687237315E-3</v>
      </c>
      <c r="Q15" s="183">
        <f>AVERAGE('5.ΤΙΜΕΣ'!V15:V35)</f>
        <v>8001653.333333333</v>
      </c>
      <c r="T15" s="416"/>
      <c r="U15" s="271">
        <v>43956</v>
      </c>
      <c r="V15" s="140"/>
      <c r="W15" s="140"/>
      <c r="X15" s="140">
        <f>STDEV('5.ΤΙΜΕΣ'!E66:E85)</f>
        <v>4.522376968891275E-2</v>
      </c>
      <c r="Y15" s="140">
        <f>AVERAGE('5.ΤΙΜΕΣ'!E66:E85)</f>
        <v>7.1009003250920577E-3</v>
      </c>
      <c r="Z15" s="183">
        <f>AVERAGE('5.ΤΙΜΕΣ'!W15:W35)</f>
        <v>3040852.8571428573</v>
      </c>
      <c r="AC15" s="416"/>
      <c r="AD15" s="271">
        <v>43956</v>
      </c>
      <c r="AE15" s="140"/>
      <c r="AF15" s="140"/>
      <c r="AG15" s="140">
        <f>STDEV('5.ΤΙΜΕΣ'!F66:F85)</f>
        <v>3.7405425509401694E-2</v>
      </c>
      <c r="AH15" s="140">
        <f>AVERAGE('5.ΤΙΜΕΣ'!F66:F85)</f>
        <v>-1.6950775837840544E-3</v>
      </c>
      <c r="AI15" s="334">
        <f>AVERAGE('5.ΤΙΜΕΣ'!X15:X35)</f>
        <v>905105.19047619053</v>
      </c>
      <c r="AK15" s="416"/>
      <c r="AL15" s="271">
        <v>43956</v>
      </c>
      <c r="AM15" s="385" t="s">
        <v>292</v>
      </c>
      <c r="AN15" s="140"/>
      <c r="AO15" s="140">
        <f>STDEV('5.ΤΙΜΕΣ'!G66:G85)</f>
        <v>4.0658470031894087E-2</v>
      </c>
      <c r="AP15" s="140">
        <f>AVERAGE('5.ΤΙΜΕΣ'!G66:G85)</f>
        <v>8.8890258763848987E-3</v>
      </c>
      <c r="AQ15" s="183">
        <f>AVERAGE('5.ΤΙΜΕΣ'!Y15:Y35)</f>
        <v>901775.47619047621</v>
      </c>
    </row>
    <row r="16" spans="2:43">
      <c r="B16" s="416"/>
      <c r="C16" s="271">
        <v>43957</v>
      </c>
      <c r="D16" s="140"/>
      <c r="E16" s="140"/>
      <c r="F16" s="332">
        <f>STDEV('5.ΤΙΜΕΣ'!C67:C86)</f>
        <v>3.1008603492411243E-2</v>
      </c>
      <c r="G16" s="333">
        <f>AVERAGE('5.ΤΙΜΕΣ'!C67:C86)</f>
        <v>1.0496582867098963E-2</v>
      </c>
      <c r="H16" s="334">
        <f>AVERAGE('5.ΤΙΜΕΣ'!U16:U36)</f>
        <v>5513495.1428571427</v>
      </c>
      <c r="K16" s="416"/>
      <c r="L16" s="225">
        <v>43957</v>
      </c>
      <c r="M16" s="385" t="s">
        <v>273</v>
      </c>
      <c r="N16" s="140"/>
      <c r="O16" s="140">
        <f>STDEV('5.ΤΙΜΕΣ'!D67:D86)</f>
        <v>3.3255639285633083E-2</v>
      </c>
      <c r="P16" s="332">
        <f>AVERAGE('5.ΤΙΜΕΣ'!D67:D86)</f>
        <v>5.990059990631012E-3</v>
      </c>
      <c r="Q16" s="183">
        <f>AVERAGE('5.ΤΙΜΕΣ'!V16:V36)</f>
        <v>7780288.8571428573</v>
      </c>
      <c r="T16" s="416"/>
      <c r="U16" s="271">
        <v>43957</v>
      </c>
      <c r="V16" s="140"/>
      <c r="W16" s="140"/>
      <c r="X16" s="140">
        <f>STDEV('5.ΤΙΜΕΣ'!E67:E86)</f>
        <v>4.4810089691244906E-2</v>
      </c>
      <c r="Y16" s="140">
        <f>AVERAGE('5.ΤΙΜΕΣ'!E67:E86)</f>
        <v>8.0554742997270522E-3</v>
      </c>
      <c r="Z16" s="183">
        <f>AVERAGE('5.ΤΙΜΕΣ'!W16:W36)</f>
        <v>3349484.3333333335</v>
      </c>
      <c r="AC16" s="416"/>
      <c r="AD16" s="271">
        <v>43957</v>
      </c>
      <c r="AE16" s="140"/>
      <c r="AF16" s="140"/>
      <c r="AG16" s="140">
        <f>STDEV('5.ΤΙΜΕΣ'!F67:F86)</f>
        <v>3.6979896634207636E-2</v>
      </c>
      <c r="AH16" s="140">
        <f>AVERAGE('5.ΤΙΜΕΣ'!F67:F86)</f>
        <v>1.7694179454963431E-17</v>
      </c>
      <c r="AI16" s="334">
        <f>AVERAGE('5.ΤΙΜΕΣ'!X16:X36)</f>
        <v>867714.57142857148</v>
      </c>
      <c r="AK16" s="416"/>
      <c r="AL16" s="271">
        <v>43957</v>
      </c>
      <c r="AM16" s="140"/>
      <c r="AN16" s="140"/>
      <c r="AO16" s="140">
        <f>STDEV('5.ΤΙΜΕΣ'!G67:G86)</f>
        <v>4.0655594141777655E-2</v>
      </c>
      <c r="AP16" s="140">
        <f>AVERAGE('5.ΤΙΜΕΣ'!G67:G86)</f>
        <v>8.895001576803863E-3</v>
      </c>
      <c r="AQ16" s="183">
        <f>AVERAGE('5.ΤΙΜΕΣ'!Y16:Y36)</f>
        <v>888240.95238095243</v>
      </c>
    </row>
    <row r="17" spans="2:43">
      <c r="B17" s="416"/>
      <c r="C17" s="271">
        <v>43958</v>
      </c>
      <c r="D17" s="140"/>
      <c r="E17" s="140"/>
      <c r="F17" s="332">
        <f>STDEV('5.ΤΙΜΕΣ'!C68:C87)</f>
        <v>3.0528887547017981E-2</v>
      </c>
      <c r="G17" s="333">
        <f>AVERAGE('5.ΤΙΜΕΣ'!C68:C87)</f>
        <v>1.1220629350875738E-2</v>
      </c>
      <c r="H17" s="334">
        <f>AVERAGE('5.ΤΙΜΕΣ'!U17:U37)</f>
        <v>5427629.3809523806</v>
      </c>
      <c r="K17" s="416"/>
      <c r="L17" s="225">
        <v>43958</v>
      </c>
      <c r="M17" s="385" t="s">
        <v>273</v>
      </c>
      <c r="N17" s="140"/>
      <c r="O17" s="140">
        <f>STDEV('5.ΤΙΜΕΣ'!D68:D87)</f>
        <v>2.6950402876892352E-2</v>
      </c>
      <c r="P17" s="332">
        <f>AVERAGE('5.ΤΙΜΕΣ'!D68:D87)</f>
        <v>9.5323511024949311E-4</v>
      </c>
      <c r="Q17" s="183">
        <f>AVERAGE('5.ΤΙΜΕΣ'!V17:V37)</f>
        <v>7417336.1428571427</v>
      </c>
      <c r="T17" s="416"/>
      <c r="U17" s="271">
        <v>43958</v>
      </c>
      <c r="V17" s="140"/>
      <c r="W17" s="140"/>
      <c r="X17" s="140">
        <f>STDEV('5.ΤΙΜΕΣ'!E68:E87)</f>
        <v>3.9895129098272954E-2</v>
      </c>
      <c r="Y17" s="140">
        <f>AVERAGE('5.ΤΙΜΕΣ'!E68:E87)</f>
        <v>3.3515821413917443E-3</v>
      </c>
      <c r="Z17" s="183">
        <f>AVERAGE('5.ΤΙΜΕΣ'!W17:W37)</f>
        <v>3302810.6666666665</v>
      </c>
      <c r="AC17" s="416"/>
      <c r="AD17" s="271">
        <v>43958</v>
      </c>
      <c r="AE17" s="140"/>
      <c r="AF17" s="140"/>
      <c r="AG17" s="140">
        <f>STDEV('5.ΤΙΜΕΣ'!F68:F87)</f>
        <v>4.0075670542362739E-2</v>
      </c>
      <c r="AH17" s="140">
        <f>AVERAGE('5.ΤΙΜΕΣ'!F68:F87)</f>
        <v>5.1846229278564833E-3</v>
      </c>
      <c r="AI17" s="334">
        <f>AVERAGE('5.ΤΙΜΕΣ'!X17:X37)</f>
        <v>908736.66666666663</v>
      </c>
      <c r="AK17" s="416"/>
      <c r="AL17" s="271">
        <v>43958</v>
      </c>
      <c r="AM17" s="140"/>
      <c r="AN17" s="140"/>
      <c r="AO17" s="140">
        <f>STDEV('5.ΤΙΜΕΣ'!G68:G87)</f>
        <v>4.1148601068972834E-2</v>
      </c>
      <c r="AP17" s="140">
        <f>AVERAGE('5.ΤΙΜΕΣ'!G68:G87)</f>
        <v>7.9357521885643281E-3</v>
      </c>
      <c r="AQ17" s="183">
        <f>AVERAGE('5.ΤΙΜΕΣ'!Y17:Y37)</f>
        <v>904132.33333333337</v>
      </c>
    </row>
    <row r="18" spans="2:43">
      <c r="B18" s="416"/>
      <c r="C18" s="271">
        <v>43959</v>
      </c>
      <c r="D18" s="140"/>
      <c r="E18" s="140"/>
      <c r="F18" s="332">
        <f>STDEV('5.ΤΙΜΕΣ'!C69:C88)</f>
        <v>3.0165757836112174E-2</v>
      </c>
      <c r="G18" s="333">
        <f>AVERAGE('5.ΤΙΜΕΣ'!C69:C88)</f>
        <v>1.006848758823246E-2</v>
      </c>
      <c r="H18" s="334">
        <f>AVERAGE('5.ΤΙΜΕΣ'!U18:U38)</f>
        <v>5173963.1428571427</v>
      </c>
      <c r="K18" s="416"/>
      <c r="L18" s="225">
        <v>43959</v>
      </c>
      <c r="M18" s="385" t="s">
        <v>273</v>
      </c>
      <c r="N18" s="140"/>
      <c r="O18" s="140">
        <f>STDEV('5.ΤΙΜΕΣ'!D69:D88)</f>
        <v>2.6043075727402727E-2</v>
      </c>
      <c r="P18" s="332">
        <f>AVERAGE('5.ΤΙΜΕΣ'!D69:D88)</f>
        <v>1.7373685481226273E-3</v>
      </c>
      <c r="Q18" s="183">
        <f>AVERAGE('5.ΤΙΜΕΣ'!V18:V38)</f>
        <v>7227012.1428571427</v>
      </c>
      <c r="T18" s="416"/>
      <c r="U18" s="271">
        <v>43959</v>
      </c>
      <c r="V18" s="140"/>
      <c r="W18" s="140"/>
      <c r="X18" s="140">
        <f>STDEV('5.ΤΙΜΕΣ'!E69:E88)</f>
        <v>3.9774222621744439E-2</v>
      </c>
      <c r="Y18" s="140">
        <f>AVERAGE('5.ΤΙΜΕΣ'!E69:E88)</f>
        <v>2.8435153248695917E-3</v>
      </c>
      <c r="Z18" s="183">
        <f>AVERAGE('5.ΤΙΜΕΣ'!W18:W38)</f>
        <v>3287203.0952380951</v>
      </c>
      <c r="AC18" s="416"/>
      <c r="AD18" s="271">
        <v>43959</v>
      </c>
      <c r="AE18" s="140"/>
      <c r="AF18" s="140"/>
      <c r="AG18" s="140">
        <f>STDEV('5.ΤΙΜΕΣ'!F69:F88)</f>
        <v>3.9796123367376347E-2</v>
      </c>
      <c r="AH18" s="140">
        <f>AVERAGE('5.ΤΙΜΕΣ'!F69:F88)</f>
        <v>6.1806977983588519E-3</v>
      </c>
      <c r="AI18" s="334">
        <f>AVERAGE('5.ΤΙΜΕΣ'!X18:X38)</f>
        <v>886603</v>
      </c>
      <c r="AK18" s="416"/>
      <c r="AL18" s="271">
        <v>43959</v>
      </c>
      <c r="AM18" s="140"/>
      <c r="AN18" s="140"/>
      <c r="AO18" s="140">
        <f>STDEV('5.ΤΙΜΕΣ'!G69:G88)</f>
        <v>4.2744631396807342E-2</v>
      </c>
      <c r="AP18" s="140">
        <f>AVERAGE('5.ΤΙΜΕΣ'!G69:G88)</f>
        <v>5.5509809726152839E-3</v>
      </c>
      <c r="AQ18" s="183">
        <f>AVERAGE('5.ΤΙΜΕΣ'!Y18:Y38)</f>
        <v>930257.23809523811</v>
      </c>
    </row>
    <row r="19" spans="2:43">
      <c r="B19" s="416"/>
      <c r="C19" s="271">
        <v>43962</v>
      </c>
      <c r="D19" s="385" t="s">
        <v>270</v>
      </c>
      <c r="E19" s="140"/>
      <c r="F19" s="332">
        <f>STDEV('5.ΤΙΜΕΣ'!C70:C89)</f>
        <v>2.9388897419114556E-2</v>
      </c>
      <c r="G19" s="333">
        <f>AVERAGE('5.ΤΙΜΕΣ'!C70:C89)</f>
        <v>7.1795459806127991E-3</v>
      </c>
      <c r="H19" s="334">
        <f>AVERAGE('5.ΤΙΜΕΣ'!U19:U39)</f>
        <v>5075703.5238095243</v>
      </c>
      <c r="K19" s="416"/>
      <c r="L19" s="225">
        <v>43962</v>
      </c>
      <c r="M19" s="385" t="s">
        <v>273</v>
      </c>
      <c r="N19" s="140"/>
      <c r="O19" s="140">
        <f>STDEV('5.ΤΙΜΕΣ'!D70:D89)</f>
        <v>1.8859976513435153E-2</v>
      </c>
      <c r="P19" s="332">
        <f>AVERAGE('5.ΤΙΜΕΣ'!D70:D89)</f>
        <v>-3.3302405325283469E-3</v>
      </c>
      <c r="Q19" s="183">
        <f>AVERAGE('5.ΤΙΜΕΣ'!V19:V39)</f>
        <v>7066417.1904761903</v>
      </c>
      <c r="T19" s="416"/>
      <c r="U19" s="271">
        <v>43962</v>
      </c>
      <c r="V19" s="140"/>
      <c r="W19" s="140"/>
      <c r="X19" s="140">
        <f>STDEV('5.ΤΙΜΕΣ'!E70:E89)</f>
        <v>3.3899660890867253E-2</v>
      </c>
      <c r="Y19" s="140">
        <f>AVERAGE('5.ΤΙΜΕΣ'!E70:E89)</f>
        <v>-1.6845869728423501E-3</v>
      </c>
      <c r="Z19" s="183">
        <f>AVERAGE('5.ΤΙΜΕΣ'!W19:W39)</f>
        <v>3266714.2380952379</v>
      </c>
      <c r="AC19" s="416"/>
      <c r="AD19" s="271">
        <v>43962</v>
      </c>
      <c r="AE19" s="140"/>
      <c r="AF19" s="140"/>
      <c r="AG19" s="140">
        <f>STDEV('5.ΤΙΜΕΣ'!F70:F89)</f>
        <v>3.4439722379154325E-2</v>
      </c>
      <c r="AH19" s="140">
        <f>AVERAGE('5.ΤΙΜΕΣ'!F70:F89)</f>
        <v>-2.5663016132598733E-4</v>
      </c>
      <c r="AI19" s="334">
        <f>AVERAGE('5.ΤΙΜΕΣ'!X19:X39)</f>
        <v>851387</v>
      </c>
      <c r="AK19" s="416"/>
      <c r="AL19" s="271">
        <v>43962</v>
      </c>
      <c r="AM19" s="140"/>
      <c r="AN19" s="140"/>
      <c r="AO19" s="140">
        <f>STDEV('5.ΤΙΜΕΣ'!G70:G89)</f>
        <v>3.7924305636740353E-2</v>
      </c>
      <c r="AP19" s="140">
        <f>AVERAGE('5.ΤΙΜΕΣ'!G70:G89)</f>
        <v>1.5759734053872238E-3</v>
      </c>
      <c r="AQ19" s="183">
        <f>AVERAGE('5.ΤΙΜΕΣ'!Y19:Y39)</f>
        <v>929869.66666666663</v>
      </c>
    </row>
    <row r="20" spans="2:43">
      <c r="B20" s="416"/>
      <c r="C20" s="271">
        <v>43963</v>
      </c>
      <c r="D20" s="140"/>
      <c r="E20" s="140"/>
      <c r="F20" s="332">
        <f>STDEV('5.ΤΙΜΕΣ'!C71:C90)</f>
        <v>2.7022063282191429E-2</v>
      </c>
      <c r="G20" s="333">
        <f>AVERAGE('5.ΤΙΜΕΣ'!C71:C90)</f>
        <v>4.3563595727492913E-3</v>
      </c>
      <c r="H20" s="334">
        <f>AVERAGE('5.ΤΙΜΕΣ'!U20:U40)</f>
        <v>4922211.5714285718</v>
      </c>
      <c r="K20" s="416"/>
      <c r="L20" s="225">
        <v>43963</v>
      </c>
      <c r="M20" s="385" t="s">
        <v>273</v>
      </c>
      <c r="N20" s="140"/>
      <c r="O20" s="140">
        <f>STDEV('5.ΤΙΜΕΣ'!D71:D90)</f>
        <v>1.9054837319623916E-2</v>
      </c>
      <c r="P20" s="332">
        <f>AVERAGE('5.ΤΙΜΕΣ'!D71:D90)</f>
        <v>-2.6753577023785652E-3</v>
      </c>
      <c r="Q20" s="183">
        <f>AVERAGE('5.ΤΙΜΕΣ'!V20:V40)</f>
        <v>7074005.8095238097</v>
      </c>
      <c r="T20" s="416"/>
      <c r="U20" s="271">
        <v>43963</v>
      </c>
      <c r="V20" s="140"/>
      <c r="W20" s="140"/>
      <c r="X20" s="140">
        <f>STDEV('5.ΤΙΜΕΣ'!E71:E90)</f>
        <v>3.3240061820420663E-2</v>
      </c>
      <c r="Y20" s="140">
        <f>AVERAGE('5.ΤΙΜΕΣ'!E71:E90)</f>
        <v>-3.0538662332952899E-3</v>
      </c>
      <c r="Z20" s="183">
        <f>AVERAGE('5.ΤΙΜΕΣ'!W20:W40)</f>
        <v>3219248.6666666665</v>
      </c>
      <c r="AC20" s="416"/>
      <c r="AD20" s="271">
        <v>43963</v>
      </c>
      <c r="AE20" s="140"/>
      <c r="AF20" s="140"/>
      <c r="AG20" s="140">
        <f>STDEV('5.ΤΙΜΕΣ'!F71:F90)</f>
        <v>3.4058333904515098E-2</v>
      </c>
      <c r="AH20" s="140">
        <f>AVERAGE('5.ΤΙΜΕΣ'!F71:F90)</f>
        <v>-1.1824875441796259E-3</v>
      </c>
      <c r="AI20" s="334">
        <f>AVERAGE('5.ΤΙΜΕΣ'!X20:X40)</f>
        <v>831970.85714285716</v>
      </c>
      <c r="AK20" s="416"/>
      <c r="AL20" s="271">
        <v>43963</v>
      </c>
      <c r="AM20" s="385" t="s">
        <v>291</v>
      </c>
      <c r="AN20" s="140"/>
      <c r="AO20" s="140">
        <f>STDEV('5.ΤΙΜΕΣ'!G71:G90)</f>
        <v>3.8045958916318894E-2</v>
      </c>
      <c r="AP20" s="140">
        <f>AVERAGE('5.ΤΙΜΕΣ'!G71:G90)</f>
        <v>8.8497885497004834E-4</v>
      </c>
      <c r="AQ20" s="183">
        <f>AVERAGE('5.ΤΙΜΕΣ'!Y20:Y40)</f>
        <v>912551.23809523811</v>
      </c>
    </row>
    <row r="21" spans="2:43">
      <c r="B21" s="416"/>
      <c r="C21" s="271">
        <v>43964</v>
      </c>
      <c r="D21" s="140"/>
      <c r="E21" s="140"/>
      <c r="F21" s="332">
        <f>STDEV('5.ΤΙΜΕΣ'!C72:C91)</f>
        <v>2.6727023420452394E-2</v>
      </c>
      <c r="G21" s="333">
        <f>AVERAGE('5.ΤΙΜΕΣ'!C72:C91)</f>
        <v>5.0209373873523633E-3</v>
      </c>
      <c r="H21" s="334">
        <f>AVERAGE('5.ΤΙΜΕΣ'!U21:U41)</f>
        <v>4719376.1904761903</v>
      </c>
      <c r="K21" s="416"/>
      <c r="L21" s="225">
        <v>43964</v>
      </c>
      <c r="M21" s="385" t="s">
        <v>273</v>
      </c>
      <c r="N21" s="140"/>
      <c r="O21" s="140">
        <f>STDEV('5.ΤΙΜΕΣ'!D72:D91)</f>
        <v>2.0923209425431695E-2</v>
      </c>
      <c r="P21" s="332">
        <f>AVERAGE('5.ΤΙΜΕΣ'!D72:D91)</f>
        <v>-1.1407338883085935E-3</v>
      </c>
      <c r="Q21" s="183">
        <f>AVERAGE('5.ΤΙΜΕΣ'!V21:V41)</f>
        <v>7073050.0952380951</v>
      </c>
      <c r="T21" s="416"/>
      <c r="U21" s="271">
        <v>43964</v>
      </c>
      <c r="V21" s="140"/>
      <c r="W21" s="140"/>
      <c r="X21" s="140">
        <f>STDEV('5.ΤΙΜΕΣ'!E72:E91)</f>
        <v>3.3105957824185919E-2</v>
      </c>
      <c r="Y21" s="140">
        <f>AVERAGE('5.ΤΙΜΕΣ'!E72:E91)</f>
        <v>-2.2575653947459855E-3</v>
      </c>
      <c r="Z21" s="183">
        <f>AVERAGE('5.ΤΙΜΕΣ'!W21:W41)</f>
        <v>3004544.7619047621</v>
      </c>
      <c r="AC21" s="416"/>
      <c r="AD21" s="271">
        <v>43964</v>
      </c>
      <c r="AE21" s="140"/>
      <c r="AF21" s="140"/>
      <c r="AG21" s="140">
        <f>STDEV('5.ΤΙΜΕΣ'!F72:F91)</f>
        <v>3.459779016347081E-2</v>
      </c>
      <c r="AH21" s="140">
        <f>AVERAGE('5.ΤΙΜΕΣ'!F72:F91)</f>
        <v>-2.9068013293834668E-3</v>
      </c>
      <c r="AI21" s="334">
        <f>AVERAGE('5.ΤΙΜΕΣ'!X21:X41)</f>
        <v>790563.66666666663</v>
      </c>
      <c r="AK21" s="416"/>
      <c r="AL21" s="271">
        <v>43964</v>
      </c>
      <c r="AM21" s="385" t="s">
        <v>290</v>
      </c>
      <c r="AN21" s="140"/>
      <c r="AO21" s="140">
        <f>STDEV('5.ΤΙΜΕΣ'!G72:G91)</f>
        <v>3.9252731866957782E-2</v>
      </c>
      <c r="AP21" s="140">
        <f>AVERAGE('5.ΤΙΜΕΣ'!G72:G91)</f>
        <v>-8.1745690007647314E-4</v>
      </c>
      <c r="AQ21" s="183">
        <f>AVERAGE('5.ΤΙΜΕΣ'!Y21:Y41)</f>
        <v>910335.04761904757</v>
      </c>
    </row>
    <row r="22" spans="2:43">
      <c r="B22" s="416"/>
      <c r="C22" s="271">
        <v>43965</v>
      </c>
      <c r="D22" s="140"/>
      <c r="E22" s="140"/>
      <c r="F22" s="332">
        <f>STDEV('5.ΤΙΜΕΣ'!C73:C92)</f>
        <v>2.675562988957118E-2</v>
      </c>
      <c r="G22" s="333">
        <f>AVERAGE('5.ΤΙΜΕΣ'!C73:C92)</f>
        <v>4.002135383676819E-3</v>
      </c>
      <c r="H22" s="334">
        <f>AVERAGE('5.ΤΙΜΕΣ'!U22:U42)</f>
        <v>4511367.8571428573</v>
      </c>
      <c r="K22" s="416"/>
      <c r="L22" s="225">
        <v>43965</v>
      </c>
      <c r="M22" s="385" t="s">
        <v>274</v>
      </c>
      <c r="N22" s="140"/>
      <c r="O22" s="140">
        <f>STDEV('5.ΤΙΜΕΣ'!D73:D92)</f>
        <v>2.1278909834379287E-2</v>
      </c>
      <c r="P22" s="332">
        <f>AVERAGE('5.ΤΙΜΕΣ'!D73:D92)</f>
        <v>1.2610347163547318E-4</v>
      </c>
      <c r="Q22" s="183">
        <f>AVERAGE('5.ΤΙΜΕΣ'!V22:V42)</f>
        <v>7048585.9047619049</v>
      </c>
      <c r="T22" s="416"/>
      <c r="U22" s="271">
        <v>43965</v>
      </c>
      <c r="V22" s="140"/>
      <c r="W22" s="140"/>
      <c r="X22" s="140">
        <f>STDEV('5.ΤΙΜΕΣ'!E73:E92)</f>
        <v>3.25403435818611E-2</v>
      </c>
      <c r="Y22" s="140">
        <f>AVERAGE('5.ΤΙΜΕΣ'!E73:E92)</f>
        <v>1.0323835446734244E-3</v>
      </c>
      <c r="Z22" s="183">
        <f>AVERAGE('5.ΤΙΜΕΣ'!W22:W42)</f>
        <v>2793168.6190476189</v>
      </c>
      <c r="AC22" s="416"/>
      <c r="AD22" s="271">
        <v>43965</v>
      </c>
      <c r="AE22" s="140"/>
      <c r="AF22" s="140"/>
      <c r="AG22" s="140">
        <f>STDEV('5.ΤΙΜΕΣ'!F73:F92)</f>
        <v>3.4329749206879548E-2</v>
      </c>
      <c r="AH22" s="140">
        <f>AVERAGE('5.ΤΙΜΕΣ'!F73:F92)</f>
        <v>4.2918718456958686E-4</v>
      </c>
      <c r="AI22" s="334">
        <f>AVERAGE('5.ΤΙΜΕΣ'!X22:X42)</f>
        <v>804209.85714285716</v>
      </c>
      <c r="AK22" s="416"/>
      <c r="AL22" s="271">
        <v>43965</v>
      </c>
      <c r="AM22" s="140"/>
      <c r="AN22" s="140"/>
      <c r="AO22" s="140">
        <f>STDEV('5.ΤΙΜΕΣ'!G73:G92)</f>
        <v>3.9235831626125886E-2</v>
      </c>
      <c r="AP22" s="140">
        <f>AVERAGE('5.ΤΙΜΕΣ'!G73:G92)</f>
        <v>-7.3261383934351745E-4</v>
      </c>
      <c r="AQ22" s="183">
        <f>AVERAGE('5.ΤΙΜΕΣ'!Y22:Y42)</f>
        <v>920672.47619047621</v>
      </c>
    </row>
    <row r="23" spans="2:43">
      <c r="B23" s="416"/>
      <c r="C23" s="271">
        <v>43966</v>
      </c>
      <c r="D23" s="140"/>
      <c r="E23" s="140"/>
      <c r="F23" s="332">
        <f>STDEV('5.ΤΙΜΕΣ'!C74:C93)</f>
        <v>2.6868410853111924E-2</v>
      </c>
      <c r="G23" s="333">
        <f>AVERAGE('5.ΤΙΜΕΣ'!C74:C93)</f>
        <v>4.4194868479875511E-3</v>
      </c>
      <c r="H23" s="334">
        <f>AVERAGE('5.ΤΙΜΕΣ'!U23:U43)</f>
        <v>4382952.333333333</v>
      </c>
      <c r="K23" s="416"/>
      <c r="L23" s="225">
        <v>43966</v>
      </c>
      <c r="M23" s="140"/>
      <c r="N23" s="140"/>
      <c r="O23" s="140">
        <f>STDEV('5.ΤΙΜΕΣ'!D74:D93)</f>
        <v>2.1483714610310258E-2</v>
      </c>
      <c r="P23" s="332">
        <f>AVERAGE('5.ΤΙΜΕΣ'!D74:D93)</f>
        <v>7.5126622033745748E-4</v>
      </c>
      <c r="Q23" s="183">
        <f>AVERAGE('5.ΤΙΜΕΣ'!V23:V43)</f>
        <v>7177637.3809523806</v>
      </c>
      <c r="T23" s="416"/>
      <c r="U23" s="271">
        <v>43966</v>
      </c>
      <c r="V23" s="140"/>
      <c r="W23" s="140"/>
      <c r="X23" s="140">
        <f>STDEV('5.ΤΙΜΕΣ'!E74:E93)</f>
        <v>3.1014079791896843E-2</v>
      </c>
      <c r="Y23" s="140">
        <f>AVERAGE('5.ΤΙΜΕΣ'!E74:E93)</f>
        <v>-1.1456026745240255E-3</v>
      </c>
      <c r="Z23" s="183">
        <f>AVERAGE('5.ΤΙΜΕΣ'!W23:W43)</f>
        <v>2704257.0952380951</v>
      </c>
      <c r="AC23" s="416"/>
      <c r="AD23" s="271">
        <v>43966</v>
      </c>
      <c r="AE23" s="140"/>
      <c r="AF23" s="140"/>
      <c r="AG23" s="140">
        <f>STDEV('5.ΤΙΜΕΣ'!F74:F93)</f>
        <v>3.4106755274916564E-2</v>
      </c>
      <c r="AH23" s="140">
        <f>AVERAGE('5.ΤΙΜΕΣ'!F74:F93)</f>
        <v>1.6694506327574293E-4</v>
      </c>
      <c r="AI23" s="334">
        <f>AVERAGE('5.ΤΙΜΕΣ'!X23:X43)</f>
        <v>792107.57142857148</v>
      </c>
      <c r="AK23" s="416"/>
      <c r="AL23" s="271">
        <v>43966</v>
      </c>
      <c r="AM23" s="140"/>
      <c r="AN23" s="140"/>
      <c r="AO23" s="140">
        <f>STDEV('5.ΤΙΜΕΣ'!G74:G93)</f>
        <v>3.2381011397713953E-2</v>
      </c>
      <c r="AP23" s="140">
        <f>AVERAGE('5.ΤΙΜΕΣ'!G74:G93)</f>
        <v>-6.0653725519404181E-3</v>
      </c>
      <c r="AQ23" s="183">
        <f>AVERAGE('5.ΤΙΜΕΣ'!Y23:Y43)</f>
        <v>915560.90476190473</v>
      </c>
    </row>
    <row r="24" spans="2:43">
      <c r="B24" s="416"/>
      <c r="C24" s="271">
        <v>43969</v>
      </c>
      <c r="D24" s="140"/>
      <c r="E24" s="140"/>
      <c r="F24" s="332">
        <f>STDEV('5.ΤΙΜΕΣ'!C75:C94)</f>
        <v>2.6047736495268616E-2</v>
      </c>
      <c r="G24" s="333">
        <f>AVERAGE('5.ΤΙΜΕΣ'!C75:C94)</f>
        <v>6.7473410513926605E-3</v>
      </c>
      <c r="H24" s="334">
        <f>AVERAGE('5.ΤΙΜΕΣ'!U24:U44)</f>
        <v>4279737.2857142854</v>
      </c>
      <c r="K24" s="416"/>
      <c r="L24" s="225">
        <v>43969</v>
      </c>
      <c r="M24" s="385" t="s">
        <v>274</v>
      </c>
      <c r="N24" s="140"/>
      <c r="O24" s="140">
        <f>STDEV('5.ΤΙΜΕΣ'!D75:D94)</f>
        <v>2.0259681510444695E-2</v>
      </c>
      <c r="P24" s="332">
        <f>AVERAGE('5.ΤΙΜΕΣ'!D75:D94)</f>
        <v>3.362611350458347E-3</v>
      </c>
      <c r="Q24" s="183">
        <f>AVERAGE('5.ΤΙΜΕΣ'!V24:V44)</f>
        <v>7061375.1428571427</v>
      </c>
      <c r="T24" s="416"/>
      <c r="U24" s="271">
        <v>43969</v>
      </c>
      <c r="V24" s="140"/>
      <c r="W24" s="140"/>
      <c r="X24" s="140">
        <f>STDEV('5.ΤΙΜΕΣ'!E75:E94)</f>
        <v>3.1700173787225665E-2</v>
      </c>
      <c r="Y24" s="140">
        <f>AVERAGE('5.ΤΙΜΕΣ'!E75:E94)</f>
        <v>5.9960745226318008E-4</v>
      </c>
      <c r="Z24" s="183">
        <f>AVERAGE('5.ΤΙΜΕΣ'!W24:W44)</f>
        <v>2671370.6666666665</v>
      </c>
      <c r="AC24" s="416"/>
      <c r="AD24" s="271">
        <v>43969</v>
      </c>
      <c r="AE24" s="140"/>
      <c r="AF24" s="140"/>
      <c r="AG24" s="140">
        <f>STDEV('5.ΤΙΜΕΣ'!F75:F94)</f>
        <v>3.3265940928037079E-2</v>
      </c>
      <c r="AH24" s="140">
        <f>AVERAGE('5.ΤΙΜΕΣ'!F75:F94)</f>
        <v>3.6929530569062346E-3</v>
      </c>
      <c r="AI24" s="334">
        <f>AVERAGE('5.ΤΙΜΕΣ'!X24:X44)</f>
        <v>789198.33333333337</v>
      </c>
      <c r="AK24" s="416"/>
      <c r="AL24" s="271">
        <v>43969</v>
      </c>
      <c r="AM24" s="140"/>
      <c r="AN24" s="140"/>
      <c r="AO24" s="140">
        <f>STDEV('5.ΤΙΜΕΣ'!G75:G94)</f>
        <v>3.2260660793474207E-2</v>
      </c>
      <c r="AP24" s="140">
        <f>AVERAGE('5.ΤΙΜΕΣ'!G75:G94)</f>
        <v>-4.0730473229490232E-3</v>
      </c>
      <c r="AQ24" s="183">
        <f>AVERAGE('5.ΤΙΜΕΣ'!Y24:Y44)</f>
        <v>895859.14285714284</v>
      </c>
    </row>
    <row r="25" spans="2:43">
      <c r="B25" s="416"/>
      <c r="C25" s="271">
        <v>43970</v>
      </c>
      <c r="D25" s="140"/>
      <c r="E25" s="140"/>
      <c r="F25" s="332">
        <f>STDEV('5.ΤΙΜΕΣ'!C76:C95)</f>
        <v>2.4936748279959085E-2</v>
      </c>
      <c r="G25" s="333">
        <f>AVERAGE('5.ΤΙΜΕΣ'!C76:C95)</f>
        <v>7.592362754177082E-3</v>
      </c>
      <c r="H25" s="334">
        <f>AVERAGE('5.ΤΙΜΕΣ'!U25:U45)</f>
        <v>4303018.2857142854</v>
      </c>
      <c r="K25" s="416"/>
      <c r="L25" s="225">
        <v>43970</v>
      </c>
      <c r="M25" s="385" t="s">
        <v>273</v>
      </c>
      <c r="N25" s="140"/>
      <c r="O25" s="140">
        <f>STDEV('5.ΤΙΜΕΣ'!D76:D95)</f>
        <v>1.9979555877155036E-2</v>
      </c>
      <c r="P25" s="332">
        <f>AVERAGE('5.ΤΙΜΕΣ'!D76:D95)</f>
        <v>2.2114576420934444E-3</v>
      </c>
      <c r="Q25" s="183">
        <f>AVERAGE('5.ΤΙΜΕΣ'!V25:V45)</f>
        <v>6960133.666666667</v>
      </c>
      <c r="T25" s="416"/>
      <c r="U25" s="271">
        <v>43970</v>
      </c>
      <c r="V25" s="140"/>
      <c r="W25" s="140"/>
      <c r="X25" s="140">
        <f>STDEV('5.ΤΙΜΕΣ'!E76:E95)</f>
        <v>2.6666198223353317E-2</v>
      </c>
      <c r="Y25" s="140">
        <f>AVERAGE('5.ΤΙΜΕΣ'!E76:E95)</f>
        <v>4.5423236386785979E-3</v>
      </c>
      <c r="Z25" s="183">
        <f>AVERAGE('5.ΤΙΜΕΣ'!W25:W45)</f>
        <v>2765599.2857142859</v>
      </c>
      <c r="AC25" s="416"/>
      <c r="AD25" s="271">
        <v>43970</v>
      </c>
      <c r="AE25" s="140"/>
      <c r="AF25" s="140"/>
      <c r="AG25" s="140">
        <f>STDEV('5.ΤΙΜΕΣ'!F76:F95)</f>
        <v>3.332846840239255E-2</v>
      </c>
      <c r="AH25" s="140">
        <f>AVERAGE('5.ΤΙΜΕΣ'!F76:F95)</f>
        <v>5.8676281092107097E-4</v>
      </c>
      <c r="AI25" s="334">
        <f>AVERAGE('5.ΤΙΜΕΣ'!X25:X45)</f>
        <v>770365.14285714284</v>
      </c>
      <c r="AK25" s="416"/>
      <c r="AL25" s="271">
        <v>43970</v>
      </c>
      <c r="AM25" s="140"/>
      <c r="AN25" s="140"/>
      <c r="AO25" s="140">
        <f>STDEV('5.ΤΙΜΕΣ'!G76:G95)</f>
        <v>3.1511759823990286E-2</v>
      </c>
      <c r="AP25" s="140">
        <f>AVERAGE('5.ΤΙΜΕΣ'!G76:G95)</f>
        <v>-3.5444254763374291E-3</v>
      </c>
      <c r="AQ25" s="183">
        <f>AVERAGE('5.ΤΙΜΕΣ'!Y25:Y45)</f>
        <v>945228.28571428568</v>
      </c>
    </row>
    <row r="26" spans="2:43">
      <c r="B26" s="416"/>
      <c r="C26" s="272">
        <v>43971</v>
      </c>
      <c r="D26" s="184"/>
      <c r="E26" s="184"/>
      <c r="F26" s="345">
        <f>STDEV('5.ΤΙΜΕΣ'!C77:C96)</f>
        <v>2.2780835376221113E-2</v>
      </c>
      <c r="G26" s="346">
        <f>AVERAGE('5.ΤΙΜΕΣ'!C77:C96)</f>
        <v>4.67382095668222E-3</v>
      </c>
      <c r="H26" s="350">
        <f>AVERAGE('5.ΤΙΜΕΣ'!U26:U46)</f>
        <v>4278872.5714285718</v>
      </c>
      <c r="K26" s="416"/>
      <c r="L26" s="226">
        <v>43971</v>
      </c>
      <c r="M26" s="385" t="s">
        <v>272</v>
      </c>
      <c r="N26" s="184"/>
      <c r="O26" s="184">
        <f>STDEV('5.ΤΙΜΕΣ'!D77:D96)</f>
        <v>1.9349469195753609E-2</v>
      </c>
      <c r="P26" s="345">
        <f>AVERAGE('5.ΤΙΜΕΣ'!D77:D96)</f>
        <v>3.36261135045835E-3</v>
      </c>
      <c r="Q26" s="185">
        <f>AVERAGE('5.ΤΙΜΕΣ'!V26:V46)</f>
        <v>6733762.8095238097</v>
      </c>
      <c r="T26" s="416"/>
      <c r="U26" s="272">
        <v>43971</v>
      </c>
      <c r="V26" s="184"/>
      <c r="W26" s="184"/>
      <c r="X26" s="184">
        <f>STDEV('5.ΤΙΜΕΣ'!E77:E96)</f>
        <v>2.1331668586645144E-2</v>
      </c>
      <c r="Y26" s="184">
        <f>AVERAGE('5.ΤΙΜΕΣ'!E77:E96)</f>
        <v>9.1160778396977196E-3</v>
      </c>
      <c r="Z26" s="185">
        <f>AVERAGE('5.ΤΙΜΕΣ'!W26:W46)</f>
        <v>2683280.9523809524</v>
      </c>
      <c r="AC26" s="416"/>
      <c r="AD26" s="272">
        <v>43971</v>
      </c>
      <c r="AE26" s="184"/>
      <c r="AF26" s="184"/>
      <c r="AG26" s="184">
        <f>STDEV('5.ΤΙΜΕΣ'!F77:F96)</f>
        <v>3.2337064408513694E-2</v>
      </c>
      <c r="AH26" s="184">
        <f>AVERAGE('5.ΤΙΜΕΣ'!F77:F96)</f>
        <v>3.7992953488961271E-3</v>
      </c>
      <c r="AI26" s="350">
        <f>AVERAGE('5.ΤΙΜΕΣ'!X26:X46)</f>
        <v>774492</v>
      </c>
      <c r="AK26" s="416"/>
      <c r="AL26" s="272">
        <v>43971</v>
      </c>
      <c r="AM26" s="385" t="s">
        <v>289</v>
      </c>
      <c r="AN26" s="184"/>
      <c r="AO26" s="184">
        <f>STDEV('5.ΤΙΜΕΣ'!G77:G96)</f>
        <v>3.3189181975171539E-2</v>
      </c>
      <c r="AP26" s="184">
        <f>AVERAGE('5.ΤΙΜΕΣ'!G77:G96)</f>
        <v>-5.484515685286902E-4</v>
      </c>
      <c r="AQ26" s="185">
        <f>AVERAGE('5.ΤΙΜΕΣ'!Y26:Y46)</f>
        <v>970105.09523809527</v>
      </c>
    </row>
    <row r="27" spans="2:43">
      <c r="B27" s="416"/>
      <c r="C27" s="271"/>
      <c r="D27" s="140"/>
      <c r="E27" s="140"/>
      <c r="F27" s="332"/>
      <c r="G27" s="333"/>
      <c r="H27" s="183"/>
      <c r="K27" s="416"/>
      <c r="L27" s="225"/>
      <c r="M27" s="140"/>
      <c r="N27" s="140"/>
      <c r="O27" s="140"/>
      <c r="P27" s="332"/>
      <c r="Q27" s="183"/>
      <c r="T27" s="416"/>
      <c r="U27" s="225"/>
      <c r="V27" s="140"/>
      <c r="W27" s="140"/>
      <c r="X27" s="140"/>
      <c r="Y27" s="140"/>
      <c r="Z27" s="183"/>
      <c r="AC27" s="416"/>
      <c r="AD27" s="225"/>
      <c r="AE27" s="140"/>
      <c r="AF27" s="140"/>
      <c r="AG27" s="140"/>
      <c r="AH27" s="140"/>
      <c r="AI27" s="334"/>
      <c r="AK27" s="416"/>
      <c r="AL27" s="225"/>
      <c r="AM27" s="140"/>
      <c r="AN27" s="140"/>
      <c r="AO27" s="140"/>
      <c r="AP27" s="140"/>
      <c r="AQ27" s="183"/>
    </row>
    <row r="28" spans="2:43">
      <c r="B28" s="416"/>
      <c r="C28" s="271"/>
      <c r="D28" s="140"/>
      <c r="E28" s="140"/>
      <c r="F28" s="332"/>
      <c r="G28" s="333"/>
      <c r="H28" s="183"/>
      <c r="K28" s="416"/>
      <c r="L28" s="225"/>
      <c r="M28" s="140"/>
      <c r="N28" s="140"/>
      <c r="O28" s="140"/>
      <c r="P28" s="332"/>
      <c r="Q28" s="183"/>
      <c r="T28" s="416"/>
      <c r="U28" s="225"/>
      <c r="V28" s="140"/>
      <c r="W28" s="140"/>
      <c r="X28" s="140"/>
      <c r="Y28" s="140"/>
      <c r="Z28" s="183"/>
      <c r="AC28" s="416"/>
      <c r="AD28" s="225"/>
      <c r="AE28" s="140"/>
      <c r="AF28" s="140"/>
      <c r="AG28" s="140"/>
      <c r="AH28" s="140"/>
      <c r="AI28" s="334"/>
      <c r="AK28" s="416"/>
      <c r="AL28" s="225"/>
      <c r="AM28" s="140"/>
      <c r="AN28" s="140"/>
      <c r="AO28" s="140"/>
      <c r="AP28" s="140"/>
      <c r="AQ28" s="183"/>
    </row>
    <row r="29" spans="2:43">
      <c r="B29" s="417"/>
      <c r="C29" s="272"/>
      <c r="D29" s="184"/>
      <c r="E29" s="184"/>
      <c r="F29" s="345"/>
      <c r="G29" s="346"/>
      <c r="H29" s="185"/>
      <c r="K29" s="417"/>
      <c r="L29" s="226"/>
      <c r="M29" s="184"/>
      <c r="N29" s="184"/>
      <c r="O29" s="184"/>
      <c r="P29" s="345"/>
      <c r="Q29" s="185"/>
      <c r="T29" s="417"/>
      <c r="U29" s="226"/>
      <c r="V29" s="184"/>
      <c r="W29" s="184"/>
      <c r="X29" s="184"/>
      <c r="Y29" s="184"/>
      <c r="Z29" s="185"/>
      <c r="AC29" s="417"/>
      <c r="AD29" s="226"/>
      <c r="AE29" s="184"/>
      <c r="AF29" s="184"/>
      <c r="AG29" s="184"/>
      <c r="AH29" s="184"/>
      <c r="AI29" s="350"/>
      <c r="AK29" s="417"/>
      <c r="AL29" s="226"/>
      <c r="AM29" s="184"/>
      <c r="AN29" s="184"/>
      <c r="AO29" s="184"/>
      <c r="AP29" s="184"/>
      <c r="AQ29" s="185"/>
    </row>
    <row r="30" spans="2:43">
      <c r="B30" s="162"/>
      <c r="C30" s="216"/>
    </row>
    <row r="31" spans="2:43">
      <c r="B31" s="162"/>
      <c r="C31" s="216"/>
    </row>
    <row r="32" spans="2:43">
      <c r="B32" s="162"/>
      <c r="C32" s="216"/>
    </row>
    <row r="33" spans="2:43">
      <c r="B33" s="162"/>
      <c r="C33" s="216"/>
    </row>
    <row r="34" spans="2:43">
      <c r="B34" s="162"/>
      <c r="C34" s="216"/>
    </row>
    <row r="35" spans="2:43" ht="64">
      <c r="B35" s="223" t="s">
        <v>1</v>
      </c>
      <c r="C35" s="344"/>
      <c r="D35" s="224" t="s">
        <v>199</v>
      </c>
      <c r="E35" s="224" t="s">
        <v>200</v>
      </c>
      <c r="F35" s="224" t="s">
        <v>201</v>
      </c>
      <c r="G35" s="224" t="s">
        <v>202</v>
      </c>
      <c r="H35" s="224" t="s">
        <v>203</v>
      </c>
      <c r="K35" s="223" t="s">
        <v>1</v>
      </c>
      <c r="L35" s="223" t="s">
        <v>198</v>
      </c>
      <c r="M35" s="224" t="s">
        <v>199</v>
      </c>
      <c r="N35" s="224" t="s">
        <v>200</v>
      </c>
      <c r="O35" s="224" t="s">
        <v>201</v>
      </c>
      <c r="P35" s="224" t="s">
        <v>202</v>
      </c>
      <c r="Q35" s="224" t="s">
        <v>203</v>
      </c>
      <c r="T35" s="223" t="s">
        <v>1</v>
      </c>
      <c r="U35" s="223" t="s">
        <v>198</v>
      </c>
      <c r="V35" s="224" t="s">
        <v>199</v>
      </c>
      <c r="W35" s="224" t="s">
        <v>200</v>
      </c>
      <c r="X35" s="224" t="s">
        <v>201</v>
      </c>
      <c r="Y35" s="224" t="s">
        <v>202</v>
      </c>
      <c r="Z35" s="224" t="s">
        <v>203</v>
      </c>
      <c r="AC35" s="223" t="s">
        <v>1</v>
      </c>
      <c r="AD35" s="223" t="s">
        <v>198</v>
      </c>
      <c r="AE35" s="224" t="s">
        <v>199</v>
      </c>
      <c r="AF35" s="224" t="s">
        <v>200</v>
      </c>
      <c r="AG35" s="224" t="s">
        <v>201</v>
      </c>
      <c r="AH35" s="224" t="s">
        <v>202</v>
      </c>
      <c r="AI35" s="224" t="s">
        <v>203</v>
      </c>
      <c r="AK35" s="223" t="s">
        <v>1</v>
      </c>
      <c r="AL35" s="223" t="s">
        <v>198</v>
      </c>
      <c r="AM35" s="224" t="s">
        <v>199</v>
      </c>
      <c r="AN35" s="224" t="s">
        <v>200</v>
      </c>
      <c r="AO35" s="224" t="s">
        <v>201</v>
      </c>
      <c r="AP35" s="224" t="s">
        <v>202</v>
      </c>
      <c r="AQ35" s="224" t="s">
        <v>203</v>
      </c>
    </row>
    <row r="36" spans="2:43" ht="14.5" customHeight="1">
      <c r="B36" s="415" t="s">
        <v>209</v>
      </c>
      <c r="C36" s="271">
        <v>43935</v>
      </c>
      <c r="D36" s="140"/>
      <c r="E36" s="140"/>
      <c r="F36" s="140">
        <f>STDEV('5.ΤΙΜΕΣ'!H54:H73)</f>
        <v>4.7992221478075997E-2</v>
      </c>
      <c r="G36" s="140">
        <f>AVERAGE('5.ΤΙΜΕΣ'!H54:H73)</f>
        <v>1.0608725997181791E-2</v>
      </c>
      <c r="H36" s="352">
        <f>AVERAGE('5.ΤΙΜΕΣ'!Z3:Z23)</f>
        <v>476356.42857142858</v>
      </c>
      <c r="K36" s="415" t="s">
        <v>210</v>
      </c>
      <c r="L36" s="271">
        <v>43935</v>
      </c>
      <c r="M36" s="140"/>
      <c r="N36" s="140"/>
      <c r="O36" s="140">
        <f>STDEV('5.ΤΙΜΕΣ'!I54:I73)</f>
        <v>4.3582811109601535E-2</v>
      </c>
      <c r="P36" s="140">
        <f>AVERAGE('5.ΤΙΜΕΣ'!I54:I73)</f>
        <v>3.3829324236907322E-3</v>
      </c>
      <c r="Q36" s="352">
        <f>AVERAGE('5.ΤΙΜΕΣ'!AA3:AA23)</f>
        <v>26686.285714285714</v>
      </c>
      <c r="T36" s="415" t="s">
        <v>211</v>
      </c>
      <c r="U36" s="271">
        <v>43935</v>
      </c>
      <c r="V36" s="140"/>
      <c r="W36" s="140"/>
      <c r="X36" s="140">
        <f>STDEV('5.ΤΙΜΕΣ'!J54:J73)</f>
        <v>3.8845516020353445E-2</v>
      </c>
      <c r="Y36" s="140">
        <f>AVERAGE('5.ΤΙΜΕΣ'!J54:J73)</f>
        <v>-2.0039111783705255E-3</v>
      </c>
      <c r="Z36" s="353">
        <f>AVERAGE('5.ΤΙΜΕΣ'!AB3:AB23)</f>
        <v>24102</v>
      </c>
      <c r="AC36" s="415" t="s">
        <v>212</v>
      </c>
      <c r="AD36" s="271">
        <v>43935</v>
      </c>
      <c r="AE36" s="140"/>
      <c r="AF36" s="140"/>
      <c r="AG36" s="140">
        <f>STDEV('5.ΤΙΜΕΣ'!K54:K73)</f>
        <v>6.9621658691703392E-2</v>
      </c>
      <c r="AH36" s="140">
        <f>AVERAGE('5.ΤΙΜΕΣ'!K54:K73)</f>
        <v>7.3897057036211578E-3</v>
      </c>
      <c r="AI36" s="353">
        <f>AVERAGE('5.ΤΙΜΕΣ'!AC3:AC23)</f>
        <v>2287243.3809523811</v>
      </c>
      <c r="AK36" s="415" t="s">
        <v>213</v>
      </c>
      <c r="AL36" s="271">
        <v>43935</v>
      </c>
      <c r="AM36" s="140"/>
      <c r="AN36" s="140"/>
      <c r="AO36" s="140">
        <f>STDEV('5.ΤΙΜΕΣ'!L54:L73)</f>
        <v>5.0691624987774297E-2</v>
      </c>
      <c r="AP36" s="140">
        <f>AVERAGE('5.ΤΙΜΕΣ'!L54:L73)</f>
        <v>9.5428943908120491E-3</v>
      </c>
      <c r="AQ36" s="334">
        <f>AVERAGE('5.ΤΙΜΕΣ'!AD3:AD23)</f>
        <v>419610.66666666669</v>
      </c>
    </row>
    <row r="37" spans="2:43">
      <c r="B37" s="416"/>
      <c r="C37" s="271">
        <v>43936</v>
      </c>
      <c r="D37" s="140"/>
      <c r="E37" s="140"/>
      <c r="F37" s="140">
        <f>STDEV('5.ΤΙΜΕΣ'!H55:H74)</f>
        <v>4.8228902351233019E-2</v>
      </c>
      <c r="G37" s="140">
        <f>AVERAGE('5.ΤΙΜΕΣ'!H55:H74)</f>
        <v>9.2054433684025227E-3</v>
      </c>
      <c r="H37" s="183">
        <f>AVERAGE('5.ΤΙΜΕΣ'!Z4:Z24)</f>
        <v>466473.57142857142</v>
      </c>
      <c r="K37" s="416"/>
      <c r="L37" s="271">
        <v>43936</v>
      </c>
      <c r="M37" s="140"/>
      <c r="N37" s="140"/>
      <c r="O37" s="140">
        <f>STDEV('5.ΤΙΜΕΣ'!I55:I74)</f>
        <v>4.3614518872832603E-2</v>
      </c>
      <c r="P37" s="140">
        <f>AVERAGE('5.ΤΙΜΕΣ'!I55:I74)</f>
        <v>3.1487399580694166E-3</v>
      </c>
      <c r="Q37" s="183">
        <f>AVERAGE('5.ΤΙΜΕΣ'!AA4:AA24)</f>
        <v>21432.285714285714</v>
      </c>
      <c r="T37" s="416"/>
      <c r="U37" s="271">
        <v>43936</v>
      </c>
      <c r="V37" s="385" t="s">
        <v>278</v>
      </c>
      <c r="W37" s="140"/>
      <c r="X37" s="140">
        <f>STDEV('5.ΤΙΜΕΣ'!J55:J74)</f>
        <v>3.87371629893258E-2</v>
      </c>
      <c r="Y37" s="140">
        <f>AVERAGE('5.ΤΙΜΕΣ'!J55:J74)</f>
        <v>-1.2844743057655414E-3</v>
      </c>
      <c r="Z37" s="334">
        <f>AVERAGE('5.ΤΙΜΕΣ'!AB4:AB24)</f>
        <v>20475.380952380954</v>
      </c>
      <c r="AC37" s="416"/>
      <c r="AD37" s="271">
        <v>43936</v>
      </c>
      <c r="AE37" s="140"/>
      <c r="AF37" s="140"/>
      <c r="AG37" s="140">
        <f>STDEV('5.ΤΙΜΕΣ'!K55:K74)</f>
        <v>6.9460223405290469E-2</v>
      </c>
      <c r="AH37" s="140">
        <f>AVERAGE('5.ΤΙΜΕΣ'!K55:K74)</f>
        <v>2.2546231821853804E-3</v>
      </c>
      <c r="AI37" s="334">
        <f>AVERAGE('5.ΤΙΜΕΣ'!AC4:AC24)</f>
        <v>2157909.3809523811</v>
      </c>
      <c r="AK37" s="416"/>
      <c r="AL37" s="271">
        <v>43936</v>
      </c>
      <c r="AM37" s="140"/>
      <c r="AN37" s="140"/>
      <c r="AO37" s="140">
        <f>STDEV('5.ΤΙΜΕΣ'!L55:L74)</f>
        <v>5.0852755153993102E-2</v>
      </c>
      <c r="AP37" s="140">
        <f>AVERAGE('5.ΤΙΜΕΣ'!L55:L74)</f>
        <v>5.808571588102095E-3</v>
      </c>
      <c r="AQ37" s="334">
        <f>AVERAGE('5.ΤΙΜΕΣ'!AD4:AD24)</f>
        <v>418242</v>
      </c>
    </row>
    <row r="38" spans="2:43">
      <c r="B38" s="416"/>
      <c r="C38" s="271">
        <v>43937</v>
      </c>
      <c r="D38" s="140"/>
      <c r="E38" s="140"/>
      <c r="F38" s="140">
        <f>STDEV('5.ΤΙΜΕΣ'!H56:H75)</f>
        <v>4.6151503972686567E-2</v>
      </c>
      <c r="G38" s="140">
        <f>AVERAGE('5.ΤΙΜΕΣ'!H56:H75)</f>
        <v>1.1157177565710488E-2</v>
      </c>
      <c r="H38" s="183">
        <f>AVERAGE('5.ΤΙΜΕΣ'!Z5:Z25)</f>
        <v>448659.23809523811</v>
      </c>
      <c r="K38" s="416"/>
      <c r="L38" s="271">
        <v>43937</v>
      </c>
      <c r="M38" s="140"/>
      <c r="N38" s="140"/>
      <c r="O38" s="140">
        <f>STDEV('5.ΤΙΜΕΣ'!I56:I75)</f>
        <v>4.1832422602187273E-2</v>
      </c>
      <c r="P38" s="140">
        <f>AVERAGE('5.ΤΙΜΕΣ'!I56:I75)</f>
        <v>5.2417030657790189E-3</v>
      </c>
      <c r="Q38" s="183">
        <f>AVERAGE('5.ΤΙΜΕΣ'!AA5:AA25)</f>
        <v>20856.095238095237</v>
      </c>
      <c r="T38" s="416"/>
      <c r="U38" s="271">
        <v>43937</v>
      </c>
      <c r="V38" s="140"/>
      <c r="W38" s="140"/>
      <c r="X38" s="140">
        <f>STDEV('5.ΤΙΜΕΣ'!J56:J75)</f>
        <v>2.4225541416704979E-2</v>
      </c>
      <c r="Y38" s="140">
        <f>AVERAGE('5.ΤΙΜΕΣ'!J56:J75)</f>
        <v>5.206106270333989E-3</v>
      </c>
      <c r="Z38" s="334">
        <f>AVERAGE('5.ΤΙΜΕΣ'!AB5:AB25)</f>
        <v>14866.190476190477</v>
      </c>
      <c r="AC38" s="416"/>
      <c r="AD38" s="271">
        <v>43937</v>
      </c>
      <c r="AE38" s="140"/>
      <c r="AF38" s="140"/>
      <c r="AG38" s="140">
        <f>STDEV('5.ΤΙΜΕΣ'!K56:K75)</f>
        <v>5.3771080429204351E-2</v>
      </c>
      <c r="AH38" s="140">
        <f>AVERAGE('5.ΤΙΜΕΣ'!K56:K75)</f>
        <v>1.1162901336536963E-2</v>
      </c>
      <c r="AI38" s="334">
        <f>AVERAGE('5.ΤΙΜΕΣ'!AC5:AC25)</f>
        <v>2113757.9047619049</v>
      </c>
      <c r="AK38" s="416"/>
      <c r="AL38" s="271">
        <v>43937</v>
      </c>
      <c r="AM38" s="140"/>
      <c r="AN38" s="140"/>
      <c r="AO38" s="140">
        <f>STDEV('5.ΤΙΜΕΣ'!L56:L75)</f>
        <v>4.8584826766238993E-2</v>
      </c>
      <c r="AP38" s="140">
        <f>AVERAGE('5.ΤΙΜΕΣ'!L56:L75)</f>
        <v>8.4709075979023368E-3</v>
      </c>
      <c r="AQ38" s="334">
        <f>AVERAGE('5.ΤΙΜΕΣ'!AD5:AD25)</f>
        <v>410693.28571428574</v>
      </c>
    </row>
    <row r="39" spans="2:43">
      <c r="B39" s="416"/>
      <c r="C39" s="271">
        <v>43942</v>
      </c>
      <c r="D39" s="140"/>
      <c r="E39" s="140"/>
      <c r="F39" s="140">
        <f>STDEV('5.ΤΙΜΕΣ'!H57:H76)</f>
        <v>4.0966791153698903E-2</v>
      </c>
      <c r="G39" s="140">
        <f>AVERAGE('5.ΤΙΜΕΣ'!H57:H76)</f>
        <v>7.0809131840225276E-3</v>
      </c>
      <c r="H39" s="183">
        <f>AVERAGE('5.ΤΙΜΕΣ'!Z6:Z26)</f>
        <v>431353.38095238095</v>
      </c>
      <c r="K39" s="416"/>
      <c r="L39" s="271">
        <v>43942</v>
      </c>
      <c r="M39" s="387" t="s">
        <v>297</v>
      </c>
      <c r="N39" s="140"/>
      <c r="O39" s="140">
        <f>STDEV('5.ΤΙΜΕΣ'!I57:I76)</f>
        <v>4.1316596092349007E-2</v>
      </c>
      <c r="P39" s="140">
        <f>AVERAGE('5.ΤΙΜΕΣ'!I57:I76)</f>
        <v>6.0989213443243045E-3</v>
      </c>
      <c r="Q39" s="183">
        <f>AVERAGE('5.ΤΙΜΕΣ'!AA6:AA26)</f>
        <v>17599.285714285714</v>
      </c>
      <c r="T39" s="416"/>
      <c r="U39" s="271">
        <v>43942</v>
      </c>
      <c r="V39" s="140"/>
      <c r="W39" s="140"/>
      <c r="X39" s="140">
        <f>STDEV('5.ΤΙΜΕΣ'!J57:J76)</f>
        <v>1.8809770172627582E-2</v>
      </c>
      <c r="Y39" s="140">
        <f>AVERAGE('5.ΤΙΜΕΣ'!J57:J76)</f>
        <v>1.8870163991423605E-3</v>
      </c>
      <c r="Z39" s="334">
        <f>AVERAGE('5.ΤΙΜΕΣ'!AB6:AB26)</f>
        <v>12826.761904761905</v>
      </c>
      <c r="AC39" s="416"/>
      <c r="AD39" s="271">
        <v>43942</v>
      </c>
      <c r="AE39" s="387" t="s">
        <v>294</v>
      </c>
      <c r="AF39" s="140"/>
      <c r="AG39" s="140">
        <f>STDEV('5.ΤΙΜΕΣ'!K57:K76)</f>
        <v>5.3207736620293343E-2</v>
      </c>
      <c r="AH39" s="140">
        <f>AVERAGE('5.ΤΙΜΕΣ'!K57:K76)</f>
        <v>1.2119025938232917E-2</v>
      </c>
      <c r="AI39" s="334">
        <f>AVERAGE('5.ΤΙΜΕΣ'!AC6:AC26)</f>
        <v>2122570.2380952379</v>
      </c>
      <c r="AK39" s="416"/>
      <c r="AL39" s="271">
        <v>43942</v>
      </c>
      <c r="AM39" s="140"/>
      <c r="AN39" s="140"/>
      <c r="AO39" s="140">
        <f>STDEV('5.ΤΙΜΕΣ'!L57:L76)</f>
        <v>4.8608970026266234E-2</v>
      </c>
      <c r="AP39" s="140">
        <f>AVERAGE('5.ΤΙΜΕΣ'!L57:L76)</f>
        <v>8.6084592664968287E-3</v>
      </c>
      <c r="AQ39" s="334">
        <f>AVERAGE('5.ΤΙΜΕΣ'!AD6:AD26)</f>
        <v>418887.28571428574</v>
      </c>
    </row>
    <row r="40" spans="2:43">
      <c r="B40" s="416"/>
      <c r="C40" s="271">
        <v>43943</v>
      </c>
      <c r="D40" s="140"/>
      <c r="E40" s="140"/>
      <c r="F40" s="140">
        <f>STDEV('5.ΤΙΜΕΣ'!H58:H77)</f>
        <v>4.0646565344313927E-2</v>
      </c>
      <c r="G40" s="140">
        <f>AVERAGE('5.ΤΙΜΕΣ'!H58:H77)</f>
        <v>4.0210783655287054E-3</v>
      </c>
      <c r="H40" s="183">
        <f>AVERAGE('5.ΤΙΜΕΣ'!Z7:Z27)</f>
        <v>422878</v>
      </c>
      <c r="K40" s="416"/>
      <c r="L40" s="271">
        <v>43943</v>
      </c>
      <c r="M40" s="140"/>
      <c r="N40" s="140"/>
      <c r="O40" s="140">
        <f>STDEV('5.ΤΙΜΕΣ'!I58:I77)</f>
        <v>4.1787196327810382E-2</v>
      </c>
      <c r="P40" s="140">
        <f>AVERAGE('5.ΤΙΜΕΣ'!I58:I77)</f>
        <v>6.9075169240408515E-3</v>
      </c>
      <c r="Q40" s="183">
        <f>AVERAGE('5.ΤΙΜΕΣ'!AA7:AA27)</f>
        <v>16546.809523809523</v>
      </c>
      <c r="T40" s="416"/>
      <c r="U40" s="271">
        <v>43943</v>
      </c>
      <c r="V40" s="385" t="s">
        <v>281</v>
      </c>
      <c r="W40" s="140"/>
      <c r="X40" s="140">
        <f>STDEV('5.ΤΙΜΕΣ'!J58:J77)</f>
        <v>1.3129322503239433E-2</v>
      </c>
      <c r="Y40" s="140">
        <f>AVERAGE('5.ΤΙΜΕΣ'!J58:J77)</f>
        <v>4.8393642473669079E-3</v>
      </c>
      <c r="Z40" s="334">
        <f>AVERAGE('5.ΤΙΜΕΣ'!AB7:AB27)</f>
        <v>12784.142857142857</v>
      </c>
      <c r="AC40" s="416"/>
      <c r="AD40" s="271">
        <v>43943</v>
      </c>
      <c r="AE40" s="140"/>
      <c r="AF40" s="140"/>
      <c r="AG40" s="140">
        <f>STDEV('5.ΤΙΜΕΣ'!K58:K77)</f>
        <v>5.3133862494379187E-2</v>
      </c>
      <c r="AH40" s="140">
        <f>AVERAGE('5.ΤΙΜΕΣ'!K58:K77)</f>
        <v>1.2875400664581746E-2</v>
      </c>
      <c r="AI40" s="334">
        <f>AVERAGE('5.ΤΙΜΕΣ'!AC7:AC27)</f>
        <v>1936833.2380952381</v>
      </c>
      <c r="AK40" s="416"/>
      <c r="AL40" s="271">
        <v>43943</v>
      </c>
      <c r="AM40" s="140"/>
      <c r="AN40" s="140"/>
      <c r="AO40" s="140">
        <f>STDEV('5.ΤΙΜΕΣ'!L58:L77)</f>
        <v>4.7459673867635159E-2</v>
      </c>
      <c r="AP40" s="140">
        <f>AVERAGE('5.ΤΙΜΕΣ'!L58:L77)</f>
        <v>1.0283446039547287E-2</v>
      </c>
      <c r="AQ40" s="334">
        <f>AVERAGE('5.ΤΙΜΕΣ'!AD7:AD27)</f>
        <v>412543.61904761905</v>
      </c>
    </row>
    <row r="41" spans="2:43">
      <c r="B41" s="416"/>
      <c r="C41" s="271">
        <v>43944</v>
      </c>
      <c r="D41" s="140"/>
      <c r="E41" s="140"/>
      <c r="F41" s="140">
        <f>STDEV('5.ΤΙΜΕΣ'!H59:H78)</f>
        <v>3.0026691545519492E-2</v>
      </c>
      <c r="G41" s="140">
        <f>AVERAGE('5.ΤΙΜΕΣ'!H59:H78)</f>
        <v>-1.8534368142670576E-3</v>
      </c>
      <c r="H41" s="183">
        <f>AVERAGE('5.ΤΙΜΕΣ'!Z8:Z28)</f>
        <v>431450.42857142858</v>
      </c>
      <c r="K41" s="416"/>
      <c r="L41" s="271">
        <v>43944</v>
      </c>
      <c r="M41" s="140"/>
      <c r="N41" s="140"/>
      <c r="O41" s="140">
        <f>STDEV('5.ΤΙΜΕΣ'!I59:I78)</f>
        <v>4.1854277363843784E-2</v>
      </c>
      <c r="P41" s="140">
        <f>AVERAGE('5.ΤΙΜΕΣ'!I59:I78)</f>
        <v>3.1951900989740044E-3</v>
      </c>
      <c r="Q41" s="183">
        <f>AVERAGE('5.ΤΙΜΕΣ'!AA8:AA28)</f>
        <v>22195.095238095237</v>
      </c>
      <c r="T41" s="416"/>
      <c r="U41" s="271">
        <v>43944</v>
      </c>
      <c r="V41" s="385" t="s">
        <v>281</v>
      </c>
      <c r="W41" s="140"/>
      <c r="X41" s="140">
        <f>STDEV('5.ΤΙΜΕΣ'!J59:J78)</f>
        <v>1.289257268324524E-2</v>
      </c>
      <c r="Y41" s="140">
        <f>AVERAGE('5.ΤΙΜΕΣ'!J59:J78)</f>
        <v>4.0328951508727213E-3</v>
      </c>
      <c r="Z41" s="334">
        <f>AVERAGE('5.ΤΙΜΕΣ'!AB8:AB28)</f>
        <v>6379.0476190476193</v>
      </c>
      <c r="AC41" s="416"/>
      <c r="AD41" s="271">
        <v>43944</v>
      </c>
      <c r="AE41" s="140"/>
      <c r="AF41" s="140"/>
      <c r="AG41" s="140">
        <f>STDEV('5.ΤΙΜΕΣ'!K59:K78)</f>
        <v>5.083696725342586E-2</v>
      </c>
      <c r="AH41" s="140">
        <f>AVERAGE('5.ΤΙΜΕΣ'!K59:K78)</f>
        <v>9.2157245798083157E-3</v>
      </c>
      <c r="AI41" s="334">
        <f>AVERAGE('5.ΤΙΜΕΣ'!AC8:AC28)</f>
        <v>1883880.5714285714</v>
      </c>
      <c r="AK41" s="416"/>
      <c r="AL41" s="271">
        <v>43944</v>
      </c>
      <c r="AM41" s="140"/>
      <c r="AN41" s="140"/>
      <c r="AO41" s="140">
        <f>STDEV('5.ΤΙΜΕΣ'!L59:L78)</f>
        <v>4.7294244125925561E-2</v>
      </c>
      <c r="AP41" s="140">
        <f>AVERAGE('5.ΤΙΜΕΣ'!L59:L78)</f>
        <v>9.9921953743078596E-3</v>
      </c>
      <c r="AQ41" s="334">
        <f>AVERAGE('5.ΤΙΜΕΣ'!AD8:AD28)</f>
        <v>425683.23809523811</v>
      </c>
    </row>
    <row r="42" spans="2:43">
      <c r="B42" s="416"/>
      <c r="C42" s="271">
        <v>43945</v>
      </c>
      <c r="D42" s="385" t="s">
        <v>276</v>
      </c>
      <c r="E42" s="140"/>
      <c r="F42" s="140">
        <f>STDEV('5.ΤΙΜΕΣ'!H60:H79)</f>
        <v>2.9945463488658678E-2</v>
      </c>
      <c r="G42" s="140">
        <f>AVERAGE('5.ΤΙΜΕΣ'!H60:H79)</f>
        <v>-1.4948796528094484E-3</v>
      </c>
      <c r="H42" s="183">
        <f>AVERAGE('5.ΤΙΜΕΣ'!Z9:Z29)</f>
        <v>381082.09523809527</v>
      </c>
      <c r="K42" s="416"/>
      <c r="L42" s="271">
        <v>43945</v>
      </c>
      <c r="M42" s="140"/>
      <c r="N42" s="140"/>
      <c r="O42" s="140">
        <f>STDEV('5.ΤΙΜΕΣ'!I60:I79)</f>
        <v>4.0136279782288606E-2</v>
      </c>
      <c r="P42" s="140">
        <f>AVERAGE('5.ΤΙΜΕΣ'!I60:I79)</f>
        <v>9.5240974853471499E-4</v>
      </c>
      <c r="Q42" s="183">
        <f>AVERAGE('5.ΤΙΜΕΣ'!AA9:AA29)</f>
        <v>23553.428571428572</v>
      </c>
      <c r="T42" s="416"/>
      <c r="U42" s="271">
        <v>43945</v>
      </c>
      <c r="V42" s="385" t="s">
        <v>281</v>
      </c>
      <c r="W42" s="140"/>
      <c r="X42" s="140">
        <f>STDEV('5.ΤΙΜΕΣ'!J60:J79)</f>
        <v>1.3549432762125087E-2</v>
      </c>
      <c r="Y42" s="140">
        <f>AVERAGE('5.ΤΙΜΕΣ'!J60:J79)</f>
        <v>3.2893870269001522E-3</v>
      </c>
      <c r="Z42" s="334">
        <f>AVERAGE('5.ΤΙΜΕΣ'!AB9:AB29)</f>
        <v>6000</v>
      </c>
      <c r="AC42" s="416"/>
      <c r="AD42" s="271">
        <v>43945</v>
      </c>
      <c r="AE42" s="140"/>
      <c r="AF42" s="140"/>
      <c r="AG42" s="140">
        <f>STDEV('5.ΤΙΜΕΣ'!K60:K79)</f>
        <v>4.9212853359575315E-2</v>
      </c>
      <c r="AH42" s="140">
        <f>AVERAGE('5.ΤΙΜΕΣ'!K60:K79)</f>
        <v>5.7983664650949358E-3</v>
      </c>
      <c r="AI42" s="334">
        <f>AVERAGE('5.ΤΙΜΕΣ'!AC9:AC29)</f>
        <v>1796353.6666666667</v>
      </c>
      <c r="AK42" s="416"/>
      <c r="AL42" s="271">
        <v>43945</v>
      </c>
      <c r="AM42" s="140"/>
      <c r="AN42" s="140"/>
      <c r="AO42" s="140">
        <f>STDEV('5.ΤΙΜΕΣ'!L60:L79)</f>
        <v>4.0584610941604225E-2</v>
      </c>
      <c r="AP42" s="140">
        <f>AVERAGE('5.ΤΙΜΕΣ'!L60:L79)</f>
        <v>3.6474499823083732E-3</v>
      </c>
      <c r="AQ42" s="334">
        <f>AVERAGE('5.ΤΙΜΕΣ'!AD9:AD29)</f>
        <v>426461.09523809527</v>
      </c>
    </row>
    <row r="43" spans="2:43">
      <c r="B43" s="416"/>
      <c r="C43" s="271">
        <v>43948</v>
      </c>
      <c r="D43" s="140"/>
      <c r="E43" s="140"/>
      <c r="F43" s="140">
        <f>STDEV('5.ΤΙΜΕΣ'!H61:H80)</f>
        <v>2.6746605225269442E-2</v>
      </c>
      <c r="G43" s="140">
        <f>AVERAGE('5.ΤΙΜΕΣ'!H61:H80)</f>
        <v>1.9159432151068211E-3</v>
      </c>
      <c r="H43" s="183">
        <f>AVERAGE('5.ΤΙΜΕΣ'!Z10:Z30)</f>
        <v>349546</v>
      </c>
      <c r="K43" s="416"/>
      <c r="L43" s="271">
        <v>43948</v>
      </c>
      <c r="M43" s="140"/>
      <c r="N43" s="140"/>
      <c r="O43" s="140">
        <f>STDEV('5.ΤΙΜΕΣ'!I61:I80)</f>
        <v>3.5791564376080602E-2</v>
      </c>
      <c r="P43" s="140">
        <f>AVERAGE('5.ΤΙΜΕΣ'!I61:I80)</f>
        <v>4.3505688494814834E-3</v>
      </c>
      <c r="Q43" s="183">
        <f>AVERAGE('5.ΤΙΜΕΣ'!AA10:AA30)</f>
        <v>32102.904761904763</v>
      </c>
      <c r="T43" s="416"/>
      <c r="U43" s="271">
        <v>43948</v>
      </c>
      <c r="V43" s="385" t="s">
        <v>281</v>
      </c>
      <c r="W43" s="140"/>
      <c r="X43" s="140">
        <f>STDEV('5.ΤΙΜΕΣ'!J61:J80)</f>
        <v>1.3549432762125087E-2</v>
      </c>
      <c r="Y43" s="140">
        <f>AVERAGE('5.ΤΙΜΕΣ'!J61:J80)</f>
        <v>3.2893870269001522E-3</v>
      </c>
      <c r="Z43" s="334">
        <f>AVERAGE('5.ΤΙΜΕΣ'!AB10:AB30)</f>
        <v>5697.666666666667</v>
      </c>
      <c r="AC43" s="416"/>
      <c r="AD43" s="271">
        <v>43948</v>
      </c>
      <c r="AE43" s="387" t="s">
        <v>295</v>
      </c>
      <c r="AF43" s="140"/>
      <c r="AG43" s="140">
        <f>STDEV('5.ΤΙΜΕΣ'!K61:K80)</f>
        <v>4.493754482433239E-2</v>
      </c>
      <c r="AH43" s="140">
        <f>AVERAGE('5.ΤΙΜΕΣ'!K61:K80)</f>
        <v>1.2256122901649246E-2</v>
      </c>
      <c r="AI43" s="334">
        <f>AVERAGE('5.ΤΙΜΕΣ'!AC10:AC30)</f>
        <v>1647077.7142857143</v>
      </c>
      <c r="AK43" s="416"/>
      <c r="AL43" s="271">
        <v>43948</v>
      </c>
      <c r="AM43" s="140"/>
      <c r="AN43" s="140"/>
      <c r="AO43" s="140">
        <f>STDEV('5.ΤΙΜΕΣ'!L61:L80)</f>
        <v>3.6410937583833972E-2</v>
      </c>
      <c r="AP43" s="140">
        <f>AVERAGE('5.ΤΙΜΕΣ'!L61:L80)</f>
        <v>7.2905173955519669E-3</v>
      </c>
      <c r="AQ43" s="334">
        <f>AVERAGE('5.ΤΙΜΕΣ'!AD10:AD30)</f>
        <v>432319.85714285716</v>
      </c>
    </row>
    <row r="44" spans="2:43">
      <c r="B44" s="416"/>
      <c r="C44" s="271">
        <v>43949</v>
      </c>
      <c r="D44" s="140"/>
      <c r="E44" s="140"/>
      <c r="F44" s="140">
        <f>STDEV('5.ΤΙΜΕΣ'!H62:H81)</f>
        <v>2.5562530836661108E-2</v>
      </c>
      <c r="G44" s="140">
        <f>AVERAGE('5.ΤΙΜΕΣ'!H62:H81)</f>
        <v>-7.5759025103012533E-4</v>
      </c>
      <c r="H44" s="183">
        <f>AVERAGE('5.ΤΙΜΕΣ'!Z11:Z31)</f>
        <v>349289.38095238095</v>
      </c>
      <c r="K44" s="416"/>
      <c r="L44" s="271">
        <v>43949</v>
      </c>
      <c r="M44" s="140"/>
      <c r="N44" s="140"/>
      <c r="O44" s="140">
        <f>STDEV('5.ΤΙΜΕΣ'!I62:I81)</f>
        <v>3.0041422972381809E-2</v>
      </c>
      <c r="P44" s="140">
        <f>AVERAGE('5.ΤΙΜΕΣ'!I62:I81)</f>
        <v>-1.5612511283791264E-18</v>
      </c>
      <c r="Q44" s="183">
        <f>AVERAGE('5.ΤΙΜΕΣ'!AA11:AA31)</f>
        <v>33652.714285714283</v>
      </c>
      <c r="T44" s="416"/>
      <c r="U44" s="271">
        <v>43949</v>
      </c>
      <c r="V44" s="385" t="s">
        <v>281</v>
      </c>
      <c r="W44" s="140"/>
      <c r="X44" s="140">
        <f>STDEV('5.ΤΙΜΕΣ'!J62:J81)</f>
        <v>1.2677339478394081E-2</v>
      </c>
      <c r="Y44" s="140">
        <f>AVERAGE('5.ΤΙΜΕΣ'!J62:J81)</f>
        <v>2.1035606960343482E-3</v>
      </c>
      <c r="Z44" s="334">
        <f>AVERAGE('5.ΤΙΜΕΣ'!AB11:AB31)</f>
        <v>5324.5238095238092</v>
      </c>
      <c r="AC44" s="416"/>
      <c r="AD44" s="271">
        <v>43949</v>
      </c>
      <c r="AE44" s="140"/>
      <c r="AF44" s="140"/>
      <c r="AG44" s="140">
        <f>STDEV('5.ΤΙΜΕΣ'!K62:K81)</f>
        <v>4.1710554806082094E-2</v>
      </c>
      <c r="AH44" s="140">
        <f>AVERAGE('5.ΤΙΜΕΣ'!K62:K81)</f>
        <v>9.6224112805941946E-3</v>
      </c>
      <c r="AI44" s="334">
        <f>AVERAGE('5.ΤΙΜΕΣ'!AC11:AC31)</f>
        <v>1699686</v>
      </c>
      <c r="AK44" s="416"/>
      <c r="AL44" s="271">
        <v>43949</v>
      </c>
      <c r="AM44" s="140"/>
      <c r="AN44" s="140"/>
      <c r="AO44" s="140">
        <f>STDEV('5.ΤΙΜΕΣ'!L62:L81)</f>
        <v>3.6400611139061914E-2</v>
      </c>
      <c r="AP44" s="140">
        <f>AVERAGE('5.ΤΙΜΕΣ'!L62:L81)</f>
        <v>7.3960065038311037E-3</v>
      </c>
      <c r="AQ44" s="334">
        <f>AVERAGE('5.ΤΙΜΕΣ'!AD11:AD31)</f>
        <v>434610.95238095237</v>
      </c>
    </row>
    <row r="45" spans="2:43">
      <c r="B45" s="416"/>
      <c r="C45" s="271">
        <v>43950</v>
      </c>
      <c r="D45" s="140"/>
      <c r="E45" s="140"/>
      <c r="F45" s="140">
        <f>STDEV('5.ΤΙΜΕΣ'!H63:H82)</f>
        <v>2.5495984322164156E-2</v>
      </c>
      <c r="G45" s="140">
        <f>AVERAGE('5.ΤΙΜΕΣ'!H63:H82)</f>
        <v>-8.995744896520871E-4</v>
      </c>
      <c r="H45" s="183">
        <f>AVERAGE('5.ΤΙΜΕΣ'!Z12:Z32)</f>
        <v>331915.52380952379</v>
      </c>
      <c r="K45" s="416"/>
      <c r="L45" s="271">
        <v>43950</v>
      </c>
      <c r="M45" s="140"/>
      <c r="N45" s="140"/>
      <c r="O45" s="140">
        <f>STDEV('5.ΤΙΜΕΣ'!I63:I82)</f>
        <v>2.9958669664794997E-2</v>
      </c>
      <c r="P45" s="140">
        <f>AVERAGE('5.ΤΙΜΕΣ'!I63:I82)</f>
        <v>-4.7393719772718891E-4</v>
      </c>
      <c r="Q45" s="183">
        <f>AVERAGE('5.ΤΙΜΕΣ'!AA12:AA32)</f>
        <v>34484.476190476191</v>
      </c>
      <c r="T45" s="416"/>
      <c r="U45" s="271">
        <v>43950</v>
      </c>
      <c r="V45" s="385" t="s">
        <v>281</v>
      </c>
      <c r="W45" s="140"/>
      <c r="X45" s="140">
        <f>STDEV('5.ΤΙΜΕΣ'!J63:J82)</f>
        <v>1.228266427777808E-2</v>
      </c>
      <c r="Y45" s="140">
        <f>AVERAGE('5.ΤΙΜΕΣ'!J63:J82)</f>
        <v>1.3283513692360857E-3</v>
      </c>
      <c r="Z45" s="334">
        <f>AVERAGE('5.ΤΙΜΕΣ'!AB12:AB32)</f>
        <v>4917.4761904761908</v>
      </c>
      <c r="AC45" s="416"/>
      <c r="AD45" s="271">
        <v>43950</v>
      </c>
      <c r="AE45" s="140"/>
      <c r="AF45" s="140"/>
      <c r="AG45" s="140">
        <f>STDEV('5.ΤΙΜΕΣ'!K63:K82)</f>
        <v>4.1122110576765687E-2</v>
      </c>
      <c r="AH45" s="140">
        <f>AVERAGE('5.ΤΙΜΕΣ'!K63:K82)</f>
        <v>1.0612555507389303E-2</v>
      </c>
      <c r="AI45" s="334">
        <f>AVERAGE('5.ΤΙΜΕΣ'!AC12:AC32)</f>
        <v>1604649.6190476189</v>
      </c>
      <c r="AK45" s="416"/>
      <c r="AL45" s="271">
        <v>43950</v>
      </c>
      <c r="AM45" s="140"/>
      <c r="AN45" s="140"/>
      <c r="AO45" s="140">
        <f>STDEV('5.ΤΙΜΕΣ'!L63:L82)</f>
        <v>3.6533813071310567E-2</v>
      </c>
      <c r="AP45" s="140">
        <f>AVERAGE('5.ΤΙΜΕΣ'!L63:L82)</f>
        <v>5.7627294651512381E-3</v>
      </c>
      <c r="AQ45" s="334">
        <f>AVERAGE('5.ΤΙΜΕΣ'!AD12:AD32)</f>
        <v>403060.04761904763</v>
      </c>
    </row>
    <row r="46" spans="2:43">
      <c r="B46" s="416"/>
      <c r="C46" s="271">
        <v>43951</v>
      </c>
      <c r="D46" s="140"/>
      <c r="E46" s="140"/>
      <c r="F46" s="140">
        <f>STDEV('5.ΤΙΜΕΣ'!H64:H83)</f>
        <v>2.6155031700615505E-2</v>
      </c>
      <c r="G46" s="140">
        <f>AVERAGE('5.ΤΙΜΕΣ'!H64:H83)</f>
        <v>5.1890754843568411E-4</v>
      </c>
      <c r="H46" s="183">
        <f>AVERAGE('5.ΤΙΜΕΣ'!Z13:Z33)</f>
        <v>331740.90476190473</v>
      </c>
      <c r="K46" s="416"/>
      <c r="L46" s="271">
        <v>43951</v>
      </c>
      <c r="M46" s="387" t="s">
        <v>298</v>
      </c>
      <c r="N46" s="140"/>
      <c r="O46" s="140">
        <f>STDEV('5.ΤΙΜΕΣ'!I64:I83)</f>
        <v>2.8627573308797383E-2</v>
      </c>
      <c r="P46" s="140">
        <f>AVERAGE('5.ΤΙΜΕΣ'!I64:I83)</f>
        <v>1.2107129060297257E-3</v>
      </c>
      <c r="Q46" s="183">
        <f>AVERAGE('5.ΤΙΜΕΣ'!AA13:AA33)</f>
        <v>34426.904761904763</v>
      </c>
      <c r="T46" s="416"/>
      <c r="U46" s="271">
        <v>43951</v>
      </c>
      <c r="V46" s="385" t="s">
        <v>281</v>
      </c>
      <c r="W46" s="140"/>
      <c r="X46" s="140">
        <f>STDEV('5.ΤΙΜΕΣ'!J64:J83)</f>
        <v>1.1603827011920894E-2</v>
      </c>
      <c r="Y46" s="140">
        <f>AVERAGE('5.ΤΙΜΕΣ'!J64:J83)</f>
        <v>1.7735089724153948E-3</v>
      </c>
      <c r="Z46" s="334">
        <f>AVERAGE('5.ΤΙΜΕΣ'!AB13:AB33)</f>
        <v>4625.0476190476193</v>
      </c>
      <c r="AC46" s="416"/>
      <c r="AD46" s="271">
        <v>43951</v>
      </c>
      <c r="AE46" s="387" t="s">
        <v>294</v>
      </c>
      <c r="AF46" s="140"/>
      <c r="AG46" s="140">
        <f>STDEV('5.ΤΙΜΕΣ'!K64:K83)</f>
        <v>3.7949035830551481E-2</v>
      </c>
      <c r="AH46" s="140">
        <f>AVERAGE('5.ΤΙΜΕΣ'!K64:K83)</f>
        <v>1.2825774010668093E-2</v>
      </c>
      <c r="AI46" s="334">
        <f>AVERAGE('5.ΤΙΜΕΣ'!AC13:AC33)</f>
        <v>1592654.6666666667</v>
      </c>
      <c r="AK46" s="416"/>
      <c r="AL46" s="271">
        <v>43951</v>
      </c>
      <c r="AM46" s="140"/>
      <c r="AN46" s="140"/>
      <c r="AO46" s="140">
        <f>STDEV('5.ΤΙΜΕΣ'!L64:L83)</f>
        <v>3.6767433549879443E-2</v>
      </c>
      <c r="AP46" s="140">
        <f>AVERAGE('5.ΤΙΜΕΣ'!L64:L83)</f>
        <v>4.8424912994958812E-3</v>
      </c>
      <c r="AQ46" s="334">
        <f>AVERAGE('5.ΤΙΜΕΣ'!AD13:AD33)</f>
        <v>408643.47619047621</v>
      </c>
    </row>
    <row r="47" spans="2:43">
      <c r="B47" s="416"/>
      <c r="C47" s="271">
        <v>43955</v>
      </c>
      <c r="D47" s="140"/>
      <c r="E47" s="140"/>
      <c r="F47" s="140">
        <f>STDEV('5.ΤΙΜΕΣ'!H65:H84)</f>
        <v>2.9407401019811687E-2</v>
      </c>
      <c r="G47" s="140">
        <f>AVERAGE('5.ΤΙΜΕΣ'!H65:H84)</f>
        <v>-3.9354646664828919E-3</v>
      </c>
      <c r="H47" s="183">
        <f>AVERAGE('5.ΤΙΜΕΣ'!Z14:Z34)</f>
        <v>332473.42857142858</v>
      </c>
      <c r="K47" s="416"/>
      <c r="L47" s="271">
        <v>43955</v>
      </c>
      <c r="M47" s="140"/>
      <c r="N47" s="140"/>
      <c r="O47" s="140">
        <f>STDEV('5.ΤΙΜΕΣ'!I65:I84)</f>
        <v>2.7868725762218331E-2</v>
      </c>
      <c r="P47" s="140">
        <f>AVERAGE('5.ΤΙΜΕΣ'!I65:I84)</f>
        <v>-2.6512234154110236E-3</v>
      </c>
      <c r="Q47" s="183">
        <f>AVERAGE('5.ΤΙΜΕΣ'!AA14:AA34)</f>
        <v>35492.857142857145</v>
      </c>
      <c r="T47" s="416"/>
      <c r="U47" s="271">
        <v>43955</v>
      </c>
      <c r="V47" s="385" t="s">
        <v>281</v>
      </c>
      <c r="W47" s="140"/>
      <c r="X47" s="140">
        <f>STDEV('5.ΤΙΜΕΣ'!J65:J84)</f>
        <v>1.1788128084133787E-2</v>
      </c>
      <c r="Y47" s="140">
        <f>AVERAGE('5.ΤΙΜΕΣ'!J65:J84)</f>
        <v>1.3932790031544295E-3</v>
      </c>
      <c r="Z47" s="334">
        <f>AVERAGE('5.ΤΙΜΕΣ'!AB14:AB34)</f>
        <v>4091.2380952380954</v>
      </c>
      <c r="AC47" s="416"/>
      <c r="AD47" s="271">
        <v>43955</v>
      </c>
      <c r="AE47" s="140"/>
      <c r="AF47" s="140"/>
      <c r="AG47" s="140">
        <f>STDEV('5.ΤΙΜΕΣ'!K65:K84)</f>
        <v>4.0042700191791784E-2</v>
      </c>
      <c r="AH47" s="140">
        <f>AVERAGE('5.ΤΙΜΕΣ'!K65:K84)</f>
        <v>1.057603557431085E-2</v>
      </c>
      <c r="AI47" s="334">
        <f>AVERAGE('5.ΤΙΜΕΣ'!AC14:AC34)</f>
        <v>1604740.142857143</v>
      </c>
      <c r="AK47" s="416"/>
      <c r="AL47" s="271">
        <v>43955</v>
      </c>
      <c r="AM47" s="140"/>
      <c r="AN47" s="140"/>
      <c r="AO47" s="140">
        <f>STDEV('5.ΤΙΜΕΣ'!L65:L84)</f>
        <v>3.6591190815814807E-2</v>
      </c>
      <c r="AP47" s="140">
        <f>AVERAGE('5.ΤΙΜΕΣ'!L65:L84)</f>
        <v>5.4106792320116354E-3</v>
      </c>
      <c r="AQ47" s="334">
        <f>AVERAGE('5.ΤΙΜΕΣ'!AD14:AD34)</f>
        <v>423973.38095238095</v>
      </c>
    </row>
    <row r="48" spans="2:43">
      <c r="B48" s="416"/>
      <c r="C48" s="271">
        <v>43956</v>
      </c>
      <c r="D48" s="140"/>
      <c r="E48" s="140"/>
      <c r="F48" s="140">
        <f>STDEV('5.ΤΙΜΕΣ'!H66:H85)</f>
        <v>2.8381793271812953E-2</v>
      </c>
      <c r="G48" s="140">
        <f>AVERAGE('5.ΤΙΜΕΣ'!H66:H85)</f>
        <v>-3.0581135087180878E-4</v>
      </c>
      <c r="H48" s="183">
        <f>AVERAGE('5.ΤΙΜΕΣ'!Z15:Z35)</f>
        <v>319151.95238095237</v>
      </c>
      <c r="K48" s="416"/>
      <c r="L48" s="271">
        <v>43956</v>
      </c>
      <c r="M48" s="140"/>
      <c r="N48" s="140"/>
      <c r="O48" s="140">
        <f>STDEV('5.ΤΙΜΕΣ'!I66:I85)</f>
        <v>2.7460745970537329E-2</v>
      </c>
      <c r="P48" s="140">
        <f>AVERAGE('5.ΤΙΜΕΣ'!I66:I85)</f>
        <v>-1.2166050329765375E-3</v>
      </c>
      <c r="Q48" s="183">
        <f>AVERAGE('5.ΤΙΜΕΣ'!AA15:AA35)</f>
        <v>35746.809523809527</v>
      </c>
      <c r="T48" s="416"/>
      <c r="U48" s="271">
        <v>43956</v>
      </c>
      <c r="V48" s="385" t="s">
        <v>280</v>
      </c>
      <c r="W48" s="140"/>
      <c r="X48" s="140">
        <f>STDEV('5.ΤΙΜΕΣ'!J66:J85)</f>
        <v>1.1745308657346252E-2</v>
      </c>
      <c r="Y48" s="140">
        <f>AVERAGE('5.ΤΙΜΕΣ'!J66:J85)</f>
        <v>1.5505118371280161E-3</v>
      </c>
      <c r="Z48" s="334">
        <f>AVERAGE('5.ΤΙΜΕΣ'!AB15:AB35)</f>
        <v>4040.7142857142858</v>
      </c>
      <c r="AC48" s="416"/>
      <c r="AD48" s="271">
        <v>43956</v>
      </c>
      <c r="AE48" s="140"/>
      <c r="AF48" s="140"/>
      <c r="AG48" s="140">
        <f>STDEV('5.ΤΙΜΕΣ'!K66:K85)</f>
        <v>3.805629729853361E-2</v>
      </c>
      <c r="AH48" s="140">
        <f>AVERAGE('5.ΤΙΜΕΣ'!K66:K85)</f>
        <v>7.759644470285096E-3</v>
      </c>
      <c r="AI48" s="334">
        <f>AVERAGE('5.ΤΙΜΕΣ'!AC15:AC35)</f>
        <v>1526400.5714285714</v>
      </c>
      <c r="AK48" s="416"/>
      <c r="AL48" s="271">
        <v>43956</v>
      </c>
      <c r="AM48" s="140"/>
      <c r="AN48" s="140"/>
      <c r="AO48" s="140">
        <f>STDEV('5.ΤΙΜΕΣ'!L66:L85)</f>
        <v>3.9445540932858666E-2</v>
      </c>
      <c r="AP48" s="140">
        <f>AVERAGE('5.ΤΙΜΕΣ'!L66:L85)</f>
        <v>9.3430523066393295E-3</v>
      </c>
      <c r="AQ48" s="334">
        <f>AVERAGE('5.ΤΙΜΕΣ'!AD15:AD35)</f>
        <v>438941.66666666669</v>
      </c>
    </row>
    <row r="49" spans="2:43">
      <c r="B49" s="416"/>
      <c r="C49" s="271">
        <v>43957</v>
      </c>
      <c r="D49" s="140"/>
      <c r="E49" s="140"/>
      <c r="F49" s="140">
        <f>STDEV('5.ΤΙΜΕΣ'!H67:H86)</f>
        <v>2.7720346756768443E-2</v>
      </c>
      <c r="G49" s="140">
        <f>AVERAGE('5.ΤΙΜΕΣ'!H67:H86)</f>
        <v>1.1601448539831885E-3</v>
      </c>
      <c r="H49" s="183">
        <f>AVERAGE('5.ΤΙΜΕΣ'!Z16:Z36)</f>
        <v>316916.71428571426</v>
      </c>
      <c r="K49" s="416"/>
      <c r="L49" s="271">
        <v>43957</v>
      </c>
      <c r="M49" s="140"/>
      <c r="N49" s="140"/>
      <c r="O49" s="140">
        <f>STDEV('5.ΤΙΜΕΣ'!I67:I86)</f>
        <v>2.7352231672873158E-2</v>
      </c>
      <c r="P49" s="140">
        <f>AVERAGE('5.ΤΙΜΕΣ'!I67:I86)</f>
        <v>-1.941991665813205E-3</v>
      </c>
      <c r="Q49" s="183">
        <f>AVERAGE('5.ΤΙΜΕΣ'!AA16:AA36)</f>
        <v>36674.047619047618</v>
      </c>
      <c r="T49" s="416"/>
      <c r="U49" s="271">
        <v>43957</v>
      </c>
      <c r="V49" s="385" t="s">
        <v>279</v>
      </c>
      <c r="W49" s="140"/>
      <c r="X49" s="140">
        <f>STDEV('5.ΤΙΜΕΣ'!J67:J86)</f>
        <v>1.1019858218682843E-2</v>
      </c>
      <c r="Y49" s="140">
        <f>AVERAGE('5.ΤΙΜΕΣ'!J67:J86)</f>
        <v>2.3441792949425214E-3</v>
      </c>
      <c r="Z49" s="334">
        <f>AVERAGE('5.ΤΙΜΕΣ'!AB16:AB36)</f>
        <v>3442.2857142857142</v>
      </c>
      <c r="AC49" s="416"/>
      <c r="AD49" s="271">
        <v>43957</v>
      </c>
      <c r="AE49" s="140"/>
      <c r="AF49" s="140"/>
      <c r="AG49" s="140">
        <f>STDEV('5.ΤΙΜΕΣ'!K67:K86)</f>
        <v>3.815409715508912E-2</v>
      </c>
      <c r="AH49" s="140">
        <f>AVERAGE('5.ΤΙΜΕΣ'!K67:K86)</f>
        <v>7.2240791277616637E-3</v>
      </c>
      <c r="AI49" s="334">
        <f>AVERAGE('5.ΤΙΜΕΣ'!AC16:AC36)</f>
        <v>1593543.7619047619</v>
      </c>
      <c r="AK49" s="416"/>
      <c r="AL49" s="271">
        <v>43957</v>
      </c>
      <c r="AM49" s="140"/>
      <c r="AN49" s="140"/>
      <c r="AO49" s="140">
        <f>STDEV('5.ΤΙΜΕΣ'!L67:L86)</f>
        <v>3.8999102705388228E-2</v>
      </c>
      <c r="AP49" s="140">
        <f>AVERAGE('5.ΤΙΜΕΣ'!L67:L86)</f>
        <v>9.9666451310245641E-3</v>
      </c>
      <c r="AQ49" s="334">
        <f>AVERAGE('5.ΤΙΜΕΣ'!AD16:AD36)</f>
        <v>431777.47619047621</v>
      </c>
    </row>
    <row r="50" spans="2:43">
      <c r="B50" s="416"/>
      <c r="C50" s="271">
        <v>43958</v>
      </c>
      <c r="D50" s="140"/>
      <c r="E50" s="140"/>
      <c r="F50" s="140">
        <f>STDEV('5.ΤΙΜΕΣ'!H68:H87)</f>
        <v>2.8194520767649046E-2</v>
      </c>
      <c r="G50" s="140">
        <f>AVERAGE('5.ΤΙΜΕΣ'!H68:H87)</f>
        <v>2.2904768015646988E-3</v>
      </c>
      <c r="H50" s="183">
        <f>AVERAGE('5.ΤΙΜΕΣ'!Z17:Z37)</f>
        <v>316403.95238095237</v>
      </c>
      <c r="K50" s="416"/>
      <c r="L50" s="271">
        <v>43958</v>
      </c>
      <c r="M50" s="140"/>
      <c r="N50" s="140"/>
      <c r="O50" s="140">
        <f>STDEV('5.ΤΙΜΕΣ'!I68:I87)</f>
        <v>2.3975785793001556E-2</v>
      </c>
      <c r="P50" s="140">
        <f>AVERAGE('5.ΤΙΜΕΣ'!I68:I87)</f>
        <v>5.0251679267506442E-4</v>
      </c>
      <c r="Q50" s="183">
        <f>AVERAGE('5.ΤΙΜΕΣ'!AA17:AA37)</f>
        <v>36757.142857142855</v>
      </c>
      <c r="T50" s="416"/>
      <c r="U50" s="271">
        <v>43958</v>
      </c>
      <c r="V50" s="140"/>
      <c r="W50" s="140"/>
      <c r="X50" s="140">
        <f>STDEV('5.ΤΙΜΕΣ'!J68:J87)</f>
        <v>1.1019858218682843E-2</v>
      </c>
      <c r="Y50" s="140">
        <f>AVERAGE('5.ΤΙΜΕΣ'!J68:J87)</f>
        <v>2.3441792949425214E-3</v>
      </c>
      <c r="Z50" s="334">
        <f>AVERAGE('5.ΤΙΜΕΣ'!AB17:AB37)</f>
        <v>3349.3333333333335</v>
      </c>
      <c r="AC50" s="416"/>
      <c r="AD50" s="271">
        <v>43958</v>
      </c>
      <c r="AE50" s="140"/>
      <c r="AF50" s="140"/>
      <c r="AG50" s="140">
        <f>STDEV('5.ΤΙΜΕΣ'!K68:K87)</f>
        <v>3.8476117102450968E-2</v>
      </c>
      <c r="AH50" s="140">
        <f>AVERAGE('5.ΤΙΜΕΣ'!K68:K87)</f>
        <v>6.7750530193785158E-3</v>
      </c>
      <c r="AI50" s="334">
        <f>AVERAGE('5.ΤΙΜΕΣ'!AC17:AC37)</f>
        <v>1634432.4761904762</v>
      </c>
      <c r="AK50" s="416"/>
      <c r="AL50" s="271">
        <v>43958</v>
      </c>
      <c r="AM50" s="385" t="s">
        <v>282</v>
      </c>
      <c r="AN50" s="140"/>
      <c r="AO50" s="140">
        <f>STDEV('5.ΤΙΜΕΣ'!L68:L87)</f>
        <v>3.8907333352390473E-2</v>
      </c>
      <c r="AP50" s="140">
        <f>AVERAGE('5.ΤΙΜΕΣ'!L68:L87)</f>
        <v>1.0639038213933156E-2</v>
      </c>
      <c r="AQ50" s="334">
        <f>AVERAGE('5.ΤΙΜΕΣ'!AD17:AD37)</f>
        <v>440354.09523809527</v>
      </c>
    </row>
    <row r="51" spans="2:43">
      <c r="B51" s="416"/>
      <c r="C51" s="271">
        <v>43959</v>
      </c>
      <c r="D51" s="140"/>
      <c r="E51" s="140"/>
      <c r="F51" s="140">
        <f>STDEV('5.ΤΙΜΕΣ'!H69:H88)</f>
        <v>2.8196417757006719E-2</v>
      </c>
      <c r="G51" s="140">
        <f>AVERAGE('5.ΤΙΜΕΣ'!H69:H88)</f>
        <v>3.1974362300136541E-3</v>
      </c>
      <c r="H51" s="183">
        <f>AVERAGE('5.ΤΙΜΕΣ'!Z18:Z38)</f>
        <v>326872.61904761905</v>
      </c>
      <c r="K51" s="416"/>
      <c r="L51" s="271">
        <v>43959</v>
      </c>
      <c r="M51" s="140"/>
      <c r="N51" s="140"/>
      <c r="O51" s="140">
        <f>STDEV('5.ΤΙΜΕΣ'!I69:I88)</f>
        <v>2.4189549146970305E-2</v>
      </c>
      <c r="P51" s="140">
        <f>AVERAGE('5.ΤΙΜΕΣ'!I69:I88)</f>
        <v>1.2469474173626032E-3</v>
      </c>
      <c r="Q51" s="183">
        <f>AVERAGE('5.ΤΙΜΕΣ'!AA18:AA38)</f>
        <v>35368</v>
      </c>
      <c r="T51" s="416"/>
      <c r="U51" s="271">
        <v>43959</v>
      </c>
      <c r="V51" s="140"/>
      <c r="W51" s="140"/>
      <c r="X51" s="140">
        <f>STDEV('5.ΤΙΜΕΣ'!J69:J88)</f>
        <v>1.0556032963978289E-2</v>
      </c>
      <c r="Y51" s="140">
        <f>AVERAGE('5.ΤΙΜΕΣ'!J69:J88)</f>
        <v>1.5505118371280141E-3</v>
      </c>
      <c r="Z51" s="334">
        <f>AVERAGE('5.ΤΙΜΕΣ'!AB18:AB38)</f>
        <v>3295.7619047619046</v>
      </c>
      <c r="AC51" s="416"/>
      <c r="AD51" s="271">
        <v>43959</v>
      </c>
      <c r="AE51" s="140"/>
      <c r="AF51" s="140"/>
      <c r="AG51" s="140">
        <f>STDEV('5.ΤΙΜΕΣ'!K69:K88)</f>
        <v>3.8513196866476841E-2</v>
      </c>
      <c r="AH51" s="140">
        <f>AVERAGE('5.ΤΙΜΕΣ'!K69:K88)</f>
        <v>5.987128876011048E-3</v>
      </c>
      <c r="AI51" s="334">
        <f>AVERAGE('5.ΤΙΜΕΣ'!AC18:AC38)</f>
        <v>1615057.8095238095</v>
      </c>
      <c r="AK51" s="416"/>
      <c r="AL51" s="271">
        <v>43959</v>
      </c>
      <c r="AM51" s="140"/>
      <c r="AN51" s="140"/>
      <c r="AO51" s="140">
        <f>STDEV('5.ΤΙΜΕΣ'!L69:L88)</f>
        <v>3.8496665435161816E-2</v>
      </c>
      <c r="AP51" s="140">
        <f>AVERAGE('5.ΤΙΜΕΣ'!L69:L88)</f>
        <v>1.1839073696316774E-2</v>
      </c>
      <c r="AQ51" s="334">
        <f>AVERAGE('5.ΤΙΜΕΣ'!AD18:AD38)</f>
        <v>425236.71428571426</v>
      </c>
    </row>
    <row r="52" spans="2:43">
      <c r="B52" s="416"/>
      <c r="C52" s="271">
        <v>43962</v>
      </c>
      <c r="D52" s="140"/>
      <c r="E52" s="140"/>
      <c r="F52" s="140">
        <f>STDEV('5.ΤΙΜΕΣ'!H70:H89)</f>
        <v>2.7930696020079172E-2</v>
      </c>
      <c r="G52" s="140">
        <f>AVERAGE('5.ΤΙΜΕΣ'!H70:H89)</f>
        <v>3.7907687261987068E-4</v>
      </c>
      <c r="H52" s="183">
        <f>AVERAGE('5.ΤΙΜΕΣ'!Z19:Z39)</f>
        <v>325333.47619047621</v>
      </c>
      <c r="K52" s="416"/>
      <c r="L52" s="271">
        <v>43962</v>
      </c>
      <c r="M52" s="140"/>
      <c r="N52" s="140"/>
      <c r="O52" s="140">
        <f>STDEV('5.ΤΙΜΕΣ'!I70:I89)</f>
        <v>2.152914534977244E-2</v>
      </c>
      <c r="P52" s="140">
        <f>AVERAGE('5.ΤΙΜΕΣ'!I70:I89)</f>
        <v>-7.2640502814549728E-4</v>
      </c>
      <c r="Q52" s="183">
        <f>AVERAGE('5.ΤΙΜΕΣ'!AA19:AA39)</f>
        <v>34381.904761904763</v>
      </c>
      <c r="T52" s="416"/>
      <c r="U52" s="271">
        <v>43962</v>
      </c>
      <c r="V52" s="385" t="s">
        <v>278</v>
      </c>
      <c r="W52" s="140"/>
      <c r="X52" s="140">
        <f>STDEV('5.ΤΙΜΕΣ'!J70:J89)</f>
        <v>1.0024347202737535E-2</v>
      </c>
      <c r="Y52" s="140">
        <f>AVERAGE('5.ΤΙΜΕΣ'!J70:J89)</f>
        <v>7.6924594197397278E-4</v>
      </c>
      <c r="Z52" s="334">
        <f>AVERAGE('5.ΤΙΜΕΣ'!AB19:AB39)</f>
        <v>2719.0476190476193</v>
      </c>
      <c r="AC52" s="416"/>
      <c r="AD52" s="271">
        <v>43962</v>
      </c>
      <c r="AE52" s="140"/>
      <c r="AF52" s="140"/>
      <c r="AG52" s="140">
        <f>STDEV('5.ΤΙΜΕΣ'!K70:K89)</f>
        <v>3.2596699854538003E-2</v>
      </c>
      <c r="AH52" s="140">
        <f>AVERAGE('5.ΤΙΜΕΣ'!K70:K89)</f>
        <v>7.0704701859899266E-5</v>
      </c>
      <c r="AI52" s="334">
        <f>AVERAGE('5.ΤΙΜΕΣ'!AC19:AC39)</f>
        <v>1608423.0952380951</v>
      </c>
      <c r="AK52" s="416"/>
      <c r="AL52" s="271">
        <v>43962</v>
      </c>
      <c r="AM52" s="140"/>
      <c r="AN52" s="140"/>
      <c r="AO52" s="140">
        <f>STDEV('5.ΤΙΜΕΣ'!L70:L89)</f>
        <v>2.8111270968456017E-2</v>
      </c>
      <c r="AP52" s="140">
        <f>AVERAGE('5.ΤΙΜΕΣ'!L70:L89)</f>
        <v>3.6023154486920796E-3</v>
      </c>
      <c r="AQ52" s="334">
        <f>AVERAGE('5.ΤΙΜΕΣ'!AD19:AD39)</f>
        <v>410727.90476190473</v>
      </c>
    </row>
    <row r="53" spans="2:43">
      <c r="B53" s="416"/>
      <c r="C53" s="271">
        <v>43963</v>
      </c>
      <c r="D53" s="140"/>
      <c r="E53" s="140"/>
      <c r="F53" s="140">
        <f>STDEV('5.ΤΙΜΕΣ'!H71:H90)</f>
        <v>2.7682337696771246E-2</v>
      </c>
      <c r="G53" s="140">
        <f>AVERAGE('5.ΤΙΜΕΣ'!H71:H90)</f>
        <v>-1.2085180463906691E-3</v>
      </c>
      <c r="H53" s="183">
        <f>AVERAGE('5.ΤΙΜΕΣ'!Z20:Z40)</f>
        <v>310733.14285714284</v>
      </c>
      <c r="K53" s="416"/>
      <c r="L53" s="271">
        <v>43963</v>
      </c>
      <c r="M53" s="140"/>
      <c r="N53" s="140"/>
      <c r="O53" s="140">
        <f>STDEV('5.ΤΙΜΕΣ'!I71:I90)</f>
        <v>2.0069249841220139E-2</v>
      </c>
      <c r="P53" s="140">
        <f>AVERAGE('5.ΤΙΜΕΣ'!I71:I90)</f>
        <v>-2.8716024542937758E-3</v>
      </c>
      <c r="Q53" s="183">
        <f>AVERAGE('5.ΤΙΜΕΣ'!AA20:AA40)</f>
        <v>33872.666666666664</v>
      </c>
      <c r="T53" s="416"/>
      <c r="U53" s="271">
        <v>43963</v>
      </c>
      <c r="V53" s="140"/>
      <c r="W53" s="140"/>
      <c r="X53" s="140">
        <f>STDEV('5.ΤΙΜΕΣ'!J71:J90)</f>
        <v>1.0425221718686378E-2</v>
      </c>
      <c r="Y53" s="140">
        <f>AVERAGE('5.ΤΙΜΕΣ'!J71:J90)</f>
        <v>1.1407338883085692E-3</v>
      </c>
      <c r="Z53" s="334">
        <f>AVERAGE('5.ΤΙΜΕΣ'!AB20:AB40)</f>
        <v>2215.1428571428573</v>
      </c>
      <c r="AC53" s="416"/>
      <c r="AD53" s="271">
        <v>43963</v>
      </c>
      <c r="AE53" s="140"/>
      <c r="AF53" s="140"/>
      <c r="AG53" s="140">
        <f>STDEV('5.ΤΙΜΕΣ'!K71:K90)</f>
        <v>2.7784625337415068E-2</v>
      </c>
      <c r="AH53" s="140">
        <f>AVERAGE('5.ΤΙΜΕΣ'!K71:K90)</f>
        <v>-3.4261528527503452E-3</v>
      </c>
      <c r="AI53" s="334">
        <f>AVERAGE('5.ΤΙΜΕΣ'!AC20:AC40)</f>
        <v>1584303.8095238095</v>
      </c>
      <c r="AK53" s="416"/>
      <c r="AL53" s="271">
        <v>43963</v>
      </c>
      <c r="AM53" s="140"/>
      <c r="AN53" s="140"/>
      <c r="AO53" s="140">
        <f>STDEV('5.ΤΙΜΕΣ'!L71:L90)</f>
        <v>2.8549736428962566E-2</v>
      </c>
      <c r="AP53" s="140">
        <f>AVERAGE('5.ΤΙΜΕΣ'!L71:L90)</f>
        <v>6.2581571477002915E-3</v>
      </c>
      <c r="AQ53" s="334">
        <f>AVERAGE('5.ΤΙΜΕΣ'!AD20:AD40)</f>
        <v>311452.71428571426</v>
      </c>
    </row>
    <row r="54" spans="2:43">
      <c r="B54" s="416"/>
      <c r="C54" s="271">
        <v>43964</v>
      </c>
      <c r="D54" s="140"/>
      <c r="E54" s="140"/>
      <c r="F54" s="140">
        <f>STDEV('5.ΤΙΜΕΣ'!H72:H91)</f>
        <v>2.6763578209618461E-2</v>
      </c>
      <c r="G54" s="140">
        <f>AVERAGE('5.ΤΙΜΕΣ'!H72:H91)</f>
        <v>1.372037307747673E-3</v>
      </c>
      <c r="H54" s="183">
        <f>AVERAGE('5.ΤΙΜΕΣ'!Z21:Z41)</f>
        <v>303592.76190476189</v>
      </c>
      <c r="K54" s="416"/>
      <c r="L54" s="271">
        <v>43964</v>
      </c>
      <c r="M54" s="140"/>
      <c r="N54" s="140"/>
      <c r="O54" s="140">
        <f>STDEV('5.ΤΙΜΕΣ'!I72:I91)</f>
        <v>1.7381775821314789E-2</v>
      </c>
      <c r="P54" s="140">
        <f>AVERAGE('5.ΤΙΜΕΣ'!I72:I91)</f>
        <v>-1.2346306295185777E-3</v>
      </c>
      <c r="Q54" s="183">
        <f>AVERAGE('5.ΤΙΜΕΣ'!AA21:AA41)</f>
        <v>35683</v>
      </c>
      <c r="T54" s="416"/>
      <c r="U54" s="271">
        <v>43964</v>
      </c>
      <c r="V54" s="385" t="s">
        <v>278</v>
      </c>
      <c r="W54" s="140"/>
      <c r="X54" s="140">
        <f>STDEV('5.ΤΙΜΕΣ'!J72:J91)</f>
        <v>1.1013185796889728E-2</v>
      </c>
      <c r="Y54" s="140">
        <f>AVERAGE('5.ΤΙΜΕΣ'!J72:J91)</f>
        <v>7.7221612137367917E-4</v>
      </c>
      <c r="Z54" s="334">
        <f>AVERAGE('5.ΤΙΜΕΣ'!AB21:AB41)</f>
        <v>1974.3809523809523</v>
      </c>
      <c r="AC54" s="416"/>
      <c r="AD54" s="271">
        <v>43964</v>
      </c>
      <c r="AE54" s="140"/>
      <c r="AF54" s="140"/>
      <c r="AG54" s="140">
        <f>STDEV('5.ΤΙΜΕΣ'!K72:K91)</f>
        <v>2.4552883658686592E-2</v>
      </c>
      <c r="AH54" s="140">
        <f>AVERAGE('5.ΤΙΜΕΣ'!K72:K91)</f>
        <v>-6.0833693799394284E-4</v>
      </c>
      <c r="AI54" s="334">
        <f>AVERAGE('5.ΤΙΜΕΣ'!AC21:AC41)</f>
        <v>1557958.5714285714</v>
      </c>
      <c r="AK54" s="416"/>
      <c r="AL54" s="271">
        <v>43964</v>
      </c>
      <c r="AM54" s="140"/>
      <c r="AN54" s="140"/>
      <c r="AO54" s="140">
        <f>STDEV('5.ΤΙΜΕΣ'!L72:L91)</f>
        <v>2.7898460314392106E-2</v>
      </c>
      <c r="AP54" s="140">
        <f>AVERAGE('5.ΤΙΜΕΣ'!L72:L91)</f>
        <v>7.9692385725428048E-3</v>
      </c>
      <c r="AQ54" s="334">
        <f>AVERAGE('5.ΤΙΜΕΣ'!AD21:AD41)</f>
        <v>292227.80952380953</v>
      </c>
    </row>
    <row r="55" spans="2:43">
      <c r="B55" s="416"/>
      <c r="C55" s="271">
        <v>43965</v>
      </c>
      <c r="D55" s="140"/>
      <c r="E55" s="140"/>
      <c r="F55" s="140">
        <f>STDEV('5.ΤΙΜΕΣ'!H73:H92)</f>
        <v>2.662002608094137E-2</v>
      </c>
      <c r="G55" s="140">
        <f>AVERAGE('5.ΤΙΜΕΣ'!H73:H92)</f>
        <v>1.62176378765768E-3</v>
      </c>
      <c r="H55" s="183">
        <f>AVERAGE('5.ΤΙΜΕΣ'!Z22:Z42)</f>
        <v>300524.09523809527</v>
      </c>
      <c r="K55" s="416"/>
      <c r="L55" s="271">
        <v>43965</v>
      </c>
      <c r="M55" s="140"/>
      <c r="N55" s="140"/>
      <c r="O55" s="140">
        <f>STDEV('5.ΤΙΜΕΣ'!I73:I92)</f>
        <v>1.641426342160749E-2</v>
      </c>
      <c r="P55" s="140">
        <f>AVERAGE('5.ΤΙΜΕΣ'!I73:I92)</f>
        <v>-2.190131132919645E-3</v>
      </c>
      <c r="Q55" s="183">
        <f>AVERAGE('5.ΤΙΜΕΣ'!AA22:AA42)</f>
        <v>30830.857142857141</v>
      </c>
      <c r="T55" s="416"/>
      <c r="U55" s="271">
        <v>43965</v>
      </c>
      <c r="V55" s="140"/>
      <c r="W55" s="140"/>
      <c r="X55" s="140">
        <f>STDEV('5.ΤΙΜΕΣ'!J73:J92)</f>
        <v>1.071402379170262E-2</v>
      </c>
      <c r="Y55" s="140">
        <f>AVERAGE('5.ΤΙΜΕΣ'!J73:J92)</f>
        <v>1.9193881535827361E-4</v>
      </c>
      <c r="Z55" s="334">
        <f>AVERAGE('5.ΤΙΜΕΣ'!AB22:AB42)</f>
        <v>1436.7142857142858</v>
      </c>
      <c r="AC55" s="416"/>
      <c r="AD55" s="271">
        <v>43965</v>
      </c>
      <c r="AE55" s="387" t="s">
        <v>296</v>
      </c>
      <c r="AF55" s="140"/>
      <c r="AG55" s="140">
        <f>STDEV('5.ΤΙΜΕΣ'!K73:K92)</f>
        <v>2.5777584220413267E-2</v>
      </c>
      <c r="AH55" s="140">
        <f>AVERAGE('5.ΤΙΜΕΣ'!K73:K92)</f>
        <v>-4.5829982537807347E-3</v>
      </c>
      <c r="AI55" s="334">
        <f>AVERAGE('5.ΤΙΜΕΣ'!AC22:AC42)</f>
        <v>1595148.2380952381</v>
      </c>
      <c r="AK55" s="416"/>
      <c r="AL55" s="271">
        <v>43965</v>
      </c>
      <c r="AM55" s="140"/>
      <c r="AN55" s="140"/>
      <c r="AO55" s="140">
        <f>STDEV('5.ΤΙΜΕΣ'!L73:L92)</f>
        <v>2.975248392491232E-2</v>
      </c>
      <c r="AP55" s="140">
        <f>AVERAGE('5.ΤΙΜΕΣ'!L73:L92)</f>
        <v>5.0137085434019887E-3</v>
      </c>
      <c r="AQ55" s="334">
        <f>AVERAGE('5.ΤΙΜΕΣ'!AD22:AD42)</f>
        <v>303648.76190476189</v>
      </c>
    </row>
    <row r="56" spans="2:43">
      <c r="B56" s="416"/>
      <c r="C56" s="271">
        <v>43966</v>
      </c>
      <c r="D56" s="385" t="s">
        <v>275</v>
      </c>
      <c r="E56" s="140"/>
      <c r="F56" s="140">
        <f>STDEV('5.ΤΙΜΕΣ'!H74:H93)</f>
        <v>2.2167405037934511E-2</v>
      </c>
      <c r="G56" s="140">
        <f>AVERAGE('5.ΤΙΜΕΣ'!H74:H93)</f>
        <v>-1.1152878757149168E-3</v>
      </c>
      <c r="H56" s="183">
        <f>AVERAGE('5.ΤΙΜΕΣ'!Z23:Z43)</f>
        <v>300328.19047619047</v>
      </c>
      <c r="K56" s="416"/>
      <c r="L56" s="271">
        <v>43966</v>
      </c>
      <c r="M56" s="140"/>
      <c r="N56" s="140"/>
      <c r="O56" s="140">
        <f>STDEV('5.ΤΙΜΕΣ'!I74:I93)</f>
        <v>1.5665354389880586E-2</v>
      </c>
      <c r="P56" s="140">
        <f>AVERAGE('5.ΤΙΜΕΣ'!I74:I93)</f>
        <v>-3.1335553481387822E-3</v>
      </c>
      <c r="Q56" s="183">
        <f>AVERAGE('5.ΤΙΜΕΣ'!AA23:AA43)</f>
        <v>30343.809523809523</v>
      </c>
      <c r="T56" s="416"/>
      <c r="U56" s="271">
        <v>43966</v>
      </c>
      <c r="V56" s="385" t="s">
        <v>278</v>
      </c>
      <c r="W56" s="140"/>
      <c r="X56" s="140">
        <f>STDEV('5.ΤΙΜΕΣ'!J74:J93)</f>
        <v>7.2677801511865777E-3</v>
      </c>
      <c r="Y56" s="140">
        <f>AVERAGE('5.ΤΙΜΕΣ'!J74:J93)</f>
        <v>-1.3183437920371154E-3</v>
      </c>
      <c r="Z56" s="334">
        <f>AVERAGE('5.ΤΙΜΕΣ'!AB23:AB43)</f>
        <v>1198.7619047619048</v>
      </c>
      <c r="AC56" s="416"/>
      <c r="AD56" s="271">
        <v>43966</v>
      </c>
      <c r="AE56" s="140"/>
      <c r="AF56" s="140"/>
      <c r="AG56" s="140">
        <f>STDEV('5.ΤΙΜΕΣ'!K74:K93)</f>
        <v>2.4613115718861364E-2</v>
      </c>
      <c r="AH56" s="140">
        <f>AVERAGE('5.ΤΙΜΕΣ'!K74:K93)</f>
        <v>-5.3889448261053964E-3</v>
      </c>
      <c r="AI56" s="334">
        <f>AVERAGE('5.ΤΙΜΕΣ'!AC23:AC43)</f>
        <v>1485508.2857142857</v>
      </c>
      <c r="AK56" s="416"/>
      <c r="AL56" s="271">
        <v>43966</v>
      </c>
      <c r="AM56" s="140"/>
      <c r="AN56" s="140"/>
      <c r="AO56" s="140">
        <f>STDEV('5.ΤΙΜΕΣ'!L74:L93)</f>
        <v>2.6085784048923862E-2</v>
      </c>
      <c r="AP56" s="140">
        <f>AVERAGE('5.ΤΙΜΕΣ'!L74:L93)</f>
        <v>1.659648367788182E-3</v>
      </c>
      <c r="AQ56" s="334">
        <f>AVERAGE('5.ΤΙΜΕΣ'!AD23:AD43)</f>
        <v>300155</v>
      </c>
    </row>
    <row r="57" spans="2:43">
      <c r="B57" s="416"/>
      <c r="C57" s="271">
        <v>43969</v>
      </c>
      <c r="D57" s="140"/>
      <c r="E57" s="140"/>
      <c r="F57" s="140">
        <f>STDEV('5.ΤΙΜΕΣ'!H75:H94)</f>
        <v>2.3034291627714261E-2</v>
      </c>
      <c r="G57" s="140">
        <f>AVERAGE('5.ΤΙΜΕΣ'!H75:H94)</f>
        <v>9.5802488695378128E-4</v>
      </c>
      <c r="H57" s="183">
        <f>AVERAGE('5.ΤΙΜΕΣ'!Z24:Z44)</f>
        <v>288948.90476190473</v>
      </c>
      <c r="K57" s="416"/>
      <c r="L57" s="271">
        <v>43969</v>
      </c>
      <c r="M57" s="140"/>
      <c r="N57" s="140"/>
      <c r="O57" s="140">
        <f>STDEV('5.ΤΙΜΕΣ'!I75:I94)</f>
        <v>1.5763311399295134E-2</v>
      </c>
      <c r="P57" s="140">
        <f>AVERAGE('5.ΤΙΜΕΣ'!I75:I94)</f>
        <v>-2.6512234154110218E-3</v>
      </c>
      <c r="Q57" s="183">
        <f>AVERAGE('5.ΤΙΜΕΣ'!AA24:AA44)</f>
        <v>30675.714285714286</v>
      </c>
      <c r="T57" s="416"/>
      <c r="U57" s="271">
        <v>43969</v>
      </c>
      <c r="V57" s="385" t="s">
        <v>278</v>
      </c>
      <c r="W57" s="140"/>
      <c r="X57" s="140">
        <f>STDEV('5.ΤΙΜΕΣ'!J75:J94)</f>
        <v>7.2815611342547928E-3</v>
      </c>
      <c r="Y57" s="140">
        <f>AVERAGE('5.ΤΙΜΕΣ'!J75:J94)</f>
        <v>-1.5095486139572907E-3</v>
      </c>
      <c r="Z57" s="334">
        <f>AVERAGE('5.ΤΙΜΕΣ'!AB24:AB44)</f>
        <v>753.76190476190482</v>
      </c>
      <c r="AC57" s="416"/>
      <c r="AD57" s="271">
        <v>43969</v>
      </c>
      <c r="AE57" s="140"/>
      <c r="AF57" s="140"/>
      <c r="AG57" s="140">
        <f>STDEV('5.ΤΙΜΕΣ'!K75:K94)</f>
        <v>2.4294614776102019E-2</v>
      </c>
      <c r="AH57" s="140">
        <f>AVERAGE('5.ΤΙΜΕΣ'!K75:K94)</f>
        <v>-1.4761219633160853E-3</v>
      </c>
      <c r="AI57" s="334">
        <f>AVERAGE('5.ΤΙΜΕΣ'!AC24:AC44)</f>
        <v>1467396.142857143</v>
      </c>
      <c r="AK57" s="416"/>
      <c r="AL57" s="271">
        <v>43969</v>
      </c>
      <c r="AM57" s="140"/>
      <c r="AN57" s="140"/>
      <c r="AO57" s="140">
        <f>STDEV('5.ΤΙΜΕΣ'!L75:L94)</f>
        <v>2.5084440607021308E-2</v>
      </c>
      <c r="AP57" s="140">
        <f>AVERAGE('5.ΤΙΜΕΣ'!L75:L94)</f>
        <v>4.1458492444489733E-3</v>
      </c>
      <c r="AQ57" s="334">
        <f>AVERAGE('5.ΤΙΜΕΣ'!AD24:AD44)</f>
        <v>289026.71428571426</v>
      </c>
    </row>
    <row r="58" spans="2:43">
      <c r="B58" s="416"/>
      <c r="C58" s="271">
        <v>43970</v>
      </c>
      <c r="D58" s="140"/>
      <c r="E58" s="140"/>
      <c r="F58" s="140">
        <f>STDEV('5.ΤΙΜΕΣ'!H76:H95)</f>
        <v>2.2603520723812318E-2</v>
      </c>
      <c r="G58" s="140">
        <f>AVERAGE('5.ΤΙΜΕΣ'!H76:H95)</f>
        <v>2.0774501456436189E-3</v>
      </c>
      <c r="H58" s="183">
        <f>AVERAGE('5.ΤΙΜΕΣ'!Z25:Z45)</f>
        <v>286335.42857142858</v>
      </c>
      <c r="K58" s="416"/>
      <c r="L58" s="271">
        <v>43970</v>
      </c>
      <c r="M58" s="140"/>
      <c r="N58" s="140"/>
      <c r="O58" s="140">
        <f>STDEV('5.ΤΙΜΕΣ'!I76:I95)</f>
        <v>1.5690644515762291E-2</v>
      </c>
      <c r="P58" s="140">
        <f>AVERAGE('5.ΤΙΜΕΣ'!I76:I95)</f>
        <v>-2.1795218037430958E-3</v>
      </c>
      <c r="Q58" s="183">
        <f>AVERAGE('5.ΤΙΜΕΣ'!AA25:AA45)</f>
        <v>36747.857142857145</v>
      </c>
      <c r="T58" s="416"/>
      <c r="U58" s="271">
        <v>43970</v>
      </c>
      <c r="V58" s="140"/>
      <c r="W58" s="140"/>
      <c r="X58" s="140">
        <f>STDEV('5.ΤΙΜΕΣ'!J76:J95)</f>
        <v>7.2815611342547928E-3</v>
      </c>
      <c r="Y58" s="140">
        <f>AVERAGE('5.ΤΙΜΕΣ'!J76:J95)</f>
        <v>-1.5095486139572907E-3</v>
      </c>
      <c r="Z58" s="334">
        <f>AVERAGE('5.ΤΙΜΕΣ'!AB25:AB45)</f>
        <v>635.47619047619048</v>
      </c>
      <c r="AC58" s="416"/>
      <c r="AD58" s="271">
        <v>43970</v>
      </c>
      <c r="AE58" s="387" t="s">
        <v>294</v>
      </c>
      <c r="AF58" s="140"/>
      <c r="AG58" s="140">
        <f>STDEV('5.ΤΙΜΕΣ'!K76:K95)</f>
        <v>2.5425426491208106E-2</v>
      </c>
      <c r="AH58" s="140">
        <f>AVERAGE('5.ΤΙΜΕΣ'!K76:K95)</f>
        <v>-2.8740836143945113E-3</v>
      </c>
      <c r="AI58" s="334">
        <f>AVERAGE('5.ΤΙΜΕΣ'!AC25:AC45)</f>
        <v>1417435.142857143</v>
      </c>
      <c r="AK58" s="416"/>
      <c r="AL58" s="271">
        <v>43970</v>
      </c>
      <c r="AM58" s="140"/>
      <c r="AN58" s="140"/>
      <c r="AO58" s="140">
        <f>STDEV('5.ΤΙΜΕΣ'!L76:L95)</f>
        <v>2.5009817446877244E-2</v>
      </c>
      <c r="AP58" s="140">
        <f>AVERAGE('5.ΤΙΜΕΣ'!L76:L95)</f>
        <v>4.3505688494814808E-3</v>
      </c>
      <c r="AQ58" s="334">
        <f>AVERAGE('5.ΤΙΜΕΣ'!AD25:AD45)</f>
        <v>282211.71428571426</v>
      </c>
    </row>
    <row r="59" spans="2:43" ht="18.5" customHeight="1">
      <c r="B59" s="416"/>
      <c r="C59" s="272">
        <v>43971</v>
      </c>
      <c r="D59" s="184"/>
      <c r="E59" s="184"/>
      <c r="F59" s="184">
        <f>STDEV('5.ΤΙΜΕΣ'!H77:H96)</f>
        <v>2.2344265858242243E-2</v>
      </c>
      <c r="G59" s="184">
        <f>AVERAGE('5.ΤΙΜΕΣ'!H77:H96)</f>
        <v>4.4313436289226239E-4</v>
      </c>
      <c r="H59" s="185">
        <f>AVERAGE('5.ΤΙΜΕΣ'!Z26:Z46)</f>
        <v>293673.85714285716</v>
      </c>
      <c r="K59" s="416"/>
      <c r="L59" s="272">
        <v>43971</v>
      </c>
      <c r="M59" s="184"/>
      <c r="N59" s="184"/>
      <c r="O59" s="184">
        <f>STDEV('5.ΤΙΜΕΣ'!I77:I96)</f>
        <v>1.5667593069584252E-2</v>
      </c>
      <c r="P59" s="184">
        <f>AVERAGE('5.ΤΙΜΕΣ'!I77:I96)</f>
        <v>-1.4564136461511872E-3</v>
      </c>
      <c r="Q59" s="185">
        <f>AVERAGE('5.ΤΙΜΕΣ'!AA26:AA46)</f>
        <v>37793.666666666664</v>
      </c>
      <c r="T59" s="416"/>
      <c r="U59" s="272">
        <v>43971</v>
      </c>
      <c r="V59" s="385" t="s">
        <v>277</v>
      </c>
      <c r="W59" s="184"/>
      <c r="X59" s="184">
        <f>STDEV('5.ΤΙΜΕΣ'!J77:J96)</f>
        <v>7.1918354479950774E-3</v>
      </c>
      <c r="Y59" s="184">
        <f>AVERAGE('5.ΤΙΜΕΣ'!J77:J96)</f>
        <v>-1.8870163991423592E-3</v>
      </c>
      <c r="Z59" s="350">
        <f>AVERAGE('5.ΤΙΜΕΣ'!AB26:AB46)</f>
        <v>565.09523809523807</v>
      </c>
      <c r="AC59" s="416"/>
      <c r="AD59" s="272">
        <v>43971</v>
      </c>
      <c r="AE59" s="184"/>
      <c r="AF59" s="184"/>
      <c r="AG59" s="184">
        <f>STDEV('5.ΤΙΜΕΣ'!K77:K96)</f>
        <v>2.5811518888808109E-2</v>
      </c>
      <c r="AH59" s="184">
        <f>AVERAGE('5.ΤΙΜΕΣ'!K77:K96)</f>
        <v>-1.5241508362537797E-3</v>
      </c>
      <c r="AI59" s="350">
        <f>AVERAGE('5.ΤΙΜΕΣ'!AC26:AC46)</f>
        <v>1481023.2857142857</v>
      </c>
      <c r="AK59" s="416"/>
      <c r="AL59" s="272">
        <v>43971</v>
      </c>
      <c r="AM59" s="184"/>
      <c r="AN59" s="184"/>
      <c r="AO59" s="184">
        <f>STDEV('5.ΤΙΜΕΣ'!L77:L96)</f>
        <v>2.5127219508468635E-2</v>
      </c>
      <c r="AP59" s="184">
        <f>AVERAGE('5.ΤΙΜΕΣ'!L77:L96)</f>
        <v>2.7302067017425814E-3</v>
      </c>
      <c r="AQ59" s="350">
        <f>AVERAGE('5.ΤΙΜΕΣ'!AD26:AD46)</f>
        <v>284211</v>
      </c>
    </row>
    <row r="60" spans="2:43">
      <c r="B60" s="416"/>
      <c r="C60" s="225"/>
      <c r="D60" s="140"/>
      <c r="E60" s="140"/>
      <c r="F60" s="140"/>
      <c r="G60" s="140"/>
      <c r="H60" s="183"/>
      <c r="K60" s="416"/>
      <c r="L60" s="225"/>
      <c r="M60" s="140"/>
      <c r="N60" s="140"/>
      <c r="O60" s="140"/>
      <c r="P60" s="140"/>
      <c r="Q60" s="183"/>
      <c r="T60" s="416"/>
      <c r="U60" s="225"/>
      <c r="V60" s="140"/>
      <c r="W60" s="140"/>
      <c r="X60" s="140"/>
      <c r="Y60" s="140"/>
      <c r="Z60" s="334"/>
      <c r="AC60" s="416"/>
      <c r="AD60" s="225"/>
      <c r="AE60" s="140"/>
      <c r="AF60" s="140"/>
      <c r="AG60" s="140"/>
      <c r="AH60" s="140"/>
      <c r="AI60" s="334"/>
      <c r="AK60" s="416"/>
      <c r="AL60" s="225"/>
      <c r="AM60" s="140"/>
      <c r="AN60" s="140"/>
      <c r="AO60" s="140"/>
      <c r="AP60" s="140"/>
      <c r="AQ60" s="334"/>
    </row>
    <row r="61" spans="2:43">
      <c r="B61" s="416"/>
      <c r="C61" s="225"/>
      <c r="D61" s="140"/>
      <c r="E61" s="140"/>
      <c r="F61" s="140"/>
      <c r="G61" s="140"/>
      <c r="H61" s="183"/>
      <c r="K61" s="416"/>
      <c r="L61" s="225"/>
      <c r="M61" s="140"/>
      <c r="N61" s="140"/>
      <c r="O61" s="140"/>
      <c r="P61" s="140"/>
      <c r="Q61" s="183"/>
      <c r="T61" s="416"/>
      <c r="U61" s="225"/>
      <c r="V61" s="140"/>
      <c r="W61" s="140"/>
      <c r="X61" s="140"/>
      <c r="Y61" s="140"/>
      <c r="Z61" s="334"/>
      <c r="AC61" s="416"/>
      <c r="AD61" s="225"/>
      <c r="AE61" s="140"/>
      <c r="AF61" s="140"/>
      <c r="AG61" s="140"/>
      <c r="AH61" s="140"/>
      <c r="AI61" s="334"/>
      <c r="AK61" s="416"/>
      <c r="AL61" s="225"/>
      <c r="AM61" s="140"/>
      <c r="AN61" s="140"/>
      <c r="AO61" s="140"/>
      <c r="AP61" s="140"/>
      <c r="AQ61" s="334"/>
    </row>
    <row r="62" spans="2:43">
      <c r="B62" s="417"/>
      <c r="C62" s="226"/>
      <c r="D62" s="184"/>
      <c r="E62" s="184"/>
      <c r="F62" s="184"/>
      <c r="G62" s="184"/>
      <c r="H62" s="185"/>
      <c r="K62" s="417"/>
      <c r="L62" s="226"/>
      <c r="M62" s="184"/>
      <c r="N62" s="184"/>
      <c r="O62" s="184"/>
      <c r="P62" s="184"/>
      <c r="Q62" s="185"/>
      <c r="T62" s="417"/>
      <c r="U62" s="226"/>
      <c r="V62" s="184"/>
      <c r="W62" s="184"/>
      <c r="X62" s="184"/>
      <c r="Y62" s="184"/>
      <c r="Z62" s="350"/>
      <c r="AC62" s="417"/>
      <c r="AD62" s="226"/>
      <c r="AE62" s="184"/>
      <c r="AF62" s="184"/>
      <c r="AG62" s="184"/>
      <c r="AH62" s="184"/>
      <c r="AI62" s="350"/>
      <c r="AK62" s="417"/>
      <c r="AL62" s="226"/>
      <c r="AM62" s="184"/>
      <c r="AN62" s="184"/>
      <c r="AO62" s="184"/>
      <c r="AP62" s="184"/>
      <c r="AQ62" s="350"/>
    </row>
    <row r="67" spans="2:43" ht="64">
      <c r="B67" s="223" t="s">
        <v>1</v>
      </c>
      <c r="C67" s="223" t="s">
        <v>198</v>
      </c>
      <c r="D67" s="224" t="s">
        <v>199</v>
      </c>
      <c r="E67" s="224" t="s">
        <v>200</v>
      </c>
      <c r="F67" s="224" t="s">
        <v>201</v>
      </c>
      <c r="G67" s="224" t="s">
        <v>202</v>
      </c>
      <c r="H67" s="224" t="s">
        <v>203</v>
      </c>
      <c r="K67" s="223" t="s">
        <v>1</v>
      </c>
      <c r="L67" s="223" t="s">
        <v>198</v>
      </c>
      <c r="M67" s="224" t="s">
        <v>199</v>
      </c>
      <c r="N67" s="224" t="s">
        <v>200</v>
      </c>
      <c r="O67" s="224" t="s">
        <v>201</v>
      </c>
      <c r="P67" s="224" t="s">
        <v>202</v>
      </c>
      <c r="Q67" s="224" t="s">
        <v>203</v>
      </c>
      <c r="T67" s="223" t="s">
        <v>1</v>
      </c>
      <c r="U67" s="223" t="s">
        <v>198</v>
      </c>
      <c r="V67" s="224" t="s">
        <v>199</v>
      </c>
      <c r="W67" s="224" t="s">
        <v>200</v>
      </c>
      <c r="X67" s="224" t="s">
        <v>201</v>
      </c>
      <c r="Y67" s="224" t="s">
        <v>202</v>
      </c>
      <c r="Z67" s="224" t="s">
        <v>203</v>
      </c>
      <c r="AC67" s="223" t="s">
        <v>1</v>
      </c>
      <c r="AD67" s="223" t="s">
        <v>198</v>
      </c>
      <c r="AE67" s="224" t="s">
        <v>199</v>
      </c>
      <c r="AF67" s="224" t="s">
        <v>200</v>
      </c>
      <c r="AG67" s="224" t="s">
        <v>201</v>
      </c>
      <c r="AH67" s="224" t="s">
        <v>202</v>
      </c>
      <c r="AI67" s="224" t="s">
        <v>203</v>
      </c>
      <c r="AK67" s="223" t="s">
        <v>1</v>
      </c>
      <c r="AL67" s="223" t="s">
        <v>198</v>
      </c>
      <c r="AM67" s="224" t="s">
        <v>199</v>
      </c>
      <c r="AN67" s="224" t="s">
        <v>200</v>
      </c>
      <c r="AO67" s="224" t="s">
        <v>201</v>
      </c>
      <c r="AP67" s="224" t="s">
        <v>202</v>
      </c>
      <c r="AQ67" s="224" t="s">
        <v>203</v>
      </c>
    </row>
    <row r="68" spans="2:43">
      <c r="B68" s="415" t="s">
        <v>214</v>
      </c>
      <c r="C68" s="271">
        <v>43935</v>
      </c>
      <c r="D68" s="140"/>
      <c r="E68" s="140"/>
      <c r="F68" s="140">
        <f>STDEV('5.ΤΙΜΕΣ'!M54:M73)</f>
        <v>5.136259298020554E-2</v>
      </c>
      <c r="G68" s="140">
        <f>AVERAGE('5.ΤΙΜΕΣ'!M54:M73)</f>
        <v>6.1458336088063914E-3</v>
      </c>
      <c r="H68" s="334">
        <f>AVERAGE('5.ΤΙΜΕΣ'!AE3:AE23)</f>
        <v>281440.85714285716</v>
      </c>
      <c r="K68" s="415" t="s">
        <v>215</v>
      </c>
      <c r="L68" s="271">
        <v>43935</v>
      </c>
      <c r="M68" s="140"/>
      <c r="N68" s="140"/>
      <c r="O68" s="140">
        <f>STDEV('5.ΤΙΜΕΣ'!N54:N73)</f>
        <v>5.7093130240240111E-2</v>
      </c>
      <c r="P68" s="140">
        <f>AVERAGE('5.ΤΙΜΕΣ'!N54:N73)</f>
        <v>6.1179046013198745E-3</v>
      </c>
      <c r="Q68" s="334">
        <f>AVERAGE('5.ΤΙΜΕΣ'!AF3:AF23)</f>
        <v>205486.76190476189</v>
      </c>
      <c r="T68" s="415" t="s">
        <v>216</v>
      </c>
      <c r="U68" s="271">
        <v>43935</v>
      </c>
      <c r="V68" s="140"/>
      <c r="W68" s="140"/>
      <c r="X68" s="140">
        <f>STDEV('5.ΤΙΜΕΣ'!O54:O73)</f>
        <v>8.465412828792318E-2</v>
      </c>
      <c r="Y68" s="140">
        <f>AVERAGE('5.ΤΙΜΕΣ'!O54:O73)</f>
        <v>6.2893911034300027E-4</v>
      </c>
      <c r="Z68" s="334">
        <f>AVERAGE('5.ΤΙΜΕΣ'!AG3:AG23)</f>
        <v>6064550.0476190476</v>
      </c>
      <c r="AC68" s="415" t="s">
        <v>217</v>
      </c>
      <c r="AD68" s="271">
        <v>43935</v>
      </c>
      <c r="AE68" s="140"/>
      <c r="AF68" s="140"/>
      <c r="AG68" s="140">
        <f>STDEV('5.ΤΙΜΕΣ'!P54:P73)</f>
        <v>7.8400856319097087E-2</v>
      </c>
      <c r="AH68" s="140">
        <f>AVERAGE('5.ΤΙΜΕΣ'!P54:P73)</f>
        <v>-4.0997483350807256E-3</v>
      </c>
      <c r="AI68" s="334">
        <f>AVERAGE('5.ΤΙΜΕΣ'!AH3:AH23)</f>
        <v>417164.42857142858</v>
      </c>
      <c r="AK68" s="415" t="s">
        <v>218</v>
      </c>
      <c r="AL68" s="271">
        <v>43935</v>
      </c>
      <c r="AM68" s="140"/>
      <c r="AN68" s="140"/>
      <c r="AO68" s="140">
        <f>STDEV('5.ΤΙΜΕΣ'!Q54:Q73)</f>
        <v>3.8508250564224036E-2</v>
      </c>
      <c r="AP68" s="140">
        <f>AVERAGE('5.ΤΙΜΕΣ'!Q54:Q73)</f>
        <v>1.2408981473776715E-2</v>
      </c>
      <c r="AQ68" s="334">
        <f>AVERAGE('5.ΤΙΜΕΣ'!AI3:AI23)</f>
        <v>1201239.0952380951</v>
      </c>
    </row>
    <row r="69" spans="2:43">
      <c r="B69" s="416"/>
      <c r="C69" s="271">
        <v>43936</v>
      </c>
      <c r="D69" s="140"/>
      <c r="E69" s="140"/>
      <c r="F69" s="140">
        <f>STDEV('5.ΤΙΜΕΣ'!M55:M74)</f>
        <v>5.0714688509390794E-2</v>
      </c>
      <c r="G69" s="140">
        <f>AVERAGE('5.ΤΙΜΕΣ'!M55:M74)</f>
        <v>2.7170297350040421E-3</v>
      </c>
      <c r="H69" s="334">
        <f>AVERAGE('5.ΤΙΜΕΣ'!AE4:AE24)</f>
        <v>253475.90476190476</v>
      </c>
      <c r="K69" s="416"/>
      <c r="L69" s="271">
        <v>43936</v>
      </c>
      <c r="M69" s="140"/>
      <c r="N69" s="140"/>
      <c r="O69" s="140">
        <f>STDEV('5.ΤΙΜΕΣ'!N55:N74)</f>
        <v>5.3648054563436916E-2</v>
      </c>
      <c r="P69" s="140">
        <f>AVERAGE('5.ΤΙΜΕΣ'!N55:N74)</f>
        <v>7.1943687260497943E-4</v>
      </c>
      <c r="Q69" s="334">
        <f>AVERAGE('5.ΤΙΜΕΣ'!AF4:AF24)</f>
        <v>195768.14285714287</v>
      </c>
      <c r="T69" s="416"/>
      <c r="U69" s="271">
        <v>43936</v>
      </c>
      <c r="V69" s="140"/>
      <c r="W69" s="140"/>
      <c r="X69" s="140">
        <f>STDEV('5.ΤΙΜΕΣ'!O55:O74)</f>
        <v>8.4266958803645181E-2</v>
      </c>
      <c r="Y69" s="140">
        <f>AVERAGE('5.ΤΙΜΕΣ'!O55:O74)</f>
        <v>-6.0223076537933608E-3</v>
      </c>
      <c r="Z69" s="334">
        <f>AVERAGE('5.ΤΙΜΕΣ'!AG4:AG24)</f>
        <v>5885956.7619047621</v>
      </c>
      <c r="AC69" s="416"/>
      <c r="AD69" s="271">
        <v>43936</v>
      </c>
      <c r="AE69" s="140"/>
      <c r="AF69" s="140"/>
      <c r="AG69" s="140">
        <f>STDEV('5.ΤΙΜΕΣ'!P55:P74)</f>
        <v>7.8454304715997389E-2</v>
      </c>
      <c r="AH69" s="140">
        <f>AVERAGE('5.ΤΙΜΕΣ'!P55:P74)</f>
        <v>-3.3198031286653549E-3</v>
      </c>
      <c r="AI69" s="334">
        <f>AVERAGE('5.ΤΙΜΕΣ'!AH4:AH24)</f>
        <v>444830.61904761905</v>
      </c>
      <c r="AK69" s="416"/>
      <c r="AL69" s="271">
        <v>43936</v>
      </c>
      <c r="AM69" s="385" t="s">
        <v>286</v>
      </c>
      <c r="AN69" s="140"/>
      <c r="AO69" s="140">
        <f>STDEV('5.ΤΙΜΕΣ'!Q55:Q74)</f>
        <v>3.7245811656834396E-2</v>
      </c>
      <c r="AP69" s="140">
        <f>AVERAGE('5.ΤΙΜΕΣ'!Q55:Q74)</f>
        <v>1.3437183596515131E-2</v>
      </c>
      <c r="AQ69" s="334">
        <f>AVERAGE('5.ΤΙΜΕΣ'!AI4:AI24)</f>
        <v>1141390.9523809524</v>
      </c>
    </row>
    <row r="70" spans="2:43">
      <c r="B70" s="416"/>
      <c r="C70" s="271">
        <v>43937</v>
      </c>
      <c r="D70" s="140"/>
      <c r="E70" s="140"/>
      <c r="F70" s="140">
        <f>STDEV('5.ΤΙΜΕΣ'!M56:M75)</f>
        <v>4.8647290997051527E-2</v>
      </c>
      <c r="G70" s="140">
        <f>AVERAGE('5.ΤΙΜΕΣ'!M56:M75)</f>
        <v>7.1918610349492431E-3</v>
      </c>
      <c r="H70" s="334">
        <f>AVERAGE('5.ΤΙΜΕΣ'!AE5:AE25)</f>
        <v>233680.90476190476</v>
      </c>
      <c r="K70" s="416"/>
      <c r="L70" s="271">
        <v>43937</v>
      </c>
      <c r="M70" s="140"/>
      <c r="N70" s="140"/>
      <c r="O70" s="140">
        <f>STDEV('5.ΤΙΜΕΣ'!N56:N75)</f>
        <v>4.768085244616934E-2</v>
      </c>
      <c r="P70" s="140">
        <f>AVERAGE('5.ΤΙΜΕΣ'!N56:N75)</f>
        <v>6.191913170943154E-3</v>
      </c>
      <c r="Q70" s="334">
        <f>AVERAGE('5.ΤΙΜΕΣ'!AF5:AF25)</f>
        <v>179266.14285714287</v>
      </c>
      <c r="T70" s="416"/>
      <c r="U70" s="271">
        <v>43937</v>
      </c>
      <c r="V70" s="140"/>
      <c r="W70" s="140"/>
      <c r="X70" s="140">
        <f>STDEV('5.ΤΙΜΕΣ'!O56:O75)</f>
        <v>8.0966283039441173E-2</v>
      </c>
      <c r="Y70" s="140">
        <f>AVERAGE('5.ΤΙΜΕΣ'!O56:O75)</f>
        <v>-1.740470233293065E-3</v>
      </c>
      <c r="Z70" s="334">
        <f>AVERAGE('5.ΤΙΜΕΣ'!AG5:AG25)</f>
        <v>5649733.0476190476</v>
      </c>
      <c r="AC70" s="416"/>
      <c r="AD70" s="271">
        <v>43937</v>
      </c>
      <c r="AE70" s="140"/>
      <c r="AF70" s="140"/>
      <c r="AG70" s="140">
        <f>STDEV('5.ΤΙΜΕΣ'!P56:P75)</f>
        <v>6.601253110359788E-2</v>
      </c>
      <c r="AH70" s="140">
        <f>AVERAGE('5.ΤΙΜΕΣ'!P56:P75)</f>
        <v>7.6338420104478805E-3</v>
      </c>
      <c r="AI70" s="334">
        <f>AVERAGE('5.ΤΙΜΕΣ'!AH5:AH25)</f>
        <v>447107.90476190473</v>
      </c>
      <c r="AK70" s="416"/>
      <c r="AL70" s="271">
        <v>43937</v>
      </c>
      <c r="AM70" s="385" t="s">
        <v>286</v>
      </c>
      <c r="AN70" s="140"/>
      <c r="AO70" s="140">
        <f>STDEV('5.ΤΙΜΕΣ'!Q56:Q75)</f>
        <v>3.318067726265031E-2</v>
      </c>
      <c r="AP70" s="140">
        <f>AVERAGE('5.ΤΙΜΕΣ'!Q56:Q75)</f>
        <v>1.7608326319190109E-2</v>
      </c>
      <c r="AQ70" s="334">
        <f>AVERAGE('5.ΤΙΜΕΣ'!AI5:AI25)</f>
        <v>1036897.1428571428</v>
      </c>
    </row>
    <row r="71" spans="2:43">
      <c r="B71" s="416"/>
      <c r="C71" s="271">
        <v>43942</v>
      </c>
      <c r="D71" s="140"/>
      <c r="E71" s="140"/>
      <c r="F71" s="140">
        <f>STDEV('5.ΤΙΜΕΣ'!M57:M76)</f>
        <v>3.793745219905998E-2</v>
      </c>
      <c r="G71" s="140">
        <f>AVERAGE('5.ΤΙΜΕΣ'!M57:M76)</f>
        <v>5.9880955233577201E-4</v>
      </c>
      <c r="H71" s="334">
        <f>AVERAGE('5.ΤΙΜΕΣ'!AE6:AE26)</f>
        <v>209899.19047619047</v>
      </c>
      <c r="K71" s="416"/>
      <c r="L71" s="271">
        <v>43942</v>
      </c>
      <c r="M71" s="140"/>
      <c r="N71" s="140"/>
      <c r="O71" s="140">
        <f>STDEV('5.ΤΙΜΕΣ'!N57:N76)</f>
        <v>4.7155355553212659E-2</v>
      </c>
      <c r="P71" s="140">
        <f>AVERAGE('5.ΤΙΜΕΣ'!N57:N76)</f>
        <v>2.9859617350811258E-3</v>
      </c>
      <c r="Q71" s="334">
        <f>AVERAGE('5.ΤΙΜΕΣ'!AF6:AF26)</f>
        <v>171216.47619047618</v>
      </c>
      <c r="T71" s="416"/>
      <c r="U71" s="271">
        <v>43942</v>
      </c>
      <c r="V71" s="140"/>
      <c r="W71" s="140"/>
      <c r="X71" s="140">
        <f>STDEV('5.ΤΙΜΕΣ'!O57:O76)</f>
        <v>8.0620379152416849E-2</v>
      </c>
      <c r="Y71" s="140">
        <f>AVERAGE('5.ΤΙΜΕΣ'!O57:O76)</f>
        <v>-1.4926481574840575E-3</v>
      </c>
      <c r="Z71" s="334">
        <f>AVERAGE('5.ΤΙΜΕΣ'!AG6:AG26)</f>
        <v>5744921.7142857146</v>
      </c>
      <c r="AC71" s="416"/>
      <c r="AD71" s="271">
        <v>43942</v>
      </c>
      <c r="AE71" s="140"/>
      <c r="AF71" s="140"/>
      <c r="AG71" s="140">
        <f>STDEV('5.ΤΙΜΕΣ'!P57:P76)</f>
        <v>6.5451423366477121E-2</v>
      </c>
      <c r="AH71" s="140">
        <f>AVERAGE('5.ΤΙΜΕΣ'!P57:P76)</f>
        <v>3.5308783606976687E-3</v>
      </c>
      <c r="AI71" s="334">
        <f>AVERAGE('5.ΤΙΜΕΣ'!AH6:AH26)</f>
        <v>466178.33333333331</v>
      </c>
      <c r="AK71" s="416"/>
      <c r="AL71" s="271">
        <v>43942</v>
      </c>
      <c r="AM71" s="385" t="s">
        <v>286</v>
      </c>
      <c r="AN71" s="140"/>
      <c r="AO71" s="140">
        <f>STDEV('5.ΤΙΜΕΣ'!Q57:Q76)</f>
        <v>2.8714749061003655E-2</v>
      </c>
      <c r="AP71" s="140">
        <f>AVERAGE('5.ΤΙΜΕΣ'!Q57:Q76)</f>
        <v>1.2046852981420175E-2</v>
      </c>
      <c r="AQ71" s="334">
        <f>AVERAGE('5.ΤΙΜΕΣ'!AI6:AI26)</f>
        <v>989613.42857142852</v>
      </c>
    </row>
    <row r="72" spans="2:43">
      <c r="B72" s="416"/>
      <c r="C72" s="271">
        <v>43943</v>
      </c>
      <c r="D72" s="140"/>
      <c r="E72" s="140"/>
      <c r="F72" s="140">
        <f>STDEV('5.ΤΙΜΕΣ'!M58:M77)</f>
        <v>3.6763366707333593E-2</v>
      </c>
      <c r="G72" s="140">
        <f>AVERAGE('5.ΤΙΜΕΣ'!M58:M77)</f>
        <v>2.2089481688313721E-3</v>
      </c>
      <c r="H72" s="334">
        <f>AVERAGE('5.ΤΙΜΕΣ'!AE7:AE27)</f>
        <v>197179.19047619047</v>
      </c>
      <c r="K72" s="416"/>
      <c r="L72" s="271">
        <v>43943</v>
      </c>
      <c r="M72" s="140"/>
      <c r="N72" s="140"/>
      <c r="O72" s="140">
        <f>STDEV('5.ΤΙΜΕΣ'!N58:N77)</f>
        <v>4.5663305858111257E-2</v>
      </c>
      <c r="P72" s="140">
        <f>AVERAGE('5.ΤΙΜΕΣ'!N58:N77)</f>
        <v>6.7977818118014569E-3</v>
      </c>
      <c r="Q72" s="334">
        <f>AVERAGE('5.ΤΙΜΕΣ'!AF7:AF27)</f>
        <v>156518.23809523811</v>
      </c>
      <c r="T72" s="416"/>
      <c r="U72" s="271">
        <v>43943</v>
      </c>
      <c r="V72" s="140"/>
      <c r="W72" s="140"/>
      <c r="X72" s="140">
        <f>STDEV('5.ΤΙΜΕΣ'!O58:O77)</f>
        <v>7.9926792825348106E-2</v>
      </c>
      <c r="Y72" s="140">
        <f>AVERAGE('5.ΤΙΜΕΣ'!O58:O77)</f>
        <v>2.2696786130181092E-3</v>
      </c>
      <c r="Z72" s="334">
        <f>AVERAGE('5.ΤΙΜΕΣ'!AG7:AG27)</f>
        <v>5406461.4761904757</v>
      </c>
      <c r="AC72" s="416"/>
      <c r="AD72" s="271">
        <v>43943</v>
      </c>
      <c r="AE72" s="140"/>
      <c r="AF72" s="140"/>
      <c r="AG72" s="140">
        <f>STDEV('5.ΤΙΜΕΣ'!P58:P77)</f>
        <v>6.499616861120508E-2</v>
      </c>
      <c r="AH72" s="140">
        <f>AVERAGE('5.ΤΙΜΕΣ'!P58:P77)</f>
        <v>5.5811138440901176E-3</v>
      </c>
      <c r="AI72" s="334">
        <f>AVERAGE('5.ΤΙΜΕΣ'!AH7:AH27)</f>
        <v>471081.14285714284</v>
      </c>
      <c r="AK72" s="416"/>
      <c r="AL72" s="271">
        <v>43943</v>
      </c>
      <c r="AM72" s="385" t="s">
        <v>286</v>
      </c>
      <c r="AN72" s="140"/>
      <c r="AO72" s="140">
        <f>STDEV('5.ΤΙΜΕΣ'!Q58:Q77)</f>
        <v>2.8793298245169636E-2</v>
      </c>
      <c r="AP72" s="140">
        <f>AVERAGE('5.ΤΙΜΕΣ'!Q58:Q77)</f>
        <v>1.0971648595883688E-2</v>
      </c>
      <c r="AQ72" s="334">
        <f>AVERAGE('5.ΤΙΜΕΣ'!AI7:AI27)</f>
        <v>951627.04761904757</v>
      </c>
    </row>
    <row r="73" spans="2:43">
      <c r="B73" s="416"/>
      <c r="C73" s="271">
        <v>43944</v>
      </c>
      <c r="D73" s="140"/>
      <c r="E73" s="140"/>
      <c r="F73" s="140">
        <f>STDEV('5.ΤΙΜΕΣ'!M59:M78)</f>
        <v>3.5493053557817962E-2</v>
      </c>
      <c r="G73" s="140">
        <f>AVERAGE('5.ΤΙΜΕΣ'!M59:M78)</f>
        <v>1.1183515073447941E-3</v>
      </c>
      <c r="H73" s="334">
        <f>AVERAGE('5.ΤΙΜΕΣ'!AE8:AE28)</f>
        <v>207818.28571428571</v>
      </c>
      <c r="K73" s="416"/>
      <c r="L73" s="271">
        <v>43944</v>
      </c>
      <c r="M73" s="140"/>
      <c r="N73" s="140"/>
      <c r="O73" s="140">
        <f>STDEV('5.ΤΙΜΕΣ'!N59:N78)</f>
        <v>4.7637882387579614E-2</v>
      </c>
      <c r="P73" s="140">
        <f>AVERAGE('5.ΤΙΜΕΣ'!N59:N78)</f>
        <v>9.2481783128396718E-3</v>
      </c>
      <c r="Q73" s="334">
        <f>AVERAGE('5.ΤΙΜΕΣ'!AF8:AF28)</f>
        <v>151452.90476190476</v>
      </c>
      <c r="T73" s="416"/>
      <c r="U73" s="271">
        <v>43944</v>
      </c>
      <c r="V73" s="140"/>
      <c r="W73" s="140"/>
      <c r="X73" s="140">
        <f>STDEV('5.ΤΙΜΕΣ'!O59:O78)</f>
        <v>7.9407744954651929E-2</v>
      </c>
      <c r="Y73" s="140">
        <f>AVERAGE('5.ΤΙΜΕΣ'!O59:O78)</f>
        <v>1.277653721230867E-3</v>
      </c>
      <c r="Z73" s="334">
        <f>AVERAGE('5.ΤΙΜΕΣ'!AG8:AG28)</f>
        <v>5288873.0952380951</v>
      </c>
      <c r="AC73" s="416"/>
      <c r="AD73" s="271">
        <v>43944</v>
      </c>
      <c r="AE73" s="140"/>
      <c r="AF73" s="140"/>
      <c r="AG73" s="140">
        <f>STDEV('5.ΤΙΜΕΣ'!P59:P78)</f>
        <v>6.4953051900185521E-2</v>
      </c>
      <c r="AH73" s="140">
        <f>AVERAGE('5.ΤΙΜΕΣ'!P59:P78)</f>
        <v>1.0708980522942706E-2</v>
      </c>
      <c r="AI73" s="334">
        <f>AVERAGE('5.ΤΙΜΕΣ'!AH8:AH28)</f>
        <v>522764.14285714284</v>
      </c>
      <c r="AK73" s="416"/>
      <c r="AL73" s="271">
        <v>43944</v>
      </c>
      <c r="AM73" s="385" t="s">
        <v>286</v>
      </c>
      <c r="AN73" s="140"/>
      <c r="AO73" s="140">
        <f>STDEV('5.ΤΙΜΕΣ'!Q59:Q78)</f>
        <v>2.8046113418415175E-2</v>
      </c>
      <c r="AP73" s="140">
        <f>AVERAGE('5.ΤΙΜΕΣ'!Q59:Q78)</f>
        <v>9.8037114672995668E-3</v>
      </c>
      <c r="AQ73" s="334">
        <f>AVERAGE('5.ΤΙΜΕΣ'!AI8:AI28)</f>
        <v>969330.71428571432</v>
      </c>
    </row>
    <row r="74" spans="2:43">
      <c r="B74" s="416"/>
      <c r="C74" s="271">
        <v>43945</v>
      </c>
      <c r="D74" s="140"/>
      <c r="E74" s="140"/>
      <c r="F74" s="140">
        <f>STDEV('5.ΤΙΜΕΣ'!M60:M79)</f>
        <v>3.5485755035848963E-2</v>
      </c>
      <c r="G74" s="140">
        <f>AVERAGE('5.ΤΙΜΕΣ'!M60:M79)</f>
        <v>1.1343770133397369E-3</v>
      </c>
      <c r="H74" s="334">
        <f>AVERAGE('5.ΤΙΜΕΣ'!AE9:AE29)</f>
        <v>193272.33333333334</v>
      </c>
      <c r="K74" s="416"/>
      <c r="L74" s="271">
        <v>43945</v>
      </c>
      <c r="M74" s="140"/>
      <c r="N74" s="140"/>
      <c r="O74" s="140">
        <f>STDEV('5.ΤΙΜΕΣ'!N60:N79)</f>
        <v>4.6946858100653854E-2</v>
      </c>
      <c r="P74" s="140">
        <f>AVERAGE('5.ΤΙΜΕΣ'!N60:N79)</f>
        <v>6.5248244464684276E-3</v>
      </c>
      <c r="Q74" s="334">
        <f>AVERAGE('5.ΤΙΜΕΣ'!AF9:AF29)</f>
        <v>141942.52380952382</v>
      </c>
      <c r="T74" s="416"/>
      <c r="U74" s="271">
        <v>43945</v>
      </c>
      <c r="V74" s="140"/>
      <c r="W74" s="140"/>
      <c r="X74" s="140">
        <f>STDEV('5.ΤΙΜΕΣ'!O60:O79)</f>
        <v>7.797830222854843E-2</v>
      </c>
      <c r="Y74" s="140">
        <f>AVERAGE('5.ΤΙΜΕΣ'!O60:O79)</f>
        <v>-3.8721674604395981E-3</v>
      </c>
      <c r="Z74" s="334">
        <f>AVERAGE('5.ΤΙΜΕΣ'!AG9:AG29)</f>
        <v>5261449.7142857146</v>
      </c>
      <c r="AC74" s="416"/>
      <c r="AD74" s="271">
        <v>43945</v>
      </c>
      <c r="AE74" s="140"/>
      <c r="AF74" s="140"/>
      <c r="AG74" s="140">
        <f>STDEV('5.ΤΙΜΕΣ'!P60:P79)</f>
        <v>5.0558952184332089E-2</v>
      </c>
      <c r="AH74" s="140">
        <f>AVERAGE('5.ΤΙΜΕΣ'!P60:P79)</f>
        <v>1.927433505861735E-3</v>
      </c>
      <c r="AI74" s="334">
        <f>AVERAGE('5.ΤΙΜΕΣ'!AH9:AH29)</f>
        <v>522569.09523809527</v>
      </c>
      <c r="AK74" s="416"/>
      <c r="AL74" s="271">
        <v>43945</v>
      </c>
      <c r="AM74" s="385" t="s">
        <v>286</v>
      </c>
      <c r="AN74" s="140"/>
      <c r="AO74" s="140">
        <f>STDEV('5.ΤΙΜΕΣ'!Q60:Q79)</f>
        <v>2.5072246404578401E-2</v>
      </c>
      <c r="AP74" s="140">
        <f>AVERAGE('5.ΤΙΜΕΣ'!Q60:Q79)</f>
        <v>6.8850480430623527E-3</v>
      </c>
      <c r="AQ74" s="334">
        <f>AVERAGE('5.ΤΙΜΕΣ'!AI9:AI29)</f>
        <v>932587.33333333337</v>
      </c>
    </row>
    <row r="75" spans="2:43">
      <c r="B75" s="416"/>
      <c r="C75" s="271">
        <v>43948</v>
      </c>
      <c r="D75" s="140"/>
      <c r="E75" s="140"/>
      <c r="F75" s="140">
        <f>STDEV('5.ΤΙΜΕΣ'!M61:M80)</f>
        <v>2.8763580422157993E-2</v>
      </c>
      <c r="G75" s="140">
        <f>AVERAGE('5.ΤΙΜΕΣ'!M61:M80)</f>
        <v>6.6023060644753761E-3</v>
      </c>
      <c r="H75" s="334">
        <f>AVERAGE('5.ΤΙΜΕΣ'!AE10:AE30)</f>
        <v>190259.42857142858</v>
      </c>
      <c r="K75" s="416"/>
      <c r="L75" s="271">
        <v>43948</v>
      </c>
      <c r="M75" s="140"/>
      <c r="N75" s="140"/>
      <c r="O75" s="140">
        <f>STDEV('5.ΤΙΜΕΣ'!N61:N80)</f>
        <v>4.5369582551807508E-2</v>
      </c>
      <c r="P75" s="140">
        <f>AVERAGE('5.ΤΙΜΕΣ'!N61:N80)</f>
        <v>1.0033534773107559E-2</v>
      </c>
      <c r="Q75" s="334">
        <f>AVERAGE('5.ΤΙΜΕΣ'!AF10:AF30)</f>
        <v>125043.71428571429</v>
      </c>
      <c r="T75" s="416"/>
      <c r="U75" s="271">
        <v>43948</v>
      </c>
      <c r="V75" s="140"/>
      <c r="W75" s="140"/>
      <c r="X75" s="140">
        <f>STDEV('5.ΤΙΜΕΣ'!O61:O80)</f>
        <v>7.1130802594419243E-2</v>
      </c>
      <c r="Y75" s="140">
        <f>AVERAGE('5.ΤΙΜΕΣ'!O61:O80)</f>
        <v>6.1179046013198572E-3</v>
      </c>
      <c r="Z75" s="334">
        <f>AVERAGE('5.ΤΙΜΕΣ'!AG10:AG30)</f>
        <v>5164188.1428571427</v>
      </c>
      <c r="AC75" s="416"/>
      <c r="AD75" s="271">
        <v>43948</v>
      </c>
      <c r="AE75" s="140"/>
      <c r="AF75" s="140"/>
      <c r="AG75" s="140">
        <f>STDEV('5.ΤΙΜΕΣ'!P61:P80)</f>
        <v>2.9140658415708034E-2</v>
      </c>
      <c r="AH75" s="140">
        <f>AVERAGE('5.ΤΙΜΕΣ'!P61:P80)</f>
        <v>1.1027138480707601E-2</v>
      </c>
      <c r="AI75" s="334">
        <f>AVERAGE('5.ΤΙΜΕΣ'!AH10:AH30)</f>
        <v>539067.04761904757</v>
      </c>
      <c r="AK75" s="416"/>
      <c r="AL75" s="271">
        <v>43948</v>
      </c>
      <c r="AM75" s="385" t="s">
        <v>286</v>
      </c>
      <c r="AN75" s="140"/>
      <c r="AO75" s="140">
        <f>STDEV('5.ΤΙΜΕΣ'!Q61:Q80)</f>
        <v>2.3721723931531401E-2</v>
      </c>
      <c r="AP75" s="140">
        <f>AVERAGE('5.ΤΙΜΕΣ'!Q61:Q80)</f>
        <v>9.4497301740901155E-3</v>
      </c>
      <c r="AQ75" s="334">
        <f>AVERAGE('5.ΤΙΜΕΣ'!AI10:AI30)</f>
        <v>929489.71428571432</v>
      </c>
    </row>
    <row r="76" spans="2:43">
      <c r="B76" s="416"/>
      <c r="C76" s="271">
        <v>43949</v>
      </c>
      <c r="D76" s="140"/>
      <c r="E76" s="140"/>
      <c r="F76" s="140">
        <f>STDEV('5.ΤΙΜΕΣ'!M62:M81)</f>
        <v>2.4226487139621059E-2</v>
      </c>
      <c r="G76" s="140">
        <f>AVERAGE('5.ΤΙΜΕΣ'!M62:M81)</f>
        <v>3.0348397660786113E-3</v>
      </c>
      <c r="H76" s="334">
        <f>AVERAGE('5.ΤΙΜΕΣ'!AE11:AE31)</f>
        <v>198129.71428571429</v>
      </c>
      <c r="K76" s="416"/>
      <c r="L76" s="271">
        <v>43949</v>
      </c>
      <c r="M76" s="140"/>
      <c r="N76" s="140"/>
      <c r="O76" s="140">
        <f>STDEV('5.ΤΙΜΕΣ'!N62:N81)</f>
        <v>4.1308641948387806E-2</v>
      </c>
      <c r="P76" s="140">
        <f>AVERAGE('5.ΤΙΜΕΣ'!N62:N81)</f>
        <v>6.513259741895071E-3</v>
      </c>
      <c r="Q76" s="334">
        <f>AVERAGE('5.ΤΙΜΕΣ'!AF11:AF31)</f>
        <v>133710.04761904763</v>
      </c>
      <c r="T76" s="416"/>
      <c r="U76" s="271">
        <v>43949</v>
      </c>
      <c r="V76" s="140"/>
      <c r="W76" s="140"/>
      <c r="X76" s="140">
        <f>STDEV('5.ΤΙΜΕΣ'!O62:O81)</f>
        <v>6.9744755994487581E-2</v>
      </c>
      <c r="Y76" s="140">
        <f>AVERAGE('5.ΤΙΜΕΣ'!O62:O81)</f>
        <v>4.619096001261808E-3</v>
      </c>
      <c r="Z76" s="334">
        <f>AVERAGE('5.ΤΙΜΕΣ'!AG11:AG31)</f>
        <v>5261778.1904761903</v>
      </c>
      <c r="AC76" s="416"/>
      <c r="AD76" s="271">
        <v>43949</v>
      </c>
      <c r="AE76" s="140"/>
      <c r="AF76" s="140"/>
      <c r="AG76" s="140">
        <f>STDEV('5.ΤΙΜΕΣ'!P62:P81)</f>
        <v>2.9243398989320175E-2</v>
      </c>
      <c r="AH76" s="140">
        <f>AVERAGE('5.ΤΙΜΕΣ'!P62:P81)</f>
        <v>8.0634073798061048E-3</v>
      </c>
      <c r="AI76" s="334">
        <f>AVERAGE('5.ΤΙΜΕΣ'!AH11:AH31)</f>
        <v>564235.52380952379</v>
      </c>
      <c r="AK76" s="416"/>
      <c r="AL76" s="271">
        <v>43949</v>
      </c>
      <c r="AM76" s="385" t="s">
        <v>286</v>
      </c>
      <c r="AN76" s="140"/>
      <c r="AO76" s="140">
        <f>STDEV('5.ΤΙΜΕΣ'!Q62:Q81)</f>
        <v>2.1434786092076264E-2</v>
      </c>
      <c r="AP76" s="140">
        <f>AVERAGE('5.ΤΙΜΕΣ'!Q62:Q81)</f>
        <v>6.1222874988752759E-3</v>
      </c>
      <c r="AQ76" s="334">
        <f>AVERAGE('5.ΤΙΜΕΣ'!AI11:AI31)</f>
        <v>916996</v>
      </c>
    </row>
    <row r="77" spans="2:43">
      <c r="B77" s="416"/>
      <c r="C77" s="271">
        <v>43950</v>
      </c>
      <c r="D77" s="140"/>
      <c r="E77" s="140"/>
      <c r="F77" s="140">
        <f>STDEV('5.ΤΙΜΕΣ'!M63:M82)</f>
        <v>2.4154856004427672E-2</v>
      </c>
      <c r="G77" s="140">
        <f>AVERAGE('5.ΤΙΜΕΣ'!M63:M82)</f>
        <v>2.3094691234687255E-3</v>
      </c>
      <c r="H77" s="334">
        <f>AVERAGE('5.ΤΙΜΕΣ'!AE12:AE32)</f>
        <v>182620.71428571429</v>
      </c>
      <c r="K77" s="416"/>
      <c r="L77" s="271">
        <v>43950</v>
      </c>
      <c r="M77" s="140"/>
      <c r="N77" s="140"/>
      <c r="O77" s="140">
        <f>STDEV('5.ΤΙΜΕΣ'!N63:N82)</f>
        <v>4.1812358150274183E-2</v>
      </c>
      <c r="P77" s="140">
        <f>AVERAGE('5.ΤΙΜΕΣ'!N63:N82)</f>
        <v>5.6612126059020409E-3</v>
      </c>
      <c r="Q77" s="334">
        <f>AVERAGE('5.ΤΙΜΕΣ'!AF12:AF32)</f>
        <v>123031.66666666667</v>
      </c>
      <c r="T77" s="416"/>
      <c r="U77" s="271">
        <v>43950</v>
      </c>
      <c r="V77" s="140"/>
      <c r="W77" s="140"/>
      <c r="X77" s="140">
        <f>STDEV('5.ΤΙΜΕΣ'!O63:O82)</f>
        <v>5.3408566577480714E-2</v>
      </c>
      <c r="Y77" s="140">
        <f>AVERAGE('5.ΤΙΜΕΣ'!O63:O82)</f>
        <v>-3.2747958546949347E-3</v>
      </c>
      <c r="Z77" s="334">
        <f>AVERAGE('5.ΤΙΜΕΣ'!AG12:AG32)</f>
        <v>5511858.7142857146</v>
      </c>
      <c r="AC77" s="416"/>
      <c r="AD77" s="271">
        <v>43950</v>
      </c>
      <c r="AE77" s="140"/>
      <c r="AF77" s="140"/>
      <c r="AG77" s="140">
        <f>STDEV('5.ΤΙΜΕΣ'!P63:P82)</f>
        <v>2.8309773118661209E-2</v>
      </c>
      <c r="AH77" s="140">
        <f>AVERAGE('5.ΤΙΜΕΣ'!P63:P82)</f>
        <v>6.4733326182434712E-3</v>
      </c>
      <c r="AI77" s="334">
        <f>AVERAGE('5.ΤΙΜΕΣ'!AH12:AH32)</f>
        <v>537322.38095238095</v>
      </c>
      <c r="AK77" s="416"/>
      <c r="AL77" s="271">
        <v>43950</v>
      </c>
      <c r="AM77" s="385" t="s">
        <v>288</v>
      </c>
      <c r="AN77" s="140"/>
      <c r="AO77" s="140">
        <f>STDEV('5.ΤΙΜΕΣ'!Q63:Q82)</f>
        <v>2.1514092513454503E-2</v>
      </c>
      <c r="AP77" s="140">
        <f>AVERAGE('5.ΤΙΜΕΣ'!Q63:Q82)</f>
        <v>7.2094343549255063E-3</v>
      </c>
      <c r="AQ77" s="334">
        <f>AVERAGE('5.ΤΙΜΕΣ'!AI12:AI32)</f>
        <v>911871.14285714284</v>
      </c>
    </row>
    <row r="78" spans="2:43">
      <c r="B78" s="416"/>
      <c r="C78" s="271">
        <v>43951</v>
      </c>
      <c r="D78" s="140"/>
      <c r="E78" s="140"/>
      <c r="F78" s="140">
        <f>STDEV('5.ΤΙΜΕΣ'!M64:M83)</f>
        <v>2.2995571373323094E-2</v>
      </c>
      <c r="G78" s="140">
        <f>AVERAGE('5.ΤΙΜΕΣ'!M64:M83)</f>
        <v>3.3870261585242723E-3</v>
      </c>
      <c r="H78" s="334">
        <f>AVERAGE('5.ΤΙΜΕΣ'!AE13:AE33)</f>
        <v>177524.04761904763</v>
      </c>
      <c r="K78" s="416"/>
      <c r="L78" s="271">
        <v>43951</v>
      </c>
      <c r="M78" s="140"/>
      <c r="N78" s="140"/>
      <c r="O78" s="140">
        <f>STDEV('5.ΤΙΜΕΣ'!N64:N83)</f>
        <v>4.0573101401226823E-2</v>
      </c>
      <c r="P78" s="140">
        <f>AVERAGE('5.ΤΙΜΕΣ'!N64:N83)</f>
        <v>7.0940293617721972E-3</v>
      </c>
      <c r="Q78" s="334">
        <f>AVERAGE('5.ΤΙΜΕΣ'!AF13:AF33)</f>
        <v>115753</v>
      </c>
      <c r="T78" s="416"/>
      <c r="U78" s="271">
        <v>43951</v>
      </c>
      <c r="V78" s="140"/>
      <c r="W78" s="140"/>
      <c r="X78" s="140">
        <f>STDEV('5.ΤΙΜΕΣ'!O64:O83)</f>
        <v>5.3948733152441093E-2</v>
      </c>
      <c r="Y78" s="140">
        <f>AVERAGE('5.ΤΙΜΕΣ'!O64:O83)</f>
        <v>-3.7926671259129905E-3</v>
      </c>
      <c r="Z78" s="334">
        <f>AVERAGE('5.ΤΙΜΕΣ'!AG13:AG33)</f>
        <v>5550428.0476190476</v>
      </c>
      <c r="AC78" s="416"/>
      <c r="AD78" s="271">
        <v>43951</v>
      </c>
      <c r="AE78" s="140"/>
      <c r="AF78" s="140"/>
      <c r="AG78" s="140">
        <f>STDEV('5.ΤΙΜΕΣ'!P64:P83)</f>
        <v>2.7757130341494768E-2</v>
      </c>
      <c r="AH78" s="140">
        <f>AVERAGE('5.ΤΙΜΕΣ'!P64:P83)</f>
        <v>7.1427556602861137E-3</v>
      </c>
      <c r="AI78" s="334">
        <f>AVERAGE('5.ΤΙΜΕΣ'!AH13:AH33)</f>
        <v>553117.47619047621</v>
      </c>
      <c r="AK78" s="416"/>
      <c r="AL78" s="271">
        <v>43951</v>
      </c>
      <c r="AM78" s="385" t="s">
        <v>286</v>
      </c>
      <c r="AN78" s="140"/>
      <c r="AO78" s="140">
        <f>STDEV('5.ΤΙΜΕΣ'!Q64:Q83)</f>
        <v>2.0292705793858553E-2</v>
      </c>
      <c r="AP78" s="140">
        <f>AVERAGE('5.ΤΙΜΕΣ'!Q64:Q83)</f>
        <v>8.6144989221727149E-3</v>
      </c>
      <c r="AQ78" s="334">
        <f>AVERAGE('5.ΤΙΜΕΣ'!AI13:AI33)</f>
        <v>894193.71428571432</v>
      </c>
    </row>
    <row r="79" spans="2:43">
      <c r="B79" s="416"/>
      <c r="C79" s="271">
        <v>43955</v>
      </c>
      <c r="D79" s="140"/>
      <c r="E79" s="140"/>
      <c r="F79" s="140">
        <f>STDEV('5.ΤΙΜΕΣ'!M65:M84)</f>
        <v>2.2996649369595366E-2</v>
      </c>
      <c r="G79" s="140">
        <f>AVERAGE('5.ΤΙΜΕΣ'!M65:M84)</f>
        <v>3.3859087027475407E-3</v>
      </c>
      <c r="H79" s="334">
        <f>AVERAGE('5.ΤΙΜΕΣ'!AE14:AE34)</f>
        <v>172052.76190476189</v>
      </c>
      <c r="K79" s="416"/>
      <c r="L79" s="271">
        <v>43955</v>
      </c>
      <c r="M79" s="140"/>
      <c r="N79" s="140"/>
      <c r="O79" s="140">
        <f>STDEV('5.ΤΙΜΕΣ'!N65:N84)</f>
        <v>3.8288101732556132E-2</v>
      </c>
      <c r="P79" s="140">
        <f>AVERAGE('5.ΤΙΜΕΣ'!N65:N84)</f>
        <v>1.0251590068558178E-2</v>
      </c>
      <c r="Q79" s="334">
        <f>AVERAGE('5.ΤΙΜΕΣ'!AF14:AF34)</f>
        <v>118213.90476190476</v>
      </c>
      <c r="T79" s="416"/>
      <c r="U79" s="271">
        <v>43955</v>
      </c>
      <c r="V79" s="140"/>
      <c r="W79" s="140"/>
      <c r="X79" s="140">
        <f>STDEV('5.ΤΙΜΕΣ'!O65:O84)</f>
        <v>5.5271511779488906E-2</v>
      </c>
      <c r="Y79" s="140">
        <f>AVERAGE('5.ΤΙΜΕΣ'!O65:O84)</f>
        <v>-1.0234257644040661E-2</v>
      </c>
      <c r="Z79" s="334">
        <f>AVERAGE('5.ΤΙΜΕΣ'!AG14:AG34)</f>
        <v>5527642.666666667</v>
      </c>
      <c r="AC79" s="416"/>
      <c r="AD79" s="271">
        <v>43955</v>
      </c>
      <c r="AE79" s="140"/>
      <c r="AF79" s="140"/>
      <c r="AG79" s="140">
        <f>STDEV('5.ΤΙΜΕΣ'!P65:P84)</f>
        <v>4.4408107423131518E-2</v>
      </c>
      <c r="AH79" s="140">
        <f>AVERAGE('5.ΤΙΜΕΣ'!P65:P84)</f>
        <v>-4.9140444681315123E-4</v>
      </c>
      <c r="AI79" s="334">
        <f>AVERAGE('5.ΤΙΜΕΣ'!AH14:AH34)</f>
        <v>602202.61904761905</v>
      </c>
      <c r="AK79" s="416"/>
      <c r="AL79" s="271">
        <v>43955</v>
      </c>
      <c r="AM79" s="385" t="s">
        <v>286</v>
      </c>
      <c r="AN79" s="140"/>
      <c r="AO79" s="140">
        <f>STDEV('5.ΤΙΜΕΣ'!Q65:Q84)</f>
        <v>2.1820404156298833E-2</v>
      </c>
      <c r="AP79" s="140">
        <f>AVERAGE('5.ΤΙΜΕΣ'!Q65:Q84)</f>
        <v>5.5719780867103941E-3</v>
      </c>
      <c r="AQ79" s="334">
        <f>AVERAGE('5.ΤΙΜΕΣ'!AI14:AI34)</f>
        <v>891912.28571428568</v>
      </c>
    </row>
    <row r="80" spans="2:43">
      <c r="B80" s="416"/>
      <c r="C80" s="271">
        <v>43956</v>
      </c>
      <c r="D80" s="140"/>
      <c r="E80" s="140"/>
      <c r="F80" s="140">
        <f>STDEV('5.ΤΙΜΕΣ'!M66:M85)</f>
        <v>2.2775061531842861E-2</v>
      </c>
      <c r="G80" s="140">
        <f>AVERAGE('5.ΤΙΜΕΣ'!M66:M85)</f>
        <v>4.0169831937339603E-3</v>
      </c>
      <c r="H80" s="334">
        <f>AVERAGE('5.ΤΙΜΕΣ'!AE15:AE35)</f>
        <v>166076.47619047618</v>
      </c>
      <c r="K80" s="416"/>
      <c r="L80" s="271">
        <v>43956</v>
      </c>
      <c r="M80" s="140"/>
      <c r="N80" s="140"/>
      <c r="O80" s="140">
        <f>STDEV('5.ΤΙΜΕΣ'!N66:N85)</f>
        <v>3.863535602908473E-2</v>
      </c>
      <c r="P80" s="140">
        <f>AVERAGE('5.ΤΙΜΕΣ'!N66:N85)</f>
        <v>8.9575991016337744E-3</v>
      </c>
      <c r="Q80" s="334">
        <f>AVERAGE('5.ΤΙΜΕΣ'!AF15:AF35)</f>
        <v>129526.09523809524</v>
      </c>
      <c r="T80" s="416"/>
      <c r="U80" s="271">
        <v>43956</v>
      </c>
      <c r="V80" s="140"/>
      <c r="W80" s="140"/>
      <c r="X80" s="140">
        <f>STDEV('5.ΤΙΜΕΣ'!O66:O85)</f>
        <v>5.5128422291801565E-2</v>
      </c>
      <c r="Y80" s="140">
        <f>AVERAGE('5.ΤΙΜΕΣ'!O66:O85)</f>
        <v>-6.0476305208831448E-3</v>
      </c>
      <c r="Z80" s="334">
        <f>AVERAGE('5.ΤΙΜΕΣ'!AG15:AG35)</f>
        <v>5440132.9047619049</v>
      </c>
      <c r="AC80" s="416"/>
      <c r="AD80" s="271">
        <v>43956</v>
      </c>
      <c r="AE80" s="140"/>
      <c r="AF80" s="140"/>
      <c r="AG80" s="140">
        <f>STDEV('5.ΤΙΜΕΣ'!P66:P85)</f>
        <v>4.4649153953055513E-2</v>
      </c>
      <c r="AH80" s="140">
        <f>AVERAGE('5.ΤΙΜΕΣ'!P66:P85)</f>
        <v>-1.4295566664629705E-3</v>
      </c>
      <c r="AI80" s="334">
        <f>AVERAGE('5.ΤΙΜΕΣ'!AH15:AH35)</f>
        <v>662687.33333333337</v>
      </c>
      <c r="AK80" s="416"/>
      <c r="AL80" s="271">
        <v>43956</v>
      </c>
      <c r="AM80" s="385" t="s">
        <v>286</v>
      </c>
      <c r="AN80" s="140"/>
      <c r="AO80" s="140">
        <f>STDEV('5.ΤΙΜΕΣ'!Q66:Q85)</f>
        <v>2.1434431155933287E-2</v>
      </c>
      <c r="AP80" s="140">
        <f>AVERAGE('5.ΤΙΜΕΣ'!Q66:Q85)</f>
        <v>6.7279835175044029E-3</v>
      </c>
      <c r="AQ80" s="334">
        <f>AVERAGE('5.ΤΙΜΕΣ'!AI15:AI35)</f>
        <v>884572.71428571432</v>
      </c>
    </row>
    <row r="81" spans="2:43">
      <c r="B81" s="416"/>
      <c r="C81" s="271">
        <v>43957</v>
      </c>
      <c r="D81" s="140"/>
      <c r="E81" s="140"/>
      <c r="F81" s="140">
        <f>STDEV('5.ΤΙΜΕΣ'!M67:M86)</f>
        <v>2.3172228383567077E-2</v>
      </c>
      <c r="G81" s="140">
        <f>AVERAGE('5.ΤΙΜΕΣ'!M67:M86)</f>
        <v>3.5796826593504387E-3</v>
      </c>
      <c r="H81" s="334">
        <f>AVERAGE('5.ΤΙΜΕΣ'!AE16:AE36)</f>
        <v>159460.09523809524</v>
      </c>
      <c r="K81" s="416"/>
      <c r="L81" s="271">
        <v>43957</v>
      </c>
      <c r="M81" s="140"/>
      <c r="N81" s="140"/>
      <c r="O81" s="140">
        <f>STDEV('5.ΤΙΜΕΣ'!N67:N86)</f>
        <v>3.8103781778168186E-2</v>
      </c>
      <c r="P81" s="140">
        <f>AVERAGE('5.ΤΙΜΕΣ'!N67:N86)</f>
        <v>1.0048195380161723E-2</v>
      </c>
      <c r="Q81" s="334">
        <f>AVERAGE('5.ΤΙΜΕΣ'!AF16:AF36)</f>
        <v>124803.71428571429</v>
      </c>
      <c r="T81" s="416"/>
      <c r="U81" s="271">
        <v>43957</v>
      </c>
      <c r="V81" s="140"/>
      <c r="W81" s="140"/>
      <c r="X81" s="140">
        <f>STDEV('5.ΤΙΜΕΣ'!O67:O86)</f>
        <v>5.1820605447786945E-2</v>
      </c>
      <c r="Y81" s="140">
        <f>AVERAGE('5.ΤΙΜΕΣ'!O67:O86)</f>
        <v>-3.4595928331606325E-3</v>
      </c>
      <c r="Z81" s="334">
        <f>AVERAGE('5.ΤΙΜΕΣ'!AG16:AG36)</f>
        <v>5172649.333333333</v>
      </c>
      <c r="AC81" s="416"/>
      <c r="AD81" s="271">
        <v>43957</v>
      </c>
      <c r="AE81" s="385" t="s">
        <v>285</v>
      </c>
      <c r="AF81" s="140"/>
      <c r="AG81" s="140">
        <f>STDEV('5.ΤΙΜΕΣ'!P67:P86)</f>
        <v>4.3745876210359767E-2</v>
      </c>
      <c r="AH81" s="140">
        <f>AVERAGE('5.ΤΙΜΕΣ'!P67:P86)</f>
        <v>-1.9243128306473332E-4</v>
      </c>
      <c r="AI81" s="334">
        <f>AVERAGE('5.ΤΙΜΕΣ'!AH16:AH36)</f>
        <v>676180.52380952379</v>
      </c>
      <c r="AK81" s="416"/>
      <c r="AL81" s="271">
        <v>43957</v>
      </c>
      <c r="AM81" s="385" t="s">
        <v>287</v>
      </c>
      <c r="AN81" s="140"/>
      <c r="AO81" s="140">
        <f>STDEV('5.ΤΙΜΕΣ'!Q67:Q86)</f>
        <v>2.0371577427214467E-2</v>
      </c>
      <c r="AP81" s="140">
        <f>AVERAGE('5.ΤΙΜΕΣ'!Q67:Q86)</f>
        <v>7.5664901742808236E-3</v>
      </c>
      <c r="AQ81" s="334">
        <f>AVERAGE('5.ΤΙΜΕΣ'!AI16:AI36)</f>
        <v>873470</v>
      </c>
    </row>
    <row r="82" spans="2:43">
      <c r="B82" s="416"/>
      <c r="C82" s="271">
        <v>43958</v>
      </c>
      <c r="D82" s="140"/>
      <c r="E82" s="140"/>
      <c r="F82" s="140">
        <f>STDEV('5.ΤΙΜΕΣ'!M68:M87)</f>
        <v>2.3221132239240834E-2</v>
      </c>
      <c r="G82" s="140">
        <f>AVERAGE('5.ΤΙΜΕΣ'!M68:M87)</f>
        <v>4.0571216426551326E-3</v>
      </c>
      <c r="H82" s="334">
        <f>AVERAGE('5.ΤΙΜΕΣ'!AE17:AE37)</f>
        <v>159458.90476190476</v>
      </c>
      <c r="K82" s="416"/>
      <c r="L82" s="271">
        <v>43958</v>
      </c>
      <c r="M82" s="140"/>
      <c r="N82" s="140"/>
      <c r="O82" s="140">
        <f>STDEV('5.ΤΙΜΕΣ'!N68:N87)</f>
        <v>3.795124177835723E-2</v>
      </c>
      <c r="P82" s="140">
        <f>AVERAGE('5.ΤΙΜΕΣ'!N68:N87)</f>
        <v>9.8355147123027065E-3</v>
      </c>
      <c r="Q82" s="334">
        <f>AVERAGE('5.ΤΙΜΕΣ'!AF17:AF37)</f>
        <v>122393.76190476191</v>
      </c>
      <c r="T82" s="416"/>
      <c r="U82" s="271">
        <v>43958</v>
      </c>
      <c r="V82" s="140"/>
      <c r="W82" s="140"/>
      <c r="X82" s="140">
        <f>STDEV('5.ΤΙΜΕΣ'!O68:O87)</f>
        <v>5.1321347943683295E-2</v>
      </c>
      <c r="Y82" s="140">
        <f>AVERAGE('5.ΤΙΜΕΣ'!O68:O87)</f>
        <v>-1.7597124060896442E-3</v>
      </c>
      <c r="Z82" s="334">
        <f>AVERAGE('5.ΤΙΜΕΣ'!AG17:AG37)</f>
        <v>5073964.6190476194</v>
      </c>
      <c r="AC82" s="416"/>
      <c r="AD82" s="271">
        <v>43958</v>
      </c>
      <c r="AE82" s="140"/>
      <c r="AF82" s="140"/>
      <c r="AG82" s="140">
        <f>STDEV('5.ΤΙΜΕΣ'!P68:P87)</f>
        <v>4.385711606484724E-2</v>
      </c>
      <c r="AH82" s="140">
        <f>AVERAGE('5.ΤΙΜΕΣ'!P68:P87)</f>
        <v>2.0463213854608592E-3</v>
      </c>
      <c r="AI82" s="334">
        <f>AVERAGE('5.ΤΙΜΕΣ'!AH17:AH37)</f>
        <v>669653.80952380947</v>
      </c>
      <c r="AK82" s="416"/>
      <c r="AL82" s="271">
        <v>43958</v>
      </c>
      <c r="AM82" s="385" t="s">
        <v>286</v>
      </c>
      <c r="AN82" s="140"/>
      <c r="AO82" s="140">
        <f>STDEV('5.ΤΙΜΕΣ'!Q68:Q87)</f>
        <v>2.0020681878535659E-2</v>
      </c>
      <c r="AP82" s="140">
        <f>AVERAGE('5.ΤΙΜΕΣ'!Q68:Q87)</f>
        <v>6.6249611628561899E-3</v>
      </c>
      <c r="AQ82" s="334">
        <f>AVERAGE('5.ΤΙΜΕΣ'!AI17:AI37)</f>
        <v>855513.47619047621</v>
      </c>
    </row>
    <row r="83" spans="2:43">
      <c r="B83" s="416"/>
      <c r="C83" s="271">
        <v>43959</v>
      </c>
      <c r="D83" s="140"/>
      <c r="E83" s="140"/>
      <c r="F83" s="140">
        <f>STDEV('5.ΤΙΜΕΣ'!M69:M88)</f>
        <v>2.3102384005274448E-2</v>
      </c>
      <c r="G83" s="140">
        <f>AVERAGE('5.ΤΙΜΕΣ'!M69:M88)</f>
        <v>4.8011935403213767E-3</v>
      </c>
      <c r="H83" s="334">
        <f>AVERAGE('5.ΤΙΜΕΣ'!AE18:AE38)</f>
        <v>158907.04761904763</v>
      </c>
      <c r="K83" s="416"/>
      <c r="L83" s="271">
        <v>43959</v>
      </c>
      <c r="M83" s="140"/>
      <c r="N83" s="140"/>
      <c r="O83" s="140">
        <f>STDEV('5.ΤΙΜΕΣ'!N69:N88)</f>
        <v>3.7641494885065567E-2</v>
      </c>
      <c r="P83" s="140">
        <f>AVERAGE('5.ΤΙΜΕΣ'!N69:N88)</f>
        <v>1.1470658216390255E-2</v>
      </c>
      <c r="Q83" s="334">
        <f>AVERAGE('5.ΤΙΜΕΣ'!AF18:AF38)</f>
        <v>125312</v>
      </c>
      <c r="T83" s="416"/>
      <c r="U83" s="271">
        <v>43959</v>
      </c>
      <c r="V83" s="140"/>
      <c r="W83" s="140"/>
      <c r="X83" s="140">
        <f>STDEV('5.ΤΙΜΕΣ'!O69:O88)</f>
        <v>5.0949060423235215E-2</v>
      </c>
      <c r="Y83" s="140">
        <f>AVERAGE('5.ΤΙΜΕΣ'!O69:O88)</f>
        <v>-7.473980717936726E-4</v>
      </c>
      <c r="Z83" s="334">
        <f>AVERAGE('5.ΤΙΜΕΣ'!AG18:AG38)</f>
        <v>4898178.333333333</v>
      </c>
      <c r="AC83" s="416"/>
      <c r="AD83" s="271">
        <v>43959</v>
      </c>
      <c r="AE83" s="140"/>
      <c r="AF83" s="140"/>
      <c r="AG83" s="140">
        <f>STDEV('5.ΤΙΜΕΣ'!P69:P88)</f>
        <v>4.3966839738608529E-2</v>
      </c>
      <c r="AH83" s="140">
        <f>AVERAGE('5.ΤΙΜΕΣ'!P69:P88)</f>
        <v>2.2447659953945252E-3</v>
      </c>
      <c r="AI83" s="334">
        <f>AVERAGE('5.ΤΙΜΕΣ'!AH18:AH38)</f>
        <v>681458.47619047621</v>
      </c>
      <c r="AK83" s="416"/>
      <c r="AL83" s="271">
        <v>43959</v>
      </c>
      <c r="AM83" s="385" t="s">
        <v>286</v>
      </c>
      <c r="AN83" s="140"/>
      <c r="AO83" s="140">
        <f>STDEV('5.ΤΙΜΕΣ'!Q69:Q88)</f>
        <v>1.9634350282727149E-2</v>
      </c>
      <c r="AP83" s="140">
        <f>AVERAGE('5.ΤΙΜΕΣ'!Q69:Q88)</f>
        <v>7.2384218567200457E-3</v>
      </c>
      <c r="AQ83" s="334">
        <f>AVERAGE('5.ΤΙΜΕΣ'!AI18:AI38)</f>
        <v>852850.85714285716</v>
      </c>
    </row>
    <row r="84" spans="2:43">
      <c r="B84" s="416"/>
      <c r="C84" s="271">
        <v>43962</v>
      </c>
      <c r="D84" s="385" t="s">
        <v>283</v>
      </c>
      <c r="E84" s="140"/>
      <c r="F84" s="140">
        <f>STDEV('5.ΤΙΜΕΣ'!M70:M89)</f>
        <v>1.9738790090218953E-2</v>
      </c>
      <c r="G84" s="140">
        <f>AVERAGE('5.ΤΙΜΕΣ'!M70:M89)</f>
        <v>1.4016761881358434E-3</v>
      </c>
      <c r="H84" s="334">
        <f>AVERAGE('5.ΤΙΜΕΣ'!AE19:AE39)</f>
        <v>153894.33333333334</v>
      </c>
      <c r="K84" s="416"/>
      <c r="L84" s="271">
        <v>43962</v>
      </c>
      <c r="M84" s="140"/>
      <c r="N84" s="140"/>
      <c r="O84" s="140">
        <f>STDEV('5.ΤΙΜΕΣ'!N70:N89)</f>
        <v>3.7433788871638125E-2</v>
      </c>
      <c r="P84" s="140">
        <f>AVERAGE('5.ΤΙΜΕΣ'!N70:N89)</f>
        <v>9.9225469361919078E-3</v>
      </c>
      <c r="Q84" s="334">
        <f>AVERAGE('5.ΤΙΜΕΣ'!AF19:AF39)</f>
        <v>124332.14285714286</v>
      </c>
      <c r="T84" s="416"/>
      <c r="U84" s="271">
        <v>43962</v>
      </c>
      <c r="V84" s="140"/>
      <c r="W84" s="140"/>
      <c r="X84" s="140">
        <f>STDEV('5.ΤΙΜΕΣ'!O70:O89)</f>
        <v>4.8474038214290416E-2</v>
      </c>
      <c r="Y84" s="140">
        <f>AVERAGE('5.ΤΙΜΕΣ'!O70:O89)</f>
        <v>-4.0484531266833622E-3</v>
      </c>
      <c r="Z84" s="334">
        <f>AVERAGE('5.ΤΙΜΕΣ'!AG19:AG39)</f>
        <v>4810068.0476190476</v>
      </c>
      <c r="AC84" s="416"/>
      <c r="AD84" s="271">
        <v>43962</v>
      </c>
      <c r="AE84" s="140"/>
      <c r="AF84" s="140"/>
      <c r="AG84" s="140">
        <f>STDEV('5.ΤΙΜΕΣ'!P70:P89)</f>
        <v>4.236883347282807E-2</v>
      </c>
      <c r="AH84" s="140">
        <f>AVERAGE('5.ΤΙΜΕΣ'!P70:P89)</f>
        <v>-1.0385223678603644E-3</v>
      </c>
      <c r="AI84" s="334">
        <f>AVERAGE('5.ΤΙΜΕΣ'!AH19:AH39)</f>
        <v>711690.42857142852</v>
      </c>
      <c r="AK84" s="416"/>
      <c r="AL84" s="271">
        <v>43962</v>
      </c>
      <c r="AM84" s="385" t="s">
        <v>286</v>
      </c>
      <c r="AN84" s="140"/>
      <c r="AO84" s="140">
        <f>STDEV('5.ΤΙΜΕΣ'!Q70:Q89)</f>
        <v>1.7971210914262622E-2</v>
      </c>
      <c r="AP84" s="140">
        <f>AVERAGE('5.ΤΙΜΕΣ'!Q70:Q89)</f>
        <v>5.5542543486127591E-3</v>
      </c>
      <c r="AQ84" s="334">
        <f>AVERAGE('5.ΤΙΜΕΣ'!AI19:AI39)</f>
        <v>844496.09523809527</v>
      </c>
    </row>
    <row r="85" spans="2:43">
      <c r="B85" s="416"/>
      <c r="C85" s="271">
        <v>43963</v>
      </c>
      <c r="D85" s="140"/>
      <c r="E85" s="140"/>
      <c r="F85" s="140">
        <f>STDEV('5.ΤΙΜΕΣ'!M71:M90)</f>
        <v>1.7233147509737638E-2</v>
      </c>
      <c r="G85" s="140">
        <f>AVERAGE('5.ΤΙΜΕΣ'!M71:M90)</f>
        <v>-1.8643169843973752E-3</v>
      </c>
      <c r="H85" s="334">
        <f>AVERAGE('5.ΤΙΜΕΣ'!AE20:AE40)</f>
        <v>166304.57142857142</v>
      </c>
      <c r="K85" s="416"/>
      <c r="L85" s="271">
        <v>43963</v>
      </c>
      <c r="M85" s="140"/>
      <c r="N85" s="140"/>
      <c r="O85" s="140">
        <f>STDEV('5.ΤΙΜΕΣ'!N71:N90)</f>
        <v>2.5054635194470459E-2</v>
      </c>
      <c r="P85" s="140">
        <f>AVERAGE('5.ΤΙΜΕΣ'!N71:N90)</f>
        <v>3.1178930521687433E-3</v>
      </c>
      <c r="Q85" s="334">
        <f>AVERAGE('5.ΤΙΜΕΣ'!AF20:AF40)</f>
        <v>134427.71428571429</v>
      </c>
      <c r="T85" s="416"/>
      <c r="U85" s="271">
        <v>43963</v>
      </c>
      <c r="V85" s="140"/>
      <c r="W85" s="140"/>
      <c r="X85" s="140">
        <f>STDEV('5.ΤΙΜΕΣ'!O71:O90)</f>
        <v>4.6596296556155416E-2</v>
      </c>
      <c r="Y85" s="140">
        <f>AVERAGE('5.ΤΙΜΕΣ'!O71:O90)</f>
        <v>-6.4515129871865542E-3</v>
      </c>
      <c r="Z85" s="334">
        <f>AVERAGE('5.ΤΙΜΕΣ'!AG20:AG40)</f>
        <v>4516987.2380952379</v>
      </c>
      <c r="AC85" s="416"/>
      <c r="AD85" s="271">
        <v>43963</v>
      </c>
      <c r="AE85" s="140"/>
      <c r="AF85" s="140"/>
      <c r="AG85" s="140">
        <f>STDEV('5.ΤΙΜΕΣ'!P71:P90)</f>
        <v>4.1723174601298159E-2</v>
      </c>
      <c r="AH85" s="140">
        <f>AVERAGE('5.ΤΙΜΕΣ'!P71:P90)</f>
        <v>-1.9633694344154276E-3</v>
      </c>
      <c r="AI85" s="334">
        <f>AVERAGE('5.ΤΙΜΕΣ'!AH20:AH40)</f>
        <v>699091.66666666663</v>
      </c>
      <c r="AK85" s="416"/>
      <c r="AL85" s="271">
        <v>43963</v>
      </c>
      <c r="AM85" s="385" t="s">
        <v>287</v>
      </c>
      <c r="AN85" s="140"/>
      <c r="AO85" s="140">
        <f>STDEV('5.ΤΙΜΕΣ'!Q71:Q90)</f>
        <v>1.7172537546663112E-2</v>
      </c>
      <c r="AP85" s="140">
        <f>AVERAGE('5.ΤΙΜΕΣ'!Q71:Q90)</f>
        <v>3.9871675643762703E-3</v>
      </c>
      <c r="AQ85" s="334">
        <f>AVERAGE('5.ΤΙΜΕΣ'!AI20:AI40)</f>
        <v>831132.85714285716</v>
      </c>
    </row>
    <row r="86" spans="2:43">
      <c r="B86" s="416"/>
      <c r="C86" s="271">
        <v>43964</v>
      </c>
      <c r="D86" s="140"/>
      <c r="E86" s="140"/>
      <c r="F86" s="140">
        <f>STDEV('5.ΤΙΜΕΣ'!M72:M91)</f>
        <v>1.7124640300960777E-2</v>
      </c>
      <c r="G86" s="140">
        <f>AVERAGE('5.ΤΙΜΕΣ'!M72:M91)</f>
        <v>-1.6394911411495468E-3</v>
      </c>
      <c r="H86" s="334">
        <f>AVERAGE('5.ΤΙΜΕΣ'!AE21:AE41)</f>
        <v>148884.47619047618</v>
      </c>
      <c r="K86" s="416"/>
      <c r="L86" s="271">
        <v>43964</v>
      </c>
      <c r="M86" s="140"/>
      <c r="N86" s="140"/>
      <c r="O86" s="140">
        <f>STDEV('5.ΤΙΜΕΣ'!N72:N91)</f>
        <v>2.2903521312191592E-2</v>
      </c>
      <c r="P86" s="140">
        <f>AVERAGE('5.ΤΙΜΕΣ'!N72:N91)</f>
        <v>4.4324306383207949E-3</v>
      </c>
      <c r="Q86" s="334">
        <f>AVERAGE('5.ΤΙΜΕΣ'!AF21:AF41)</f>
        <v>125992.28571428571</v>
      </c>
      <c r="T86" s="416"/>
      <c r="U86" s="271">
        <v>43964</v>
      </c>
      <c r="V86" s="140"/>
      <c r="W86" s="140"/>
      <c r="X86" s="140">
        <f>STDEV('5.ΤΙΜΕΣ'!O72:O91)</f>
        <v>4.9652647814618742E-2</v>
      </c>
      <c r="Y86" s="140">
        <f>AVERAGE('5.ΤΙΜΕΣ'!O72:O91)</f>
        <v>-1.4384103622589054E-2</v>
      </c>
      <c r="Z86" s="334">
        <f>AVERAGE('5.ΤΙΜΕΣ'!AG21:AG41)</f>
        <v>4616090.2857142854</v>
      </c>
      <c r="AC86" s="416"/>
      <c r="AD86" s="271">
        <v>43964</v>
      </c>
      <c r="AE86" s="140"/>
      <c r="AF86" s="140"/>
      <c r="AG86" s="140">
        <f>STDEV('5.ΤΙΜΕΣ'!P72:P91)</f>
        <v>4.2175207276201519E-2</v>
      </c>
      <c r="AH86" s="140">
        <f>AVERAGE('5.ΤΙΜΕΣ'!P72:P91)</f>
        <v>-3.3829324236907625E-3</v>
      </c>
      <c r="AI86" s="334">
        <f>AVERAGE('5.ΤΙΜΕΣ'!AH21:AH41)</f>
        <v>744602.71428571432</v>
      </c>
      <c r="AK86" s="416"/>
      <c r="AL86" s="271">
        <v>43964</v>
      </c>
      <c r="AM86" s="385" t="s">
        <v>287</v>
      </c>
      <c r="AN86" s="140"/>
      <c r="AO86" s="140">
        <f>STDEV('5.ΤΙΜΕΣ'!Q72:Q91)</f>
        <v>1.6587670562589842E-2</v>
      </c>
      <c r="AP86" s="140">
        <f>AVERAGE('5.ΤΙΜΕΣ'!Q72:Q91)</f>
        <v>3.1317785495742351E-3</v>
      </c>
      <c r="AQ86" s="334">
        <f>AVERAGE('5.ΤΙΜΕΣ'!AI21:AI41)</f>
        <v>798828.23809523811</v>
      </c>
    </row>
    <row r="87" spans="2:43">
      <c r="B87" s="416"/>
      <c r="C87" s="271">
        <v>43965</v>
      </c>
      <c r="D87" s="140"/>
      <c r="E87" s="140"/>
      <c r="F87" s="140">
        <f>STDEV('5.ΤΙΜΕΣ'!M73:M92)</f>
        <v>1.5973616516187904E-2</v>
      </c>
      <c r="G87" s="140">
        <f>AVERAGE('5.ΤΙΜΕΣ'!M73:M92)</f>
        <v>-2.4630591680280186E-4</v>
      </c>
      <c r="H87" s="334">
        <f>AVERAGE('5.ΤΙΜΕΣ'!AE22:AE42)</f>
        <v>148759.23809523811</v>
      </c>
      <c r="K87" s="416"/>
      <c r="L87" s="271">
        <v>43965</v>
      </c>
      <c r="M87" s="140"/>
      <c r="N87" s="140"/>
      <c r="O87" s="140">
        <f>STDEV('5.ΤΙΜΕΣ'!N73:N92)</f>
        <v>2.5341710506136771E-2</v>
      </c>
      <c r="P87" s="140">
        <f>AVERAGE('5.ΤΙΜΕΣ'!N73:N92)</f>
        <v>2.4798470569686103E-3</v>
      </c>
      <c r="Q87" s="334">
        <f>AVERAGE('5.ΤΙΜΕΣ'!AF22:AF42)</f>
        <v>134772.76190476189</v>
      </c>
      <c r="T87" s="416"/>
      <c r="U87" s="271">
        <v>43965</v>
      </c>
      <c r="V87" s="140"/>
      <c r="W87" s="140"/>
      <c r="X87" s="140">
        <f>STDEV('5.ΤΙΜΕΣ'!O73:O92)</f>
        <v>5.0469897679568596E-2</v>
      </c>
      <c r="Y87" s="140">
        <f>AVERAGE('5.ΤΙΜΕΣ'!O73:O92)</f>
        <v>-1.7300882473237231E-2</v>
      </c>
      <c r="Z87" s="334">
        <f>AVERAGE('5.ΤΙΜΕΣ'!AG22:AG42)</f>
        <v>4298002.2857142854</v>
      </c>
      <c r="AC87" s="416"/>
      <c r="AD87" s="271">
        <v>43965</v>
      </c>
      <c r="AE87" s="140"/>
      <c r="AF87" s="140"/>
      <c r="AG87" s="140">
        <f>STDEV('5.ΤΙΜΕΣ'!P73:P92)</f>
        <v>4.1862678706075469E-2</v>
      </c>
      <c r="AH87" s="140">
        <f>AVERAGE('5.ΤΙΜΕΣ'!P73:P92)</f>
        <v>-2.7167175481664961E-3</v>
      </c>
      <c r="AI87" s="334">
        <f>AVERAGE('5.ΤΙΜΕΣ'!AH22:AH42)</f>
        <v>762853.09523809527</v>
      </c>
      <c r="AK87" s="416"/>
      <c r="AL87" s="271">
        <v>43965</v>
      </c>
      <c r="AM87" s="385" t="s">
        <v>286</v>
      </c>
      <c r="AN87" s="140"/>
      <c r="AO87" s="140">
        <f>STDEV('5.ΤΙΜΕΣ'!Q73:Q92)</f>
        <v>1.6933150863725082E-2</v>
      </c>
      <c r="AP87" s="140">
        <f>AVERAGE('5.ΤΙΜΕΣ'!Q73:Q92)</f>
        <v>4.0752027647933719E-3</v>
      </c>
      <c r="AQ87" s="334">
        <f>AVERAGE('5.ΤΙΜΕΣ'!AI22:AI42)</f>
        <v>784541.80952380947</v>
      </c>
    </row>
    <row r="88" spans="2:43">
      <c r="B88" s="416"/>
      <c r="C88" s="271">
        <v>43966</v>
      </c>
      <c r="D88" s="140"/>
      <c r="E88" s="140"/>
      <c r="F88" s="140">
        <f>STDEV('5.ΤΙΜΕΣ'!M74:M93)</f>
        <v>1.5375177744328526E-2</v>
      </c>
      <c r="G88" s="140">
        <f>AVERAGE('5.ΤΙΜΕΣ'!M74:M93)</f>
        <v>-9.1187937748904977E-4</v>
      </c>
      <c r="H88" s="334">
        <f>AVERAGE('5.ΤΙΜΕΣ'!AE23:AE43)</f>
        <v>151403.57142857142</v>
      </c>
      <c r="K88" s="416"/>
      <c r="L88" s="271">
        <v>43966</v>
      </c>
      <c r="M88" s="140"/>
      <c r="N88" s="140"/>
      <c r="O88" s="140">
        <f>STDEV('5.ΤΙΜΕΣ'!N74:N93)</f>
        <v>2.6662828046584278E-2</v>
      </c>
      <c r="P88" s="140">
        <f>AVERAGE('5.ΤΙΜΕΣ'!N74:N93)</f>
        <v>4.1746981088875675E-3</v>
      </c>
      <c r="Q88" s="334">
        <f>AVERAGE('5.ΤΙΜΕΣ'!AF23:AF43)</f>
        <v>149761.28571428571</v>
      </c>
      <c r="T88" s="416"/>
      <c r="U88" s="271">
        <v>43966</v>
      </c>
      <c r="V88" s="140"/>
      <c r="W88" s="140"/>
      <c r="X88" s="140">
        <f>STDEV('5.ΤΙΜΕΣ'!O74:O93)</f>
        <v>5.0819488744733146E-2</v>
      </c>
      <c r="Y88" s="140">
        <f>AVERAGE('5.ΤΙΜΕΣ'!O74:O93)</f>
        <v>-1.6599116567418051E-2</v>
      </c>
      <c r="Z88" s="334">
        <f>AVERAGE('5.ΤΙΜΕΣ'!AG23:AG43)</f>
        <v>4431765.1904761903</v>
      </c>
      <c r="AC88" s="416"/>
      <c r="AD88" s="271">
        <v>43966</v>
      </c>
      <c r="AE88" s="140"/>
      <c r="AF88" s="140"/>
      <c r="AG88" s="140">
        <f>STDEV('5.ΤΙΜΕΣ'!P74:P93)</f>
        <v>4.0671709640018719E-2</v>
      </c>
      <c r="AH88" s="140">
        <f>AVERAGE('5.ΤΙΜΕΣ'!P74:P93)</f>
        <v>-5.3579192192021981E-3</v>
      </c>
      <c r="AI88" s="334">
        <f>AVERAGE('5.ΤΙΜΕΣ'!AH23:AH43)</f>
        <v>757120.23809523811</v>
      </c>
      <c r="AK88" s="416"/>
      <c r="AL88" s="271">
        <v>43966</v>
      </c>
      <c r="AM88" s="385" t="s">
        <v>286</v>
      </c>
      <c r="AN88" s="140"/>
      <c r="AO88" s="140">
        <f>STDEV('5.ΤΙΜΕΣ'!Q74:Q93)</f>
        <v>1.5019189690116504E-2</v>
      </c>
      <c r="AP88" s="140">
        <f>AVERAGE('5.ΤΙΜΕΣ'!Q74:Q93)</f>
        <v>2.2676917372355014E-3</v>
      </c>
      <c r="AQ88" s="334">
        <f>AVERAGE('5.ΤΙΜΕΣ'!AI23:AI43)</f>
        <v>775193.76190476189</v>
      </c>
    </row>
    <row r="89" spans="2:43">
      <c r="B89" s="416"/>
      <c r="C89" s="271">
        <v>43969</v>
      </c>
      <c r="D89" s="140"/>
      <c r="E89" s="140"/>
      <c r="F89" s="140">
        <f>STDEV('5.ΤΙΜΕΣ'!M75:M94)</f>
        <v>1.5613753480111488E-2</v>
      </c>
      <c r="G89" s="140">
        <f>AVERAGE('5.ΤΙΜΕΣ'!M75:M94)</f>
        <v>1.3350307651522303E-3</v>
      </c>
      <c r="H89" s="334">
        <f>AVERAGE('5.ΤΙΜΕΣ'!AE24:AE44)</f>
        <v>150452.19047619047</v>
      </c>
      <c r="K89" s="416"/>
      <c r="L89" s="271">
        <v>43969</v>
      </c>
      <c r="M89" s="140"/>
      <c r="N89" s="140"/>
      <c r="O89" s="140">
        <f>STDEV('5.ΤΙΜΕΣ'!N75:N94)</f>
        <v>2.6290076306547255E-2</v>
      </c>
      <c r="P89" s="140">
        <f>AVERAGE('5.ΤΙΜΕΣ'!N75:N94)</f>
        <v>5.7938228692900962E-3</v>
      </c>
      <c r="Q89" s="334">
        <f>AVERAGE('5.ΤΙΜΕΣ'!AF24:AF44)</f>
        <v>147687</v>
      </c>
      <c r="T89" s="416"/>
      <c r="U89" s="271">
        <v>43969</v>
      </c>
      <c r="V89" s="385" t="s">
        <v>284</v>
      </c>
      <c r="W89" s="140"/>
      <c r="X89" s="140">
        <f>STDEV('5.ΤΙΜΕΣ'!O75:O94)</f>
        <v>5.666303132250608E-2</v>
      </c>
      <c r="Y89" s="140">
        <f>AVERAGE('5.ΤΙΜΕΣ'!O75:O94)</f>
        <v>-7.9302515088319307E-3</v>
      </c>
      <c r="Z89" s="334">
        <f>AVERAGE('5.ΤΙΜΕΣ'!AG24:AG44)</f>
        <v>4417112.9047619049</v>
      </c>
      <c r="AC89" s="416"/>
      <c r="AD89" s="271">
        <v>43969</v>
      </c>
      <c r="AE89" s="140"/>
      <c r="AF89" s="140"/>
      <c r="AG89" s="140">
        <f>STDEV('5.ΤΙΜΕΣ'!P75:P94)</f>
        <v>4.1087870905110069E-2</v>
      </c>
      <c r="AH89" s="140">
        <f>AVERAGE('5.ΤΙΜΕΣ'!P75:P94)</f>
        <v>-4.6112848432660527E-3</v>
      </c>
      <c r="AI89" s="334">
        <f>AVERAGE('5.ΤΙΜΕΣ'!AH24:AH44)</f>
        <v>764968</v>
      </c>
      <c r="AK89" s="416"/>
      <c r="AL89" s="271">
        <v>43969</v>
      </c>
      <c r="AM89" s="385" t="s">
        <v>286</v>
      </c>
      <c r="AN89" s="140"/>
      <c r="AO89" s="140">
        <f>STDEV('5.ΤΙΜΕΣ'!Q75:Q94)</f>
        <v>1.417985770621907E-2</v>
      </c>
      <c r="AP89" s="140">
        <f>AVERAGE('5.ΤΙΜΕΣ'!Q75:Q94)</f>
        <v>4.011725869943859E-3</v>
      </c>
      <c r="AQ89" s="334">
        <f>AVERAGE('5.ΤΙΜΕΣ'!AI24:AI44)</f>
        <v>751564.42857142852</v>
      </c>
    </row>
    <row r="90" spans="2:43">
      <c r="B90" s="416"/>
      <c r="C90" s="271">
        <v>43970</v>
      </c>
      <c r="D90" s="140"/>
      <c r="E90" s="140"/>
      <c r="F90" s="140">
        <f>STDEV('5.ΤΙΜΕΣ'!M76:M95)</f>
        <v>1.4329169326955001E-2</v>
      </c>
      <c r="G90" s="140">
        <f>AVERAGE('5.ΤΙΜΕΣ'!M76:M95)</f>
        <v>-2.3980861317465086E-4</v>
      </c>
      <c r="H90" s="334">
        <f>AVERAGE('5.ΤΙΜΕΣ'!AE25:AE45)</f>
        <v>151093.42857142858</v>
      </c>
      <c r="K90" s="416"/>
      <c r="L90" s="271">
        <v>43970</v>
      </c>
      <c r="M90" s="140"/>
      <c r="N90" s="140"/>
      <c r="O90" s="140">
        <f>STDEV('5.ΤΙΜΕΣ'!N76:N95)</f>
        <v>2.6617126810064534E-2</v>
      </c>
      <c r="P90" s="140">
        <f>AVERAGE('5.ΤΙΜΕΣ'!N76:N95)</f>
        <v>4.8687082012588128E-3</v>
      </c>
      <c r="Q90" s="334">
        <f>AVERAGE('5.ΤΙΜΕΣ'!AF25:AF45)</f>
        <v>147917.76190476189</v>
      </c>
      <c r="T90" s="416"/>
      <c r="U90" s="271">
        <v>43970</v>
      </c>
      <c r="V90" s="140"/>
      <c r="W90" s="140"/>
      <c r="X90" s="140">
        <f>STDEV('5.ΤΙΜΕΣ'!O76:O95)</f>
        <v>5.7190912137720408E-2</v>
      </c>
      <c r="Y90" s="140">
        <f>AVERAGE('5.ΤΙΜΕΣ'!O76:O95)</f>
        <v>-9.0888373051094817E-3</v>
      </c>
      <c r="Z90" s="334">
        <f>AVERAGE('5.ΤΙΜΕΣ'!AG25:AG45)</f>
        <v>4881936.5714285718</v>
      </c>
      <c r="AC90" s="416"/>
      <c r="AD90" s="271">
        <v>43970</v>
      </c>
      <c r="AE90" s="140"/>
      <c r="AF90" s="140"/>
      <c r="AG90" s="140">
        <f>STDEV('5.ΤΙΜΕΣ'!P76:P95)</f>
        <v>4.022232005540171E-2</v>
      </c>
      <c r="AH90" s="140">
        <f>AVERAGE('5.ΤΙΜΕΣ'!P76:P95)</f>
        <v>-7.3767720354269749E-3</v>
      </c>
      <c r="AI90" s="334">
        <f>AVERAGE('5.ΤΙΜΕΣ'!AH25:AH45)</f>
        <v>742028.04761904757</v>
      </c>
      <c r="AK90" s="416"/>
      <c r="AL90" s="271">
        <v>43970</v>
      </c>
      <c r="AM90" s="385" t="s">
        <v>286</v>
      </c>
      <c r="AN90" s="140"/>
      <c r="AO90" s="140">
        <f>STDEV('5.ΤΙΜΕΣ'!Q76:Q95)</f>
        <v>1.3458745474550664E-2</v>
      </c>
      <c r="AP90" s="140">
        <f>AVERAGE('5.ΤΙΜΕΣ'!Q76:Q95)</f>
        <v>3.3522251314498201E-3</v>
      </c>
      <c r="AQ90" s="334">
        <f>AVERAGE('5.ΤΙΜΕΣ'!AI25:AI45)</f>
        <v>742315.23809523811</v>
      </c>
    </row>
    <row r="91" spans="2:43">
      <c r="B91" s="416"/>
      <c r="C91" s="272">
        <v>43971</v>
      </c>
      <c r="D91" s="184"/>
      <c r="E91" s="184"/>
      <c r="F91" s="184">
        <f>STDEV('5.ΤΙΜΕΣ'!M77:M96)</f>
        <v>1.4457045531558216E-2</v>
      </c>
      <c r="G91" s="351">
        <f>AVERAGE('5.ΤΙΜΕΣ'!M77:M96)</f>
        <v>-8.0664641632921536E-18</v>
      </c>
      <c r="H91" s="350">
        <f>AVERAGE('5.ΤΙΜΕΣ'!AE26:AE46)</f>
        <v>156352.09523809524</v>
      </c>
      <c r="K91" s="416"/>
      <c r="L91" s="272">
        <v>43971</v>
      </c>
      <c r="M91" s="184"/>
      <c r="N91" s="184"/>
      <c r="O91" s="184">
        <f>STDEV('5.ΤΙΜΕΣ'!N77:N96)</f>
        <v>2.6034745730987831E-2</v>
      </c>
      <c r="P91" s="184">
        <f>AVERAGE('5.ΤΙΜΕΣ'!N77:N96)</f>
        <v>5.7440137999210956E-3</v>
      </c>
      <c r="Q91" s="350">
        <f>AVERAGE('5.ΤΙΜΕΣ'!AF26:AF46)</f>
        <v>149354.23809523811</v>
      </c>
      <c r="T91" s="416"/>
      <c r="U91" s="272">
        <v>43971</v>
      </c>
      <c r="V91" s="184"/>
      <c r="W91" s="184"/>
      <c r="X91" s="184">
        <f>STDEV('5.ΤΙΜΕΣ'!O77:O96)</f>
        <v>5.2469864137124782E-2</v>
      </c>
      <c r="Y91" s="184">
        <f>AVERAGE('5.ΤΙΜΕΣ'!O77:O96)</f>
        <v>-3.4496435743475795E-3</v>
      </c>
      <c r="Z91" s="350">
        <f>AVERAGE('5.ΤΙΜΕΣ'!AG26:AG46)</f>
        <v>5131693.4285714282</v>
      </c>
      <c r="AC91" s="416"/>
      <c r="AD91" s="272">
        <v>43971</v>
      </c>
      <c r="AE91" s="184"/>
      <c r="AF91" s="184"/>
      <c r="AG91" s="184">
        <f>STDEV('5.ΤΙΜΕΣ'!P77:P96)</f>
        <v>3.9985626422968379E-2</v>
      </c>
      <c r="AH91" s="184">
        <f>AVERAGE('5.ΤΙΜΕΣ'!P77:P96)</f>
        <v>-6.6765696312261593E-3</v>
      </c>
      <c r="AI91" s="350">
        <f>AVERAGE('5.ΤΙΜΕΣ'!AH26:AH46)</f>
        <v>771505.57142857148</v>
      </c>
      <c r="AK91" s="416"/>
      <c r="AL91" s="272">
        <v>43971</v>
      </c>
      <c r="AM91" s="385" t="s">
        <v>286</v>
      </c>
      <c r="AN91" s="184"/>
      <c r="AO91" s="184">
        <f>STDEV('5.ΤΙΜΕΣ'!Q77:Q96)</f>
        <v>1.5571659862435526E-2</v>
      </c>
      <c r="AP91" s="184">
        <f>AVERAGE('5.ΤΙΜΕΣ'!Q77:Q96)</f>
        <v>6.4905805760995059E-3</v>
      </c>
      <c r="AQ91" s="350">
        <f>AVERAGE('5.ΤΙΜΕΣ'!AI26:AI46)</f>
        <v>776877.09523809527</v>
      </c>
    </row>
    <row r="92" spans="2:43">
      <c r="B92" s="416"/>
      <c r="C92" s="225"/>
      <c r="D92" s="140"/>
      <c r="E92" s="140"/>
      <c r="F92" s="140"/>
      <c r="G92" s="140"/>
      <c r="H92" s="334"/>
      <c r="K92" s="416"/>
      <c r="L92" s="225"/>
      <c r="M92" s="140"/>
      <c r="N92" s="140"/>
      <c r="O92" s="140"/>
      <c r="P92" s="140"/>
      <c r="Q92" s="334"/>
      <c r="T92" s="416"/>
      <c r="U92" s="225"/>
      <c r="V92" s="140"/>
      <c r="W92" s="140"/>
      <c r="X92" s="140"/>
      <c r="Y92" s="140"/>
      <c r="Z92" s="334"/>
      <c r="AC92" s="416"/>
      <c r="AD92" s="225"/>
      <c r="AE92" s="140"/>
      <c r="AF92" s="140"/>
      <c r="AG92" s="140"/>
      <c r="AH92" s="140"/>
      <c r="AI92" s="334"/>
      <c r="AK92" s="416"/>
      <c r="AL92" s="225"/>
      <c r="AM92" s="140"/>
      <c r="AN92" s="140"/>
      <c r="AO92" s="140"/>
      <c r="AP92" s="140"/>
      <c r="AQ92" s="334"/>
    </row>
    <row r="93" spans="2:43">
      <c r="B93" s="416"/>
      <c r="C93" s="225"/>
      <c r="D93" s="140"/>
      <c r="E93" s="140"/>
      <c r="F93" s="140"/>
      <c r="G93" s="140"/>
      <c r="H93" s="334"/>
      <c r="K93" s="416"/>
      <c r="L93" s="225"/>
      <c r="M93" s="140"/>
      <c r="N93" s="140"/>
      <c r="O93" s="140"/>
      <c r="P93" s="140"/>
      <c r="Q93" s="334"/>
      <c r="T93" s="416"/>
      <c r="U93" s="225"/>
      <c r="V93" s="140"/>
      <c r="W93" s="140"/>
      <c r="X93" s="140"/>
      <c r="Y93" s="140"/>
      <c r="Z93" s="334"/>
      <c r="AC93" s="416"/>
      <c r="AD93" s="225"/>
      <c r="AE93" s="140"/>
      <c r="AF93" s="140"/>
      <c r="AG93" s="140"/>
      <c r="AH93" s="140"/>
      <c r="AI93" s="334"/>
      <c r="AK93" s="416"/>
      <c r="AL93" s="225"/>
      <c r="AM93" s="140"/>
      <c r="AN93" s="140"/>
      <c r="AO93" s="140"/>
      <c r="AP93" s="140"/>
      <c r="AQ93" s="334"/>
    </row>
    <row r="94" spans="2:43">
      <c r="B94" s="417"/>
      <c r="C94" s="226"/>
      <c r="D94" s="184"/>
      <c r="E94" s="184"/>
      <c r="F94" s="184"/>
      <c r="G94" s="184"/>
      <c r="H94" s="350"/>
      <c r="K94" s="417"/>
      <c r="L94" s="226"/>
      <c r="M94" s="184"/>
      <c r="N94" s="184"/>
      <c r="O94" s="184"/>
      <c r="P94" s="184"/>
      <c r="Q94" s="350"/>
      <c r="T94" s="417"/>
      <c r="U94" s="226"/>
      <c r="V94" s="184"/>
      <c r="W94" s="184"/>
      <c r="X94" s="184"/>
      <c r="Y94" s="184"/>
      <c r="Z94" s="350"/>
      <c r="AC94" s="417"/>
      <c r="AD94" s="226"/>
      <c r="AE94" s="184"/>
      <c r="AF94" s="184"/>
      <c r="AG94" s="184"/>
      <c r="AH94" s="184"/>
      <c r="AI94" s="350"/>
      <c r="AK94" s="417"/>
      <c r="AL94" s="226"/>
      <c r="AM94" s="184"/>
      <c r="AN94" s="184"/>
      <c r="AO94" s="184"/>
      <c r="AP94" s="184"/>
      <c r="AQ94" s="350"/>
    </row>
  </sheetData>
  <mergeCells count="15">
    <mergeCell ref="B3:B29"/>
    <mergeCell ref="AK3:AK29"/>
    <mergeCell ref="AC3:AC29"/>
    <mergeCell ref="T3:T29"/>
    <mergeCell ref="K3:K29"/>
    <mergeCell ref="B68:B94"/>
    <mergeCell ref="K36:K62"/>
    <mergeCell ref="AK36:AK62"/>
    <mergeCell ref="AK68:AK94"/>
    <mergeCell ref="AC68:AC94"/>
    <mergeCell ref="T68:T94"/>
    <mergeCell ref="K68:K94"/>
    <mergeCell ref="B36:B62"/>
    <mergeCell ref="AC36:AC62"/>
    <mergeCell ref="T36:T62"/>
  </mergeCells>
  <hyperlinks>
    <hyperlink ref="D19" r:id="rId1" display="https://www.naftemporiki.gr/finance/story/1597977/opap-ae-epanaleitourgia-katastimaton-opap" xr:uid="{C28EC169-4B87-45EB-A365-29906212BBE5}"/>
    <hyperlink ref="D6" r:id="rId2" display="https://www.naftemporiki.gr/finance/story/1591437/opap-ae-ependusi-sti-stoiximan" xr:uid="{CDD73736-AD09-41F9-BC35-16F66AA51B4D}"/>
    <hyperlink ref="M26" r:id="rId3" display="https://www.naftemporiki.gr/finance/story/1600710/ote-ae-agora-idion-metoxon" xr:uid="{36A1528F-9FAE-4792-BC04-47ABD6663878}"/>
    <hyperlink ref="M25" r:id="rId4" display="https://www.naftemporiki.gr/finance/story/1600379/ote-ae-agora-idion-metoxon" xr:uid="{139B414B-A901-4968-88DA-424253EA202D}"/>
    <hyperlink ref="M24" r:id="rId5" display="https://www.naftemporiki.gr/finance/story/1599991/ote-ae-agora-idion-metoxon" xr:uid="{DCE01F77-8699-4906-8EBF-B3770460D3C8}"/>
    <hyperlink ref="M22" r:id="rId6" display="https://www.naftemporiki.gr/finance/story/1598929/ote-ae-agora-idion-metoxon" xr:uid="{55A3D1FA-4617-4DD3-BBE1-18B61E80597D}"/>
    <hyperlink ref="M21" r:id="rId7" display="https://www.naftemporiki.gr/finance/story/1598574/ote-ae-agora-idion-metoxon" xr:uid="{D0CB1500-C0A1-42DF-9EAD-DC69115E7153}"/>
    <hyperlink ref="M20" r:id="rId8" display="https://www.naftemporiki.gr/finance/story/1598228/ote-ae-agora-idion-metoxon" xr:uid="{DF10EED3-2941-4D3C-AFBB-392E76CDB444}"/>
    <hyperlink ref="M19" r:id="rId9" display="https://www.naftemporiki.gr/finance/story/1597873/ote-ae-agora-idion-metoxon" xr:uid="{58514F7F-114C-4D1F-B74F-ACF7C74B630B}"/>
    <hyperlink ref="M18" r:id="rId10" display="https://www.naftemporiki.gr/finance/story/1597144/ote-ae-agora-idion-metoxon" xr:uid="{0074DFC9-37ED-41D4-9EF7-D6D653379051}"/>
    <hyperlink ref="M17" r:id="rId11" display="https://www.naftemporiki.gr/finance/story/1596712/ote-ae-agora-idion-metoxon" xr:uid="{816CEAF2-0747-4569-B638-600DC19A8230}"/>
    <hyperlink ref="M16" r:id="rId12" display="https://www.naftemporiki.gr/finance/story/1596240/ote-ae-agora-idion-metoxon" xr:uid="{D7CB67E6-50AD-4903-874E-DA41E365A5C5}"/>
    <hyperlink ref="M15" r:id="rId13" display="https://www.naftemporiki.gr/finance/story/1595845/ote-ae-agora-idion-metoxon" xr:uid="{5349BFD7-D470-4025-ACCF-0E52672437F2}"/>
    <hyperlink ref="M14" r:id="rId14" display="https://www.naftemporiki.gr/finance/story/1595450/ote-ae-agora-idion-metoxon" xr:uid="{3A2EB38A-9828-464D-97CC-DC5F001BA9BD}"/>
    <hyperlink ref="M13" r:id="rId15" display="https://www.naftemporiki.gr/finance/story/1594565/ote-ae-agora-idion-metoxon" xr:uid="{E875FED8-CD05-4F5A-BF1D-E7FBC84A7428}"/>
    <hyperlink ref="M12" r:id="rId16" display="https://www.naftemporiki.gr/finance/story/1594185/ote-ae-agora-idion-metoxon" xr:uid="{579AC394-1F2C-4544-A32A-24CDA52BE9F6}"/>
    <hyperlink ref="M11" r:id="rId17" display="https://www.naftemporiki.gr/finance/story/1593805/ote-ae-agora-idion-metoxon" xr:uid="{01DB6F20-8119-4F5F-B58C-8944C07CFC3F}"/>
    <hyperlink ref="M10" r:id="rId18" display="https://www.naftemporiki.gr/finance/story/1593396/ote-ae-agora-idion-metoxon" xr:uid="{6570DB95-366D-4DBA-9908-D799DFA1166F}"/>
    <hyperlink ref="M9" r:id="rId19" display="https://www.naftemporiki.gr/finance/story/1592715/ote-ae-agora-idion-metoxon" xr:uid="{7FD8B426-43B1-4E21-8F5D-0551DF98DC97}"/>
    <hyperlink ref="M8" r:id="rId20" display="https://www.naftemporiki.gr/finance/story/1592272/ote-ae-agora-idion-metoxon" xr:uid="{F26F8851-41EA-49BF-AF3E-B2BBBE1DD33F}"/>
    <hyperlink ref="M7" r:id="rId21" display="https://www.naftemporiki.gr/finance/story/1591838/ote-ae-agora-idion-metoxon" xr:uid="{F5110001-CBD8-4728-9D06-083E846A6043}"/>
    <hyperlink ref="M6" r:id="rId22" display="https://www.naftemporiki.gr/finance/story/1591456/ote-ae-agora-idion-metoxon" xr:uid="{EA563BF3-8E3C-466F-8DEA-36C45BA916A2}"/>
    <hyperlink ref="M5" r:id="rId23" display="https://www.naftemporiki.gr/finance/story/1590452/ote-ae-agora-idion-metoxon" xr:uid="{C26D70A7-00AD-4A11-BB99-F68CCA826847}"/>
    <hyperlink ref="M4" r:id="rId24" display="https://www.naftemporiki.gr/finance/story/1589995/ote-ae-agora-idion-metoxon" xr:uid="{4BBC2978-46A3-4F0A-93B4-43036903741E}"/>
    <hyperlink ref="D56" r:id="rId25" display="https://www.naftemporiki.gr/finance/story/1599506/eydap-ae-apotelesmata-psifoforias-ektaktis-genikis-syneleysis" xr:uid="{74CDE40B-1345-40A4-A908-DCE41E135B61}"/>
    <hyperlink ref="D42" r:id="rId26" display="https://www.naftemporiki.gr/finance/story/1593034/eydap-ae-xroniki-epektasi-isxuousas-sumbasis" xr:uid="{77FD1E15-FEDE-42F9-BDF5-66362379C587}"/>
    <hyperlink ref="V59" r:id="rId27" display="https://www.naftemporiki.gr/finance/story/1600941/iaso-ae-anakoinosi-dianomis-meroys-kerdon-proigoymenon-oikonomikon-xriseon" xr:uid="{7F297597-BCCF-4F92-BECD-2973C9C06E1F}"/>
    <hyperlink ref="V57" r:id="rId28" display="https://www.naftemporiki.gr/finance/story/1600066/iaso-ae-anakoinosi-agoras-idion-metoxon" xr:uid="{7F905DF0-151C-42B5-B836-D063EA792ECF}"/>
    <hyperlink ref="V56" r:id="rId29" display="https://www.naftemporiki.gr/finance/story/1599455/iaso-ae-anakoinosi-agoras-idion-metoxon" xr:uid="{1F7C26A5-450D-41FA-AE95-E3498A620CC4}"/>
    <hyperlink ref="V54" r:id="rId30" display="https://www.naftemporiki.gr/finance/story/1598658/iaso-ae-anakoinosi-agoras-idion-metoxon" xr:uid="{D3E7B447-38E7-4A26-8A3F-8EF8FECCC25A}"/>
    <hyperlink ref="V52" r:id="rId31" display="https://www.naftemporiki.gr/finance/story/1597888/iaso-ae-anakoinosi-agoras-idion-metoxon" xr:uid="{0BAD1ED4-048F-4617-8C70-4AD3C3C1FAD2}"/>
    <hyperlink ref="V49" r:id="rId32" display="https://www.naftemporiki.gr/finance/story/1596276/iaso-ae-anakoinosi-agoras-idion-metoxon" xr:uid="{8184ADF5-BED3-411D-8FBD-CB0B2377B70D}"/>
    <hyperlink ref="V48" r:id="rId33" display="https://www.naftemporiki.gr/finance/story/1595898/iaso-ae-anakoinosi-agoras-idion-metoxon" xr:uid="{ADD97DB6-B41B-4081-9F0E-003433581C54}"/>
    <hyperlink ref="V47" r:id="rId34" display="https://www.naftemporiki.gr/finance/story/1595525/iaso-ae-anakoinosi-agoras-idion-metoxon" xr:uid="{AEE99BC5-5FC5-44B2-9439-CC2360C931A6}"/>
    <hyperlink ref="V46" r:id="rId35" display="https://www.naftemporiki.gr/finance/story/1594549/iaso-ae-anakoinosi-agoras-idion-metoxon" xr:uid="{FD822665-3BFD-4B2B-959B-14E449C120A1}"/>
    <hyperlink ref="V45" r:id="rId36" display="https://www.naftemporiki.gr/finance/story/1594233/iaso-ae-anakoinosi-agoras-idion-metoxon" xr:uid="{161341D5-21CA-4E4B-8EE8-97CD53AAECF7}"/>
    <hyperlink ref="V44" r:id="rId37" display="https://www.naftemporiki.gr/finance/story/1593904/iaso-ae-anakoinosi-agoras-idion-metoxon" xr:uid="{07B4BA68-47B5-4B45-AE61-D8CF3BAD1075}"/>
    <hyperlink ref="V43" r:id="rId38" display="https://www.naftemporiki.gr/finance/story/1593512/iaso-ae-anakoinosi-agoras-idion-metoxon" xr:uid="{ABAAC8E5-5131-4A3B-9AF3-B5A7BD5B30F6}"/>
    <hyperlink ref="V42" r:id="rId39" display="https://www.naftemporiki.gr/finance/story/1592656/iaso-ae-anakoinosi-agoras-idion-metoxon" xr:uid="{2FB2B478-6B46-4794-9BFC-E2EB9AF286F3}"/>
    <hyperlink ref="V41" r:id="rId40" display="https://www.naftemporiki.gr/finance/story/1592261/iaso-ae-anakoinosi-agoras-idion-metoxon" xr:uid="{E5D3DEB3-5016-4137-9385-3F3E18D3EE2B}"/>
    <hyperlink ref="V40" r:id="rId41" display="https://www.naftemporiki.gr/finance/story/1591945/iaso-ae-anakoinosi-agoras-idion-metoxon" xr:uid="{9B72DAB5-D550-43CE-9586-89D8D6C43841}"/>
    <hyperlink ref="V37" r:id="rId42" display="https://www.naftemporiki.gr/finance/story/1590005/iaso-ae-anakoinosi-agoras-idion-metoxon" xr:uid="{D0B52AA0-E1EE-488A-A395-AFC903EC0DF5}"/>
    <hyperlink ref="AM50" r:id="rId43" display="https://www.naftemporiki.gr/finance/story/1596943/gr-sarantis-abee-gnostopoiisi-apokopis-dikaiomatos-merismatos-pliromis-merismatos-promerismatos" xr:uid="{36390B48-713D-4144-BB99-0D218A612E18}"/>
    <hyperlink ref="D84" r:id="rId44" display="https://www.naftemporiki.gr/finance/story/1597984/olp-ae-ergo-epektasis-tou-epibatikou-limena-notia-zoni-fasi-a" xr:uid="{A5EDED6D-D6C6-447C-A3D0-846F751BEF1D}"/>
    <hyperlink ref="V89" r:id="rId45" display="https://www.naftemporiki.gr/finance/story/1600221/eurobank-ergasias-ypiresion-anakoinosi-kratous-melous-katagogis" xr:uid="{46FE857B-A91E-4D3D-803A-504D92F4DB55}"/>
    <hyperlink ref="AE81" r:id="rId46" display="https://www.naftemporiki.gr/finance/story/1596556/autohellas-atee-anakoinosi-se-sxesi-me-ta-dimosieumata-gia-tin-hertz-global-holdings" xr:uid="{1D254EF9-64C1-4148-A752-9E197881BE17}"/>
    <hyperlink ref="AM91" r:id="rId47" display="https://www.naftemporiki.gr/finance/story/1600717/terna-energeiaki-abete-agora-idion-metoxon" xr:uid="{DB1E0CB8-8F2F-4DBF-80AF-189C49211F36}"/>
    <hyperlink ref="AM90" r:id="rId48" display="https://www.naftemporiki.gr/finance/story/1600394/terna-energeiaki-abete-agora-idion-metoxon" xr:uid="{4D9B689E-AA66-4049-89C1-795A19637DC1}"/>
    <hyperlink ref="AM89" r:id="rId49" display="https://www.naftemporiki.gr/finance/story/1599969/terna-energeiaki-abete-agora-idion-metoxon" xr:uid="{3EB5D5F5-B206-42FC-AB1C-6382F010B06A}"/>
    <hyperlink ref="AM88" r:id="rId50" display="https://www.naftemporiki.gr/finance/story/1599340/terna-energeiaki-abete-agora-idion-metoxon" xr:uid="{051AD5E7-58DE-4ACC-B082-5FA74019AC5F}"/>
    <hyperlink ref="AM87" r:id="rId51" display="https://www.naftemporiki.gr/finance/story/1598931/terna-energeiaki-abete-agora-idion-metoxon" xr:uid="{F31D46D5-1096-4443-B7AD-705E1B34157A}"/>
    <hyperlink ref="AM86" r:id="rId52" display="https://www.naftemporiki.gr/finance/story/1598581/terna-energeiaki-abete-agora-idion-metoxon" xr:uid="{94BDDBB3-E45A-40CD-9455-A44F49888AB6}"/>
    <hyperlink ref="AM85" r:id="rId53" display="https://www.naftemporiki.gr/finance/story/1598222/terna-energeiaki-abete-agora-idion-metoxon" xr:uid="{332FC60E-9839-410B-B677-D380A983645B}"/>
    <hyperlink ref="AM84" r:id="rId54" display="https://www.naftemporiki.gr/finance/story/1597868/terna-energeiaki-abete-agora-idion-metoxon" xr:uid="{413E60A0-9202-49E6-9A34-309493DD820B}"/>
    <hyperlink ref="AM83" r:id="rId55" display="https://www.naftemporiki.gr/finance/story/1597140/terna-energeiaki-abete-agora-idion-metoxon" xr:uid="{CDEF08C6-8C3B-43B5-A24F-09D58EE31544}"/>
    <hyperlink ref="AM82" r:id="rId56" display="https://www.naftemporiki.gr/finance/story/1596713/terna-energeiaki-abete-agora-idion-metoxon" xr:uid="{2DC831D2-E582-4CF0-8C58-85107871209C}"/>
    <hyperlink ref="AM81" r:id="rId57" display="https://www.naftemporiki.gr/finance/story/1596242/terna-energeiaki-abete-agora-idion-metoxon" xr:uid="{7E2926B1-7F20-4805-AEA2-C1A4501F2154}"/>
    <hyperlink ref="AM80" r:id="rId58" display="https://www.naftemporiki.gr/finance/story/1595846/terna-energeiaki-abete-agora-idion-metoxon" xr:uid="{783BEDC4-3645-4449-993A-91EE81535C8A}"/>
    <hyperlink ref="AM79" r:id="rId59" display="https://www.naftemporiki.gr/finance/story/1595419/terna-energeiaki-abete-agora-idion-metoxon" xr:uid="{7003C7A8-C933-40D7-9B78-CBF76F25E2B4}"/>
    <hyperlink ref="AM78" r:id="rId60" display="https://www.naftemporiki.gr/finance/story/1594550/terna-energeiaki-abete-agora-idion-metoxon" xr:uid="{11FA171B-AD8D-4A8D-BFE7-C84D627F2735}"/>
    <hyperlink ref="AM77" r:id="rId61" display="https://www.naftemporiki.gr/finance/story/1594262/terna-energeiaki-abete-apofaseis-taktikis-genikis-suneleusis-ton-metoxon-tis-29042020" xr:uid="{9E40114F-9131-4F3C-817C-5BAC4757FDA6}"/>
    <hyperlink ref="AM76" r:id="rId62" display="https://www.naftemporiki.gr/finance/story/1594175/terna-energeiaki-abete-agora-idion-metoxon" xr:uid="{D31D1D32-786F-4086-9936-330BE3ACC7CF}"/>
    <hyperlink ref="AM75" r:id="rId63" display="https://www.naftemporiki.gr/finance/story/1594175/terna-energeiaki-abete-agora-idion-metoxon" xr:uid="{D221FB55-264B-42C4-9A70-597A2E390424}"/>
    <hyperlink ref="AM74" r:id="rId64" display="https://www.naftemporiki.gr/finance/story/1594175/terna-energeiaki-abete-agora-idion-metoxon" xr:uid="{29B2F77B-DBDF-4C63-B4B7-0C3A072D5EB2}"/>
    <hyperlink ref="AM73" r:id="rId65" display="https://www.naftemporiki.gr/finance/story/1594175/terna-energeiaki-abete-agora-idion-metoxon" xr:uid="{2111434D-1497-45BA-8E8C-EA4CDD0BE186}"/>
    <hyperlink ref="AM72" r:id="rId66" display="https://www.naftemporiki.gr/finance/story/1594175/terna-energeiaki-abete-agora-idion-metoxon" xr:uid="{05981FD2-44C9-4823-BB89-6F5F9FEAC5E6}"/>
    <hyperlink ref="AM71" r:id="rId67" display="https://www.naftemporiki.gr/finance/story/1594175/terna-energeiaki-abete-agora-idion-metoxon" xr:uid="{339690A8-0033-4A98-8BAE-EFA18A5184F3}"/>
    <hyperlink ref="AM70" r:id="rId68" display="https://www.naftemporiki.gr/finance/story/1594175/terna-energeiaki-abete-agora-idion-metoxon" xr:uid="{2A130CFF-AB1D-4626-AEAA-093AF8E2CAA5}"/>
    <hyperlink ref="AM69" r:id="rId69" display="https://www.naftemporiki.gr/finance/story/1594175/terna-energeiaki-abete-agora-idion-metoxon" xr:uid="{A4D2C3E5-FB09-48C3-80D9-BFF50766A433}"/>
    <hyperlink ref="AM26" r:id="rId70" display="https://www.naftemporiki.gr/finance/story/1600720/titan-cement-international-sa-gnostopoiisi-apofasis-gia-tin-agora-idion-metoxon" xr:uid="{331F9CBF-320F-4D42-9029-787890AC0B38}"/>
    <hyperlink ref="AM21" r:id="rId71" display="https://www.naftemporiki.gr/finance/story/1598864/titan-cement-international-sa-epistrofi-kefalaiou" xr:uid="{B33D2E98-9041-4820-9D56-6C83F70AF07F}"/>
    <hyperlink ref="AM20" r:id="rId72" display="https://www.naftemporiki.gr/finance/story/1598236/titan-cement-international-sa-programma-agoras-idion-metoxon" xr:uid="{79808CE1-239C-43AE-B1D6-78453E73E174}"/>
    <hyperlink ref="AM15" r:id="rId73" display="https://www.naftemporiki.gr/finance/story/1595853/titan-cement-international-sa-programma-agoras-idion-metoxon" xr:uid="{196A1EDC-7CAE-45BC-A283-FED823F67A55}"/>
    <hyperlink ref="AM3" r:id="rId74" display="https://www.naftemporiki.gr/finance/story/1589584/titan-cement-international-sa-programma-agoras-idion-metoxon" xr:uid="{0BE639B2-6CEE-484F-86CC-3B66F9590835}"/>
    <hyperlink ref="AM6" r:id="rId75" display="https://www.naftemporiki.gr/finance/story/1591451/titan-cement-international-sa-programma-agoras-idion-metoxon" xr:uid="{9F1CEB46-8E64-4AAE-B5EB-2E807166AA98}"/>
    <hyperlink ref="AM11" r:id="rId76" display="https://www.naftemporiki.gr/finance/story/1593782/titan-cement-international-sa-programma-agoras-idion-metoxon" xr:uid="{68BC790C-D3BD-4872-BCAB-C2C1463C127F}"/>
    <hyperlink ref="AE39" r:id="rId77" display="https://www.naftemporiki.gr/finance/story/1591643/coca-cola-hbc-ag-notification-of-transactions-by-persons-discharging-managerial-responsibilities" xr:uid="{FA4930FE-FF23-41BA-B040-64883AA85BCD}"/>
    <hyperlink ref="AE43" r:id="rId78" display="https://www.naftemporiki.gr/finance/story/1593690/coca-cola-hbc-ag-disclosure-of-rights-attached-to-equity-shares" xr:uid="{A1DDED12-DADF-4582-9030-2260E25FB86B}"/>
    <hyperlink ref="AE46" r:id="rId79" display="https://www.naftemporiki.gr/finance/story/1594873/coca-cola-hbc-ag-notification-of-transactions-by-persons-discharging-managerial-responsibilities" xr:uid="{F50C3A20-1B29-464C-A21A-3623DE8652BD}"/>
    <hyperlink ref="AE55" r:id="rId80" display="https://www.naftemporiki.gr/finance/story/1598930/coca-cola-hbc-ag-announcement-of-the-annual-general-meeting-to-be-held-on-16-June-2020-changes-to-the-board-and-confirmation-of-dividen" xr:uid="{15A89002-27CF-43BB-A041-E0858CA6C0F3}"/>
    <hyperlink ref="AE58" r:id="rId81" display="https://www.naftemporiki.gr/finance/story/1600523/coca-cola-hbc-ag-notification-of-transactions-by-persons-discharging-managerial-responsibilities" xr:uid="{D20784BA-C79D-40A1-AFBB-2466AE4F27EF}"/>
    <hyperlink ref="M39" r:id="rId82" display="https://www.naftemporiki.gr/finance/story/1591711/olth-ae-i-epidrasi-tou-covid-19-sti-diakinisi-tou-limaniou-tis-thessalonikis" xr:uid="{F3DCE09A-D61D-4207-9A16-60DEBAACAC74}"/>
    <hyperlink ref="M46" r:id="rId83" display="https://www.naftemporiki.gr/finance/story/1594843/olth-ae-anakoinosi-3042020-olth-ae" xr:uid="{18A200DF-5E1E-4C8B-BFDE-07C94C5EC554}"/>
  </hyperlinks>
  <pageMargins left="0.7" right="0.7" top="0.75" bottom="0.75" header="0.3" footer="0.3"/>
  <ignoredErrors>
    <ignoredError sqref="H3:H4 AQ36:AQ59 AI3:AI26 H68:H91 Q68:Q91 Z68:Z91 AI68:AI91 AQ68:AQ91 H5:H26 Q3:Q26 Z3:Z26 AQ3:AQ26 AI36:AI59 Z36:Z59 Q36:Q59 H36:H59"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5E51-92F3-4BC1-A6C1-92F510467954}">
  <sheetPr>
    <tabColor theme="3" tint="-0.249977111117893"/>
  </sheetPr>
  <dimension ref="B1:EO240"/>
  <sheetViews>
    <sheetView topLeftCell="BY3" zoomScale="88" zoomScaleNormal="88" workbookViewId="0">
      <selection activeCell="DC26" sqref="DC26"/>
    </sheetView>
  </sheetViews>
  <sheetFormatPr baseColWidth="10" defaultColWidth="8.83203125" defaultRowHeight="15"/>
  <cols>
    <col min="2" max="2" width="29.6640625" bestFit="1" customWidth="1"/>
    <col min="3" max="3" width="9.5" bestFit="1" customWidth="1"/>
    <col min="4" max="4" width="15" bestFit="1" customWidth="1"/>
    <col min="5" max="5" width="11.5" bestFit="1" customWidth="1"/>
    <col min="6" max="6" width="15.1640625" customWidth="1"/>
    <col min="8" max="8" width="12" customWidth="1"/>
    <col min="9" max="9" width="17.5" customWidth="1"/>
    <col min="10" max="10" width="13.83203125" bestFit="1" customWidth="1"/>
    <col min="11" max="11" width="15.83203125" customWidth="1"/>
    <col min="12" max="12" width="10.6640625" customWidth="1"/>
    <col min="15" max="15" width="16.83203125" customWidth="1"/>
    <col min="16" max="16" width="17.5" customWidth="1"/>
    <col min="17" max="17" width="10.1640625" bestFit="1" customWidth="1"/>
    <col min="18" max="18" width="10" customWidth="1"/>
    <col min="21" max="21" width="17.1640625" customWidth="1"/>
    <col min="22" max="22" width="12.83203125" customWidth="1"/>
    <col min="23" max="23" width="13.6640625" customWidth="1"/>
    <col min="27" max="27" width="16.83203125" customWidth="1"/>
    <col min="28" max="28" width="11.33203125" customWidth="1"/>
    <col min="29" max="29" width="11.5" customWidth="1"/>
    <col min="32" max="32" width="9.1640625" customWidth="1"/>
    <col min="33" max="33" width="14.33203125" customWidth="1"/>
    <col min="34" max="34" width="15" bestFit="1" customWidth="1"/>
    <col min="35" max="35" width="12.83203125" customWidth="1"/>
    <col min="39" max="39" width="14.5" customWidth="1"/>
    <col min="40" max="40" width="15" bestFit="1" customWidth="1"/>
    <col min="41" max="41" width="12.83203125" customWidth="1"/>
    <col min="45" max="45" width="22.83203125" bestFit="1" customWidth="1"/>
    <col min="46" max="46" width="15" bestFit="1" customWidth="1"/>
    <col min="47" max="47" width="10.83203125" customWidth="1"/>
    <col min="51" max="51" width="19.1640625" customWidth="1"/>
    <col min="52" max="52" width="13.5" customWidth="1"/>
    <col min="53" max="53" width="11.6640625" customWidth="1"/>
    <col min="57" max="57" width="19.33203125" customWidth="1"/>
    <col min="58" max="58" width="14.1640625" customWidth="1"/>
    <col min="59" max="59" width="12.6640625" customWidth="1"/>
    <col min="63" max="63" width="17.6640625" customWidth="1"/>
    <col min="64" max="64" width="14.6640625" customWidth="1"/>
    <col min="65" max="65" width="10.6640625" customWidth="1"/>
    <col min="69" max="69" width="17" customWidth="1"/>
    <col min="70" max="70" width="15.5" customWidth="1"/>
    <col min="71" max="71" width="10.1640625" customWidth="1"/>
    <col min="75" max="75" width="17.5" customWidth="1"/>
    <col min="76" max="76" width="15.1640625" customWidth="1"/>
    <col min="77" max="77" width="11" customWidth="1"/>
    <col min="81" max="81" width="17.1640625" customWidth="1"/>
    <col min="82" max="82" width="16.5" customWidth="1"/>
    <col min="83" max="83" width="11" customWidth="1"/>
    <col min="87" max="87" width="17.6640625" customWidth="1"/>
    <col min="88" max="88" width="15.83203125" customWidth="1"/>
    <col min="89" max="89" width="13.5" customWidth="1"/>
    <col min="92" max="92" width="17.33203125" customWidth="1"/>
    <col min="94" max="94" width="14.83203125" customWidth="1"/>
    <col min="95" max="95" width="12.5" customWidth="1"/>
    <col min="98" max="98" width="17.33203125" customWidth="1"/>
    <col min="100" max="100" width="15.33203125" customWidth="1"/>
    <col min="101" max="101" width="12.5" customWidth="1"/>
    <col min="104" max="104" width="17.33203125" customWidth="1"/>
    <col min="106" max="106" width="13.33203125" customWidth="1"/>
    <col min="107" max="107" width="11.6640625" customWidth="1"/>
    <col min="110" max="110" width="17.1640625" customWidth="1"/>
    <col min="112" max="112" width="15.33203125" customWidth="1"/>
    <col min="113" max="113" width="12.83203125" customWidth="1"/>
    <col min="116" max="116" width="17.6640625" customWidth="1"/>
    <col min="118" max="118" width="14.1640625" customWidth="1"/>
    <col min="119" max="119" width="11.1640625" customWidth="1"/>
    <col min="122" max="122" width="20.33203125" customWidth="1"/>
    <col min="123" max="123" width="9.5" customWidth="1"/>
    <col min="124" max="124" width="14.6640625" customWidth="1"/>
    <col min="125" max="125" width="11.5" customWidth="1"/>
    <col min="128" max="128" width="17.83203125" customWidth="1"/>
    <col min="130" max="130" width="14.1640625" customWidth="1"/>
    <col min="131" max="131" width="11.1640625" customWidth="1"/>
    <col min="134" max="134" width="17.1640625" customWidth="1"/>
    <col min="136" max="136" width="13.83203125" bestFit="1" customWidth="1"/>
    <col min="137" max="137" width="10.6640625" customWidth="1"/>
    <col min="140" max="140" width="16.1640625" customWidth="1"/>
    <col min="141" max="141" width="11.5" customWidth="1"/>
    <col min="142" max="142" width="15.6640625" customWidth="1"/>
    <col min="143" max="143" width="13.5" customWidth="1"/>
  </cols>
  <sheetData>
    <row r="1" spans="2:145">
      <c r="AE1" s="303"/>
    </row>
    <row r="2" spans="2:145" ht="16" thickBot="1">
      <c r="AE2" s="303"/>
    </row>
    <row r="3" spans="2:145" ht="16" thickBot="1">
      <c r="B3" s="227" t="s">
        <v>219</v>
      </c>
      <c r="C3" s="227"/>
      <c r="D3" s="227"/>
      <c r="E3" s="228" t="s">
        <v>198</v>
      </c>
      <c r="F3" s="229">
        <v>43935</v>
      </c>
      <c r="H3" s="258" t="s">
        <v>229</v>
      </c>
      <c r="I3" s="258"/>
      <c r="J3" s="259" t="s">
        <v>198</v>
      </c>
      <c r="K3" s="260">
        <v>43936</v>
      </c>
      <c r="N3" s="258" t="s">
        <v>229</v>
      </c>
      <c r="O3" s="258"/>
      <c r="P3" s="259" t="s">
        <v>198</v>
      </c>
      <c r="Q3" s="260">
        <v>43937</v>
      </c>
      <c r="T3" s="258" t="s">
        <v>229</v>
      </c>
      <c r="U3" s="258"/>
      <c r="V3" s="259" t="s">
        <v>198</v>
      </c>
      <c r="W3" s="260">
        <v>43942</v>
      </c>
      <c r="Z3" s="258" t="s">
        <v>229</v>
      </c>
      <c r="AA3" s="258"/>
      <c r="AB3" s="259" t="s">
        <v>198</v>
      </c>
      <c r="AC3" s="260">
        <v>43943</v>
      </c>
      <c r="AE3" s="303"/>
      <c r="AF3" s="258" t="s">
        <v>229</v>
      </c>
      <c r="AG3" s="258"/>
      <c r="AH3" s="259" t="s">
        <v>198</v>
      </c>
      <c r="AI3" s="260">
        <v>43944</v>
      </c>
      <c r="AL3" s="258" t="s">
        <v>229</v>
      </c>
      <c r="AM3" s="258"/>
      <c r="AN3" s="259" t="s">
        <v>198</v>
      </c>
      <c r="AO3" s="260">
        <v>43945</v>
      </c>
      <c r="AR3" s="258" t="s">
        <v>229</v>
      </c>
      <c r="AS3" s="258"/>
      <c r="AT3" s="259" t="s">
        <v>198</v>
      </c>
      <c r="AU3" s="260">
        <v>43948</v>
      </c>
      <c r="AX3" s="258" t="s">
        <v>229</v>
      </c>
      <c r="AY3" s="258"/>
      <c r="AZ3" s="259" t="s">
        <v>198</v>
      </c>
      <c r="BA3" s="260">
        <v>43949</v>
      </c>
      <c r="BD3" s="258" t="s">
        <v>229</v>
      </c>
      <c r="BE3" s="258"/>
      <c r="BF3" s="259" t="s">
        <v>198</v>
      </c>
      <c r="BG3" s="260">
        <v>43950</v>
      </c>
      <c r="BJ3" s="258" t="s">
        <v>229</v>
      </c>
      <c r="BK3" s="258"/>
      <c r="BL3" s="259" t="s">
        <v>198</v>
      </c>
      <c r="BM3" s="260">
        <v>43951</v>
      </c>
      <c r="BP3" s="258" t="s">
        <v>229</v>
      </c>
      <c r="BQ3" s="258"/>
      <c r="BR3" s="259" t="s">
        <v>198</v>
      </c>
      <c r="BS3" s="260">
        <v>43955</v>
      </c>
      <c r="BV3" s="258" t="s">
        <v>229</v>
      </c>
      <c r="BW3" s="258"/>
      <c r="BX3" s="259" t="s">
        <v>198</v>
      </c>
      <c r="BY3" s="260">
        <v>43956</v>
      </c>
      <c r="CB3" s="258" t="s">
        <v>229</v>
      </c>
      <c r="CC3" s="258"/>
      <c r="CD3" s="259" t="s">
        <v>198</v>
      </c>
      <c r="CE3" s="260">
        <v>43957</v>
      </c>
      <c r="CF3" s="162"/>
      <c r="CH3" s="258" t="s">
        <v>229</v>
      </c>
      <c r="CI3" s="258"/>
      <c r="CJ3" s="259" t="s">
        <v>198</v>
      </c>
      <c r="CK3" s="260">
        <v>43958</v>
      </c>
      <c r="CL3" s="162"/>
      <c r="CN3" s="258" t="s">
        <v>229</v>
      </c>
      <c r="CO3" s="258"/>
      <c r="CP3" s="259" t="s">
        <v>198</v>
      </c>
      <c r="CQ3" s="260">
        <v>43959</v>
      </c>
      <c r="CT3" s="258" t="s">
        <v>229</v>
      </c>
      <c r="CU3" s="258"/>
      <c r="CV3" s="259" t="s">
        <v>198</v>
      </c>
      <c r="CW3" s="260">
        <v>43962</v>
      </c>
      <c r="CZ3" s="258" t="s">
        <v>229</v>
      </c>
      <c r="DA3" s="258"/>
      <c r="DB3" s="259" t="s">
        <v>198</v>
      </c>
      <c r="DC3" s="260">
        <v>43963</v>
      </c>
      <c r="DD3" s="162"/>
      <c r="DF3" s="258" t="s">
        <v>229</v>
      </c>
      <c r="DG3" s="258"/>
      <c r="DH3" s="259" t="s">
        <v>198</v>
      </c>
      <c r="DI3" s="260">
        <v>43964</v>
      </c>
      <c r="DJ3" s="162"/>
      <c r="DL3" s="258" t="s">
        <v>229</v>
      </c>
      <c r="DM3" s="258"/>
      <c r="DN3" s="259" t="s">
        <v>198</v>
      </c>
      <c r="DO3" s="260">
        <v>43965</v>
      </c>
      <c r="DP3" s="162"/>
      <c r="DR3" s="258" t="s">
        <v>229</v>
      </c>
      <c r="DS3" s="258"/>
      <c r="DT3" s="259" t="s">
        <v>198</v>
      </c>
      <c r="DU3" s="260">
        <v>43966</v>
      </c>
      <c r="DX3" s="258" t="s">
        <v>229</v>
      </c>
      <c r="DY3" s="258"/>
      <c r="DZ3" s="259" t="s">
        <v>198</v>
      </c>
      <c r="EA3" s="260">
        <v>43969</v>
      </c>
      <c r="EB3" s="162"/>
      <c r="ED3" s="258" t="s">
        <v>229</v>
      </c>
      <c r="EE3" s="258"/>
      <c r="EF3" s="259" t="s">
        <v>198</v>
      </c>
      <c r="EG3" s="260">
        <v>43970</v>
      </c>
      <c r="EH3" s="162"/>
      <c r="EJ3" s="258" t="s">
        <v>229</v>
      </c>
      <c r="EK3" s="258"/>
      <c r="EL3" s="259" t="s">
        <v>198</v>
      </c>
      <c r="EM3" s="260">
        <v>43971</v>
      </c>
      <c r="EN3" s="162"/>
    </row>
    <row r="4" spans="2:145" ht="16" thickBot="1">
      <c r="H4" s="258" t="s">
        <v>230</v>
      </c>
      <c r="I4" s="258"/>
      <c r="J4" s="258"/>
      <c r="K4" s="261">
        <v>1</v>
      </c>
      <c r="N4" s="258" t="s">
        <v>230</v>
      </c>
      <c r="O4" s="258"/>
      <c r="P4" s="258"/>
      <c r="Q4" s="261">
        <v>2</v>
      </c>
      <c r="T4" s="258" t="s">
        <v>230</v>
      </c>
      <c r="U4" s="258"/>
      <c r="V4" s="258"/>
      <c r="W4" s="261">
        <v>3</v>
      </c>
      <c r="Z4" s="258" t="s">
        <v>230</v>
      </c>
      <c r="AA4" s="258"/>
      <c r="AB4" s="258"/>
      <c r="AC4" s="261">
        <v>4</v>
      </c>
      <c r="AE4" s="303"/>
      <c r="AF4" s="258" t="s">
        <v>230</v>
      </c>
      <c r="AG4" s="258"/>
      <c r="AH4" s="258"/>
      <c r="AI4" s="261">
        <v>5</v>
      </c>
      <c r="AL4" s="258" t="s">
        <v>230</v>
      </c>
      <c r="AM4" s="258"/>
      <c r="AN4" s="258"/>
      <c r="AO4" s="261">
        <v>6</v>
      </c>
      <c r="AR4" s="258" t="s">
        <v>230</v>
      </c>
      <c r="AS4" s="258"/>
      <c r="AT4" s="258"/>
      <c r="AU4" s="261">
        <v>7</v>
      </c>
      <c r="AX4" s="258" t="s">
        <v>230</v>
      </c>
      <c r="AY4" s="258"/>
      <c r="AZ4" s="258"/>
      <c r="BA4" s="261">
        <v>8</v>
      </c>
      <c r="BD4" s="258" t="s">
        <v>230</v>
      </c>
      <c r="BE4" s="258"/>
      <c r="BF4" s="258"/>
      <c r="BG4" s="261">
        <v>9</v>
      </c>
      <c r="BJ4" s="258" t="s">
        <v>230</v>
      </c>
      <c r="BK4" s="258"/>
      <c r="BL4" s="258"/>
      <c r="BM4" s="261">
        <v>10</v>
      </c>
      <c r="BP4" s="258" t="s">
        <v>230</v>
      </c>
      <c r="BQ4" s="258"/>
      <c r="BR4" s="258"/>
      <c r="BS4" s="261">
        <v>11</v>
      </c>
      <c r="BV4" s="258" t="s">
        <v>230</v>
      </c>
      <c r="BW4" s="258"/>
      <c r="BX4" s="258"/>
      <c r="BY4" s="261">
        <v>12</v>
      </c>
      <c r="CB4" s="258" t="s">
        <v>230</v>
      </c>
      <c r="CC4" s="258"/>
      <c r="CD4" s="258"/>
      <c r="CE4" s="261">
        <v>13</v>
      </c>
      <c r="CF4" s="162"/>
      <c r="CH4" s="258" t="s">
        <v>230</v>
      </c>
      <c r="CI4" s="258"/>
      <c r="CJ4" s="258"/>
      <c r="CK4" s="261">
        <v>14</v>
      </c>
      <c r="CL4" s="162"/>
      <c r="CN4" s="258" t="s">
        <v>230</v>
      </c>
      <c r="CO4" s="258"/>
      <c r="CP4" s="258"/>
      <c r="CQ4" s="261">
        <v>15</v>
      </c>
      <c r="CT4" s="258" t="s">
        <v>230</v>
      </c>
      <c r="CU4" s="258"/>
      <c r="CV4" s="258"/>
      <c r="CW4" s="261">
        <v>16</v>
      </c>
      <c r="CZ4" s="258" t="s">
        <v>230</v>
      </c>
      <c r="DA4" s="258"/>
      <c r="DB4" s="258"/>
      <c r="DC4" s="261">
        <v>17</v>
      </c>
      <c r="DD4" s="162"/>
      <c r="DF4" s="258" t="s">
        <v>230</v>
      </c>
      <c r="DG4" s="258"/>
      <c r="DH4" s="258"/>
      <c r="DI4" s="261">
        <v>18</v>
      </c>
      <c r="DJ4" s="162"/>
      <c r="DL4" s="258" t="s">
        <v>230</v>
      </c>
      <c r="DM4" s="258"/>
      <c r="DN4" s="258"/>
      <c r="DO4" s="261">
        <v>19</v>
      </c>
      <c r="DP4" s="162"/>
      <c r="DQ4" s="149"/>
      <c r="DR4" s="258" t="s">
        <v>230</v>
      </c>
      <c r="DS4" s="258"/>
      <c r="DT4" s="258"/>
      <c r="DU4" s="261">
        <v>20</v>
      </c>
      <c r="DV4" s="149"/>
      <c r="DW4" s="149"/>
      <c r="DX4" s="258" t="s">
        <v>230</v>
      </c>
      <c r="DY4" s="258"/>
      <c r="DZ4" s="258"/>
      <c r="EA4" s="261">
        <v>21</v>
      </c>
      <c r="EB4" s="149"/>
      <c r="EC4" s="155"/>
      <c r="ED4" s="258" t="s">
        <v>230</v>
      </c>
      <c r="EE4" s="258"/>
      <c r="EF4" s="258"/>
      <c r="EG4" s="261">
        <v>22</v>
      </c>
      <c r="EH4" s="149"/>
      <c r="EJ4" s="258" t="s">
        <v>230</v>
      </c>
      <c r="EK4" s="258"/>
      <c r="EL4" s="258"/>
      <c r="EM4" s="261">
        <v>23</v>
      </c>
      <c r="EN4" s="162"/>
    </row>
    <row r="5" spans="2:145" ht="16" thickTop="1">
      <c r="B5" s="230"/>
      <c r="C5" s="230"/>
      <c r="D5" s="230"/>
      <c r="E5" s="230"/>
      <c r="F5" s="230"/>
      <c r="N5" s="299"/>
      <c r="O5" s="296"/>
      <c r="P5" s="296"/>
      <c r="Q5" s="296"/>
      <c r="R5" s="140"/>
      <c r="T5" s="299"/>
      <c r="U5" s="296"/>
      <c r="V5" s="296"/>
      <c r="W5" s="296"/>
      <c r="X5" s="140"/>
      <c r="Z5" s="140"/>
      <c r="AA5" s="299"/>
      <c r="AB5" s="296"/>
      <c r="AC5" s="296"/>
      <c r="AD5" s="296"/>
      <c r="AE5" s="304"/>
      <c r="AF5" s="299"/>
      <c r="AG5" s="296"/>
      <c r="AH5" s="296"/>
      <c r="AI5" s="296"/>
      <c r="AJ5" s="140"/>
      <c r="AL5" s="312"/>
      <c r="AM5" s="308"/>
      <c r="AN5" s="308"/>
      <c r="AO5" s="308"/>
      <c r="AR5" s="299"/>
      <c r="AS5" s="296"/>
      <c r="AT5" s="296"/>
      <c r="AU5" s="296"/>
      <c r="AX5" s="274" t="s">
        <v>231</v>
      </c>
      <c r="AY5" s="275"/>
      <c r="AZ5" s="275"/>
      <c r="BA5" s="276"/>
      <c r="CB5" s="274" t="s">
        <v>231</v>
      </c>
      <c r="CC5" s="275"/>
      <c r="CD5" s="275"/>
      <c r="CE5" s="276"/>
      <c r="CF5" s="162"/>
      <c r="CH5" s="274" t="s">
        <v>231</v>
      </c>
      <c r="CI5" s="275"/>
      <c r="CJ5" s="275"/>
      <c r="CK5" s="276"/>
      <c r="CL5" s="162"/>
      <c r="CZ5" s="162"/>
      <c r="DA5" s="162"/>
      <c r="DB5" s="162"/>
      <c r="DC5" s="162"/>
      <c r="DD5" s="162"/>
      <c r="DF5" s="162"/>
      <c r="DG5" s="162"/>
      <c r="DH5" s="162"/>
      <c r="DI5" s="162"/>
      <c r="DJ5" s="162"/>
      <c r="DL5" s="274" t="s">
        <v>231</v>
      </c>
      <c r="DM5" s="275"/>
      <c r="DN5" s="275"/>
      <c r="DO5" s="276"/>
      <c r="DP5" s="162"/>
      <c r="DQ5" s="149"/>
      <c r="DR5" s="149"/>
      <c r="DS5" s="149"/>
      <c r="DT5" s="149"/>
      <c r="DU5" s="149"/>
      <c r="DV5" s="149"/>
      <c r="DW5" s="149"/>
      <c r="DX5" s="149"/>
      <c r="DY5" s="149"/>
      <c r="DZ5" s="149"/>
      <c r="EA5" s="149"/>
      <c r="EB5" s="149"/>
      <c r="EC5" s="155"/>
      <c r="ED5" s="149"/>
      <c r="EE5" s="149"/>
      <c r="EF5" s="149"/>
      <c r="EG5" s="149"/>
      <c r="EH5" s="149"/>
      <c r="EJ5" s="274" t="s">
        <v>231</v>
      </c>
      <c r="EK5" s="275"/>
      <c r="EL5" s="275"/>
      <c r="EM5" s="276"/>
      <c r="EN5" s="162"/>
    </row>
    <row r="6" spans="2:145">
      <c r="B6" s="230"/>
      <c r="C6" s="230"/>
      <c r="D6" s="230"/>
      <c r="E6" s="230"/>
      <c r="F6" s="230"/>
      <c r="M6" s="140"/>
      <c r="N6" s="294"/>
      <c r="O6" s="295"/>
      <c r="P6" s="295"/>
      <c r="Q6" s="295"/>
      <c r="R6" s="140"/>
      <c r="T6" s="294"/>
      <c r="U6" s="295"/>
      <c r="V6" s="295"/>
      <c r="W6" s="295"/>
      <c r="X6" s="140"/>
      <c r="Z6" s="140"/>
      <c r="AA6" s="294"/>
      <c r="AB6" s="295"/>
      <c r="AC6" s="295"/>
      <c r="AD6" s="295"/>
      <c r="AE6" s="304"/>
      <c r="AF6" s="294"/>
      <c r="AG6" s="295"/>
      <c r="AH6" s="295"/>
      <c r="AI6" s="295"/>
      <c r="AJ6" s="140"/>
      <c r="AL6" s="294"/>
      <c r="AM6" s="314"/>
      <c r="AN6" s="314"/>
      <c r="AO6" s="314"/>
      <c r="AR6" s="294"/>
      <c r="AS6" s="295"/>
      <c r="AT6" s="295"/>
      <c r="AU6" s="295"/>
      <c r="AX6" s="384" t="s">
        <v>232</v>
      </c>
      <c r="AY6" s="258" t="s">
        <v>220</v>
      </c>
      <c r="AZ6" s="258" t="s">
        <v>221</v>
      </c>
      <c r="BA6" s="277" t="s">
        <v>222</v>
      </c>
      <c r="CB6" s="384" t="s">
        <v>232</v>
      </c>
      <c r="CC6" s="258" t="s">
        <v>220</v>
      </c>
      <c r="CD6" s="258" t="s">
        <v>221</v>
      </c>
      <c r="CE6" s="277" t="s">
        <v>222</v>
      </c>
      <c r="CF6" s="162"/>
      <c r="CH6" s="384" t="s">
        <v>232</v>
      </c>
      <c r="CI6" s="258" t="s">
        <v>220</v>
      </c>
      <c r="CJ6" s="258" t="s">
        <v>221</v>
      </c>
      <c r="CK6" s="277" t="s">
        <v>222</v>
      </c>
      <c r="CL6" s="162"/>
      <c r="CZ6" s="162"/>
      <c r="DA6" s="162"/>
      <c r="DB6" s="162"/>
      <c r="DC6" s="162"/>
      <c r="DD6" s="162"/>
      <c r="DF6" s="162"/>
      <c r="DG6" s="162"/>
      <c r="DH6" s="162"/>
      <c r="DI6" s="162"/>
      <c r="DJ6" s="162"/>
      <c r="DL6" s="384" t="s">
        <v>232</v>
      </c>
      <c r="DM6" s="258" t="s">
        <v>220</v>
      </c>
      <c r="DN6" s="258" t="s">
        <v>221</v>
      </c>
      <c r="DO6" s="277" t="s">
        <v>222</v>
      </c>
      <c r="DP6" s="162"/>
      <c r="DQ6" s="339"/>
      <c r="DR6" s="149"/>
      <c r="DS6" s="317"/>
      <c r="DT6" s="337"/>
      <c r="DU6" s="340"/>
      <c r="DV6" s="149"/>
      <c r="DW6" s="339"/>
      <c r="DX6" s="149"/>
      <c r="DY6" s="317"/>
      <c r="DZ6" s="337"/>
      <c r="EA6" s="340"/>
      <c r="EB6" s="149"/>
      <c r="EC6" s="155"/>
      <c r="ED6" s="149"/>
      <c r="EE6" s="317"/>
      <c r="EF6" s="337"/>
      <c r="EG6" s="340"/>
      <c r="EH6" s="149"/>
      <c r="EJ6" s="384" t="s">
        <v>232</v>
      </c>
      <c r="EK6" s="295" t="s">
        <v>220</v>
      </c>
      <c r="EL6" s="295" t="s">
        <v>221</v>
      </c>
      <c r="EM6" s="277" t="s">
        <v>222</v>
      </c>
      <c r="EN6" s="162"/>
    </row>
    <row r="7" spans="2:145">
      <c r="B7" s="230"/>
      <c r="C7" s="230"/>
      <c r="D7" s="230"/>
      <c r="E7" s="230"/>
      <c r="F7" s="230"/>
      <c r="N7" s="296"/>
      <c r="O7" s="296"/>
      <c r="P7" s="297"/>
      <c r="Q7" s="300"/>
      <c r="R7" s="140"/>
      <c r="T7" s="296"/>
      <c r="U7" s="296"/>
      <c r="V7" s="297"/>
      <c r="W7" s="300"/>
      <c r="X7" s="140"/>
      <c r="AA7" s="296"/>
      <c r="AB7" s="296"/>
      <c r="AC7" s="297"/>
      <c r="AD7" s="300"/>
      <c r="AE7" s="303"/>
      <c r="AF7" s="296"/>
      <c r="AG7" s="305"/>
      <c r="AH7" s="306"/>
      <c r="AI7" s="300"/>
      <c r="AJ7" s="140"/>
      <c r="AL7" s="308"/>
      <c r="AM7" s="316"/>
      <c r="AN7" s="317"/>
      <c r="AO7" s="310"/>
      <c r="AR7" s="296"/>
      <c r="AS7" s="305"/>
      <c r="AT7" s="306"/>
      <c r="AU7" s="300"/>
      <c r="AX7" s="278" t="s">
        <v>16</v>
      </c>
      <c r="AY7" s="268">
        <v>12.88</v>
      </c>
      <c r="AZ7" s="251">
        <v>484</v>
      </c>
      <c r="BA7" s="281">
        <f>AY7*AZ7</f>
        <v>6233.92</v>
      </c>
      <c r="CB7" s="278" t="s">
        <v>14</v>
      </c>
      <c r="CC7" s="268">
        <v>5.7</v>
      </c>
      <c r="CD7" s="251">
        <v>603</v>
      </c>
      <c r="CE7" s="281">
        <f>CC7*CD7</f>
        <v>3437.1</v>
      </c>
      <c r="CF7" s="162"/>
      <c r="CH7" s="278" t="s">
        <v>85</v>
      </c>
      <c r="CI7" s="268">
        <v>20.399999999999999</v>
      </c>
      <c r="CJ7" s="251">
        <v>155</v>
      </c>
      <c r="CK7" s="281">
        <f>CI7*CJ7</f>
        <v>3162</v>
      </c>
      <c r="CL7" s="162"/>
      <c r="CZ7" s="162"/>
      <c r="DA7" s="162"/>
      <c r="DB7" s="162"/>
      <c r="DC7" s="162"/>
      <c r="DD7" s="162"/>
      <c r="DF7" s="162"/>
      <c r="DG7" s="162"/>
      <c r="DH7" s="162"/>
      <c r="DI7" s="162"/>
      <c r="DJ7" s="162"/>
      <c r="DL7" s="278" t="s">
        <v>47</v>
      </c>
      <c r="DM7" s="268">
        <v>11.88</v>
      </c>
      <c r="DN7" s="251">
        <v>700</v>
      </c>
      <c r="DO7" s="281">
        <f>DM7*DN7</f>
        <v>8316</v>
      </c>
      <c r="DP7" s="162"/>
      <c r="DQ7" s="339"/>
      <c r="DR7" s="149"/>
      <c r="DS7" s="317"/>
      <c r="DT7" s="337"/>
      <c r="DU7" s="340"/>
      <c r="DV7" s="149"/>
      <c r="DW7" s="339"/>
      <c r="DX7" s="149"/>
      <c r="DY7" s="317"/>
      <c r="DZ7" s="337"/>
      <c r="EA7" s="340"/>
      <c r="EB7" s="149"/>
      <c r="EC7" s="155"/>
      <c r="ED7" s="149"/>
      <c r="EE7" s="317"/>
      <c r="EF7" s="337"/>
      <c r="EG7" s="340"/>
      <c r="EH7" s="149"/>
      <c r="EJ7" s="278"/>
      <c r="EK7" s="268"/>
      <c r="EL7" s="251"/>
      <c r="EM7" s="281"/>
      <c r="EN7" s="162"/>
    </row>
    <row r="8" spans="2:145">
      <c r="B8" s="230"/>
      <c r="C8" s="230"/>
      <c r="D8" s="230"/>
      <c r="E8" s="230"/>
      <c r="F8" s="230"/>
      <c r="N8" s="296"/>
      <c r="O8" s="296"/>
      <c r="P8" s="297"/>
      <c r="Q8" s="300"/>
      <c r="R8" s="140"/>
      <c r="T8" s="296"/>
      <c r="U8" s="296"/>
      <c r="V8" s="297"/>
      <c r="W8" s="300"/>
      <c r="X8" s="140"/>
      <c r="AA8" s="296"/>
      <c r="AB8" s="296"/>
      <c r="AC8" s="297"/>
      <c r="AD8" s="300"/>
      <c r="AE8" s="303"/>
      <c r="AF8" s="296"/>
      <c r="AG8" s="296"/>
      <c r="AH8" s="297"/>
      <c r="AI8" s="300"/>
      <c r="AJ8" s="140"/>
      <c r="AL8" s="308"/>
      <c r="AM8" s="308"/>
      <c r="AN8" s="315"/>
      <c r="AO8" s="310"/>
      <c r="AR8" s="296"/>
      <c r="AS8" s="308"/>
      <c r="AT8" s="297"/>
      <c r="AU8" s="300"/>
      <c r="AX8" s="278"/>
      <c r="AY8" s="279"/>
      <c r="AZ8" s="280"/>
      <c r="BA8" s="281"/>
      <c r="CB8" s="278" t="s">
        <v>65</v>
      </c>
      <c r="CC8" s="279">
        <v>7.66</v>
      </c>
      <c r="CD8" s="280">
        <v>416</v>
      </c>
      <c r="CE8" s="281">
        <f>CC8*CD8</f>
        <v>3186.56</v>
      </c>
      <c r="CF8" s="162"/>
      <c r="CH8" s="278" t="s">
        <v>37</v>
      </c>
      <c r="CI8" s="279">
        <v>6.66</v>
      </c>
      <c r="CJ8" s="280">
        <v>145</v>
      </c>
      <c r="CK8" s="284">
        <f>CI8*CJ8</f>
        <v>965.7</v>
      </c>
      <c r="CL8" s="162"/>
      <c r="CZ8" s="162"/>
      <c r="DA8" s="162"/>
      <c r="DB8" s="162"/>
      <c r="DC8" s="162"/>
      <c r="DD8" s="162"/>
      <c r="DF8" s="162"/>
      <c r="DG8" s="162"/>
      <c r="DH8" s="162"/>
      <c r="DI8" s="162"/>
      <c r="DJ8" s="162"/>
      <c r="DL8" s="278" t="s">
        <v>85</v>
      </c>
      <c r="DM8" s="279">
        <v>20.100000000000001</v>
      </c>
      <c r="DN8" s="280">
        <v>35</v>
      </c>
      <c r="DO8" s="281">
        <f>DM8*DN8</f>
        <v>703.5</v>
      </c>
      <c r="DP8" s="162"/>
      <c r="DQ8" s="339"/>
      <c r="DR8" s="149"/>
      <c r="DS8" s="317"/>
      <c r="DT8" s="337"/>
      <c r="DU8" s="340"/>
      <c r="DV8" s="149"/>
      <c r="DW8" s="339"/>
      <c r="DX8" s="149"/>
      <c r="DY8" s="317"/>
      <c r="DZ8" s="337"/>
      <c r="EA8" s="340"/>
      <c r="EB8" s="149"/>
      <c r="EC8" s="155"/>
      <c r="ED8" s="149"/>
      <c r="EE8" s="317"/>
      <c r="EF8" s="337"/>
      <c r="EG8" s="340"/>
      <c r="EH8" s="149"/>
      <c r="EJ8" s="278"/>
      <c r="EK8" s="296"/>
      <c r="EL8" s="297"/>
      <c r="EM8" s="284"/>
      <c r="EN8" s="162"/>
    </row>
    <row r="9" spans="2:145">
      <c r="B9" s="230"/>
      <c r="C9" s="230"/>
      <c r="D9" s="230"/>
      <c r="E9" s="230"/>
      <c r="F9" s="230"/>
      <c r="N9" s="296"/>
      <c r="O9" s="296"/>
      <c r="P9" s="297"/>
      <c r="Q9" s="300"/>
      <c r="R9" s="140"/>
      <c r="T9" s="296"/>
      <c r="U9" s="296"/>
      <c r="V9" s="297"/>
      <c r="W9" s="300"/>
      <c r="X9" s="140"/>
      <c r="AA9" s="296"/>
      <c r="AB9" s="296"/>
      <c r="AC9" s="297"/>
      <c r="AD9" s="300"/>
      <c r="AE9" s="303"/>
      <c r="AF9" s="296"/>
      <c r="AG9" s="296"/>
      <c r="AH9" s="297"/>
      <c r="AI9" s="300"/>
      <c r="AJ9" s="140"/>
      <c r="AL9" s="308"/>
      <c r="AM9" s="308"/>
      <c r="AN9" s="315"/>
      <c r="AO9" s="310"/>
      <c r="AR9" s="296"/>
      <c r="AS9" s="296"/>
      <c r="AT9" s="297"/>
      <c r="AU9" s="300"/>
      <c r="AX9" s="278"/>
      <c r="AY9" s="279"/>
      <c r="AZ9" s="280"/>
      <c r="BA9" s="281"/>
      <c r="CB9" s="278"/>
      <c r="CC9" s="279"/>
      <c r="CD9" s="280"/>
      <c r="CE9" s="281"/>
      <c r="CF9" s="162"/>
      <c r="CH9" s="278"/>
      <c r="CI9" s="279"/>
      <c r="CJ9" s="280"/>
      <c r="CK9" s="281"/>
      <c r="CL9" s="162"/>
      <c r="CZ9" s="162"/>
      <c r="DA9" s="162"/>
      <c r="DB9" s="162"/>
      <c r="DC9" s="162"/>
      <c r="DD9" s="162"/>
      <c r="DF9" s="162"/>
      <c r="DG9" s="162"/>
      <c r="DH9" s="162"/>
      <c r="DI9" s="162"/>
      <c r="DJ9" s="162"/>
      <c r="DL9" s="278"/>
      <c r="DM9" s="279"/>
      <c r="DN9" s="280"/>
      <c r="DO9" s="281"/>
      <c r="DP9" s="162"/>
      <c r="DQ9" s="339"/>
      <c r="DR9" s="149"/>
      <c r="DS9" s="317"/>
      <c r="DT9" s="337"/>
      <c r="DU9" s="340"/>
      <c r="DV9" s="149"/>
      <c r="DW9" s="339"/>
      <c r="DX9" s="149"/>
      <c r="DY9" s="317"/>
      <c r="DZ9" s="337"/>
      <c r="EA9" s="340"/>
      <c r="EB9" s="149"/>
      <c r="EC9" s="155"/>
      <c r="ED9" s="149"/>
      <c r="EE9" s="317"/>
      <c r="EF9" s="337"/>
      <c r="EG9" s="340"/>
      <c r="EH9" s="149"/>
      <c r="EJ9" s="278"/>
      <c r="EK9" s="296"/>
      <c r="EL9" s="297"/>
      <c r="EM9" s="281"/>
      <c r="EN9" s="162"/>
    </row>
    <row r="10" spans="2:145">
      <c r="B10" s="230"/>
      <c r="C10" s="230"/>
      <c r="D10" s="230"/>
      <c r="E10" s="230"/>
      <c r="F10" s="230"/>
      <c r="N10" s="298"/>
      <c r="O10" s="298"/>
      <c r="P10" s="298"/>
      <c r="Q10" s="300"/>
      <c r="R10" s="140"/>
      <c r="T10" s="298"/>
      <c r="U10" s="298"/>
      <c r="V10" s="298"/>
      <c r="W10" s="300"/>
      <c r="X10" s="140"/>
      <c r="AA10" s="298"/>
      <c r="AB10" s="298"/>
      <c r="AC10" s="298"/>
      <c r="AD10" s="300"/>
      <c r="AE10" s="303"/>
      <c r="AF10" s="298"/>
      <c r="AG10" s="298"/>
      <c r="AH10" s="298"/>
      <c r="AI10" s="300"/>
      <c r="AJ10" s="140"/>
      <c r="AL10" s="309"/>
      <c r="AM10" s="309"/>
      <c r="AN10" s="309"/>
      <c r="AO10" s="310"/>
      <c r="AP10" s="140"/>
      <c r="AR10" s="298"/>
      <c r="AS10" s="298"/>
      <c r="AT10" s="298"/>
      <c r="AU10" s="300"/>
      <c r="AX10" s="282" t="s">
        <v>233</v>
      </c>
      <c r="AY10" s="283"/>
      <c r="AZ10" s="283"/>
      <c r="BA10" s="281">
        <f>BA7</f>
        <v>6233.92</v>
      </c>
      <c r="CB10" s="282" t="s">
        <v>233</v>
      </c>
      <c r="CC10" s="283"/>
      <c r="CD10" s="283"/>
      <c r="CE10" s="281">
        <f>CE7+CE8</f>
        <v>6623.66</v>
      </c>
      <c r="CF10" s="162"/>
      <c r="CH10" s="282" t="s">
        <v>233</v>
      </c>
      <c r="CI10" s="283"/>
      <c r="CJ10" s="283"/>
      <c r="CK10" s="281">
        <f>CK7+CK8</f>
        <v>4127.7</v>
      </c>
      <c r="CL10" s="162"/>
      <c r="CZ10" s="162"/>
      <c r="DA10" s="162"/>
      <c r="DB10" s="162"/>
      <c r="DC10" s="162"/>
      <c r="DD10" s="162"/>
      <c r="DF10" s="162"/>
      <c r="DG10" s="162"/>
      <c r="DH10" s="162"/>
      <c r="DI10" s="162"/>
      <c r="DJ10" s="162"/>
      <c r="DL10" s="282" t="s">
        <v>233</v>
      </c>
      <c r="DM10" s="283"/>
      <c r="DN10" s="283"/>
      <c r="DO10" s="281">
        <f>DO7+DO8</f>
        <v>9019.5</v>
      </c>
      <c r="DP10" s="162"/>
      <c r="DQ10" s="339"/>
      <c r="DR10" s="149"/>
      <c r="DS10" s="317"/>
      <c r="DT10" s="337"/>
      <c r="DU10" s="340"/>
      <c r="DV10" s="149"/>
      <c r="DW10" s="339"/>
      <c r="DX10" s="149"/>
      <c r="DY10" s="317"/>
      <c r="DZ10" s="337"/>
      <c r="EA10" s="340"/>
      <c r="EB10" s="149"/>
      <c r="EC10" s="155"/>
      <c r="ED10" s="149"/>
      <c r="EE10" s="317"/>
      <c r="EF10" s="337"/>
      <c r="EG10" s="340"/>
      <c r="EH10" s="149"/>
      <c r="EJ10" s="282" t="s">
        <v>233</v>
      </c>
      <c r="EK10" s="298"/>
      <c r="EL10" s="298"/>
      <c r="EM10" s="281">
        <f>EM7+EM8</f>
        <v>0</v>
      </c>
      <c r="EN10" s="162"/>
    </row>
    <row r="11" spans="2:145">
      <c r="B11" s="230"/>
      <c r="C11" s="230"/>
      <c r="D11" s="230"/>
      <c r="E11" s="230"/>
      <c r="F11" s="230"/>
      <c r="N11" s="298"/>
      <c r="O11" s="298"/>
      <c r="P11" s="298"/>
      <c r="Q11" s="301"/>
      <c r="R11" s="140"/>
      <c r="T11" s="298"/>
      <c r="U11" s="298"/>
      <c r="V11" s="298"/>
      <c r="W11" s="301"/>
      <c r="X11" s="140"/>
      <c r="AA11" s="298"/>
      <c r="AB11" s="298"/>
      <c r="AC11" s="298"/>
      <c r="AD11" s="301"/>
      <c r="AE11" s="304"/>
      <c r="AF11" s="298"/>
      <c r="AG11" s="298"/>
      <c r="AH11" s="298"/>
      <c r="AI11" s="301"/>
      <c r="AJ11" s="140"/>
      <c r="AL11" s="309"/>
      <c r="AM11" s="309"/>
      <c r="AN11" s="309"/>
      <c r="AO11" s="311"/>
      <c r="AP11" s="140"/>
      <c r="AR11" s="298"/>
      <c r="AS11" s="298"/>
      <c r="AT11" s="298"/>
      <c r="AU11" s="301"/>
      <c r="AX11" s="282" t="s">
        <v>234</v>
      </c>
      <c r="AY11" s="283"/>
      <c r="AZ11" s="283"/>
      <c r="BA11" s="284">
        <f>30000*(4%/360)</f>
        <v>3.3333333333333335</v>
      </c>
      <c r="CB11" s="282" t="s">
        <v>234</v>
      </c>
      <c r="CC11" s="283"/>
      <c r="CD11" s="283"/>
      <c r="CE11" s="284">
        <v>0</v>
      </c>
      <c r="CF11" s="162"/>
      <c r="CH11" s="282" t="s">
        <v>234</v>
      </c>
      <c r="CI11" s="283"/>
      <c r="CJ11" s="283"/>
      <c r="CK11" s="284">
        <f>CK10*(4%/360)</f>
        <v>0.45863333333333334</v>
      </c>
      <c r="CL11" s="162"/>
      <c r="CZ11" s="162"/>
      <c r="DA11" s="162"/>
      <c r="DB11" s="162"/>
      <c r="DC11" s="162"/>
      <c r="DD11" s="162"/>
      <c r="DF11" s="162"/>
      <c r="DG11" s="162"/>
      <c r="DH11" s="162"/>
      <c r="DI11" s="162"/>
      <c r="DJ11" s="162"/>
      <c r="DL11" s="282" t="s">
        <v>234</v>
      </c>
      <c r="DM11" s="283"/>
      <c r="DN11" s="283"/>
      <c r="DO11" s="284">
        <f>30000*(4%/360)</f>
        <v>3.3333333333333335</v>
      </c>
      <c r="DP11" s="162"/>
      <c r="DQ11" s="339"/>
      <c r="DR11" s="149"/>
      <c r="DS11" s="317"/>
      <c r="DT11" s="337"/>
      <c r="DU11" s="340"/>
      <c r="DV11" s="149"/>
      <c r="DW11" s="339"/>
      <c r="DX11" s="149"/>
      <c r="DY11" s="317"/>
      <c r="DZ11" s="337"/>
      <c r="EA11" s="340"/>
      <c r="EB11" s="149"/>
      <c r="EC11" s="155"/>
      <c r="ED11" s="149"/>
      <c r="EE11" s="317"/>
      <c r="EF11" s="337"/>
      <c r="EG11" s="340"/>
      <c r="EH11" s="149"/>
      <c r="EJ11" s="282" t="s">
        <v>234</v>
      </c>
      <c r="EK11" s="298"/>
      <c r="EL11" s="298"/>
      <c r="EM11" s="284">
        <f>EM10*(4%/360)</f>
        <v>0</v>
      </c>
      <c r="EN11" s="162"/>
    </row>
    <row r="12" spans="2:145">
      <c r="B12" s="230"/>
      <c r="C12" s="230"/>
      <c r="D12" s="230"/>
      <c r="E12" s="230"/>
      <c r="F12" s="230"/>
      <c r="N12" s="299"/>
      <c r="O12" s="299"/>
      <c r="P12" s="299"/>
      <c r="Q12" s="302"/>
      <c r="R12" s="140"/>
      <c r="S12" s="140"/>
      <c r="T12" s="299"/>
      <c r="U12" s="299"/>
      <c r="V12" s="299"/>
      <c r="W12" s="302"/>
      <c r="Y12" s="307"/>
      <c r="AA12" s="299"/>
      <c r="AB12" s="299"/>
      <c r="AC12" s="299"/>
      <c r="AD12" s="302"/>
      <c r="AE12" s="304"/>
      <c r="AF12" s="299"/>
      <c r="AG12" s="299"/>
      <c r="AH12" s="299"/>
      <c r="AI12" s="302"/>
      <c r="AJ12" s="140"/>
      <c r="AL12" s="312"/>
      <c r="AM12" s="312"/>
      <c r="AN12" s="312"/>
      <c r="AO12" s="313"/>
      <c r="AP12" s="140"/>
      <c r="AR12" s="299"/>
      <c r="AS12" s="299"/>
      <c r="AT12" s="299"/>
      <c r="AU12" s="302"/>
      <c r="AX12" s="285" t="s">
        <v>235</v>
      </c>
      <c r="AY12" s="286"/>
      <c r="AZ12" s="286"/>
      <c r="BA12" s="287">
        <f>BA10+BA11</f>
        <v>6237.2533333333331</v>
      </c>
      <c r="CB12" s="285" t="s">
        <v>235</v>
      </c>
      <c r="CC12" s="286"/>
      <c r="CD12" s="286"/>
      <c r="CE12" s="287">
        <f>CE10+CE11</f>
        <v>6623.66</v>
      </c>
      <c r="CF12" s="162"/>
      <c r="CH12" s="285" t="s">
        <v>235</v>
      </c>
      <c r="CI12" s="286"/>
      <c r="CJ12" s="286"/>
      <c r="CK12" s="287">
        <f>CK10+CK11</f>
        <v>4128.1586333333335</v>
      </c>
      <c r="CL12" s="162"/>
      <c r="CZ12" s="162"/>
      <c r="DA12" s="162"/>
      <c r="DB12" s="162"/>
      <c r="DC12" s="162"/>
      <c r="DD12" s="162"/>
      <c r="DF12" s="162"/>
      <c r="DG12" s="162"/>
      <c r="DH12" s="162"/>
      <c r="DI12" s="162"/>
      <c r="DJ12" s="162"/>
      <c r="DL12" s="285" t="s">
        <v>235</v>
      </c>
      <c r="DM12" s="286"/>
      <c r="DN12" s="286"/>
      <c r="DO12" s="287">
        <f>DO10+DO11</f>
        <v>9022.8333333333339</v>
      </c>
      <c r="DP12" s="162"/>
      <c r="DQ12" s="339"/>
      <c r="DR12" s="149"/>
      <c r="DS12" s="317"/>
      <c r="DT12" s="337"/>
      <c r="DU12" s="340"/>
      <c r="DV12" s="149"/>
      <c r="DW12" s="339"/>
      <c r="DX12" s="149"/>
      <c r="DY12" s="317"/>
      <c r="DZ12" s="337"/>
      <c r="EA12" s="340"/>
      <c r="EB12" s="149"/>
      <c r="EC12" s="155"/>
      <c r="ED12" s="149"/>
      <c r="EE12" s="317"/>
      <c r="EF12" s="337"/>
      <c r="EG12" s="340"/>
      <c r="EH12" s="149"/>
      <c r="EJ12" s="285" t="s">
        <v>235</v>
      </c>
      <c r="EK12" s="286"/>
      <c r="EL12" s="286"/>
      <c r="EM12" s="287">
        <f>EM10+EM11</f>
        <v>0</v>
      </c>
      <c r="EN12" s="162"/>
    </row>
    <row r="13" spans="2:145">
      <c r="B13" s="230"/>
      <c r="C13" s="230"/>
      <c r="D13" s="230"/>
      <c r="E13" s="230"/>
      <c r="F13" s="230"/>
      <c r="N13" s="294"/>
      <c r="O13" s="295"/>
      <c r="P13" s="295"/>
      <c r="Q13" s="295"/>
      <c r="R13" s="140"/>
      <c r="S13" s="140"/>
      <c r="T13" s="294"/>
      <c r="U13" s="295"/>
      <c r="V13" s="295"/>
      <c r="W13" s="295"/>
      <c r="AA13" s="294"/>
      <c r="AB13" s="295"/>
      <c r="AC13" s="295"/>
      <c r="AD13" s="295"/>
      <c r="AE13" s="304"/>
      <c r="AF13" s="294"/>
      <c r="AG13" s="295"/>
      <c r="AH13" s="295"/>
      <c r="AI13" s="295"/>
      <c r="AJ13" s="140"/>
      <c r="AL13" s="294"/>
      <c r="AM13" s="314"/>
      <c r="AN13" s="314"/>
      <c r="AO13" s="314"/>
      <c r="AP13" s="140"/>
      <c r="AR13" s="294"/>
      <c r="AS13" s="295"/>
      <c r="AT13" s="295"/>
      <c r="AU13" s="295"/>
      <c r="AX13" s="343" t="s">
        <v>236</v>
      </c>
      <c r="AY13" s="288" t="s">
        <v>220</v>
      </c>
      <c r="AZ13" s="288" t="s">
        <v>221</v>
      </c>
      <c r="BA13" s="289" t="s">
        <v>222</v>
      </c>
      <c r="CB13" s="343" t="s">
        <v>236</v>
      </c>
      <c r="CC13" s="288" t="s">
        <v>220</v>
      </c>
      <c r="CD13" s="288" t="s">
        <v>221</v>
      </c>
      <c r="CE13" s="289" t="s">
        <v>222</v>
      </c>
      <c r="CF13" s="162"/>
      <c r="CH13" s="343" t="s">
        <v>236</v>
      </c>
      <c r="CI13" s="288" t="s">
        <v>220</v>
      </c>
      <c r="CJ13" s="288" t="s">
        <v>221</v>
      </c>
      <c r="CK13" s="289" t="s">
        <v>222</v>
      </c>
      <c r="CL13" s="162"/>
      <c r="CZ13" s="162"/>
      <c r="DA13" s="162"/>
      <c r="DB13" s="162"/>
      <c r="DC13" s="162"/>
      <c r="DD13" s="162"/>
      <c r="DF13" s="162"/>
      <c r="DG13" s="162"/>
      <c r="DH13" s="162"/>
      <c r="DI13" s="162"/>
      <c r="DJ13" s="162"/>
      <c r="DL13" s="343" t="s">
        <v>236</v>
      </c>
      <c r="DM13" s="288" t="s">
        <v>220</v>
      </c>
      <c r="DN13" s="288" t="s">
        <v>221</v>
      </c>
      <c r="DO13" s="289" t="s">
        <v>222</v>
      </c>
      <c r="DP13" s="162"/>
      <c r="DQ13" s="339"/>
      <c r="DR13" s="149"/>
      <c r="DS13" s="317"/>
      <c r="DT13" s="337"/>
      <c r="DU13" s="340"/>
      <c r="DV13" s="149"/>
      <c r="DW13" s="339"/>
      <c r="DX13" s="149"/>
      <c r="DY13" s="317"/>
      <c r="DZ13" s="337"/>
      <c r="EA13" s="340"/>
      <c r="EB13" s="149"/>
      <c r="EC13" s="155"/>
      <c r="ED13" s="149"/>
      <c r="EE13" s="317"/>
      <c r="EF13" s="337"/>
      <c r="EG13" s="340"/>
      <c r="EH13" s="149"/>
      <c r="EJ13" s="343" t="s">
        <v>236</v>
      </c>
      <c r="EK13" s="288" t="s">
        <v>220</v>
      </c>
      <c r="EL13" s="288" t="s">
        <v>221</v>
      </c>
      <c r="EM13" s="289" t="s">
        <v>222</v>
      </c>
      <c r="EN13" s="162"/>
    </row>
    <row r="14" spans="2:145">
      <c r="B14" s="230"/>
      <c r="C14" s="230"/>
      <c r="D14" s="230"/>
      <c r="E14" s="230"/>
      <c r="F14" s="230"/>
      <c r="N14" s="296"/>
      <c r="O14" s="296"/>
      <c r="P14" s="297"/>
      <c r="Q14" s="300"/>
      <c r="R14" s="140"/>
      <c r="S14" s="140"/>
      <c r="T14" s="296"/>
      <c r="U14" s="296"/>
      <c r="V14" s="297"/>
      <c r="W14" s="300"/>
      <c r="AA14" s="308"/>
      <c r="AB14" s="296"/>
      <c r="AC14" s="297"/>
      <c r="AD14" s="300"/>
      <c r="AE14" s="304"/>
      <c r="AF14" s="296"/>
      <c r="AG14" s="296"/>
      <c r="AH14" s="297"/>
      <c r="AI14" s="300"/>
      <c r="AJ14" s="140"/>
      <c r="AL14" s="308"/>
      <c r="AM14" s="308"/>
      <c r="AN14" s="315"/>
      <c r="AO14" s="310"/>
      <c r="AP14" s="140"/>
      <c r="AR14" s="296"/>
      <c r="AS14" s="296"/>
      <c r="AT14" s="297"/>
      <c r="AU14" s="300"/>
      <c r="AX14" s="278" t="s">
        <v>238</v>
      </c>
      <c r="AY14" s="279">
        <v>7.68</v>
      </c>
      <c r="AZ14" s="280">
        <f>BA14/AY14</f>
        <v>3416.3090277777778</v>
      </c>
      <c r="BA14" s="281">
        <f>BA12+20000</f>
        <v>26237.253333333334</v>
      </c>
      <c r="CB14" s="278"/>
      <c r="CC14" s="279"/>
      <c r="CD14" s="280"/>
      <c r="CE14" s="281"/>
      <c r="CF14" s="162"/>
      <c r="CH14" s="278" t="s">
        <v>6</v>
      </c>
      <c r="CI14" s="279">
        <v>21.59</v>
      </c>
      <c r="CJ14" s="280">
        <f>CK14/CI14</f>
        <v>961.18573413617412</v>
      </c>
      <c r="CK14" s="281">
        <v>20752</v>
      </c>
      <c r="CL14" s="162"/>
      <c r="CZ14" s="162"/>
      <c r="DA14" s="162"/>
      <c r="DB14" s="162"/>
      <c r="DC14" s="162"/>
      <c r="DD14" s="162"/>
      <c r="DF14" s="162"/>
      <c r="DG14" s="162"/>
      <c r="DH14" s="162"/>
      <c r="DI14" s="162"/>
      <c r="DJ14" s="162"/>
      <c r="DL14" s="278"/>
      <c r="DM14" s="279"/>
      <c r="DN14" s="280"/>
      <c r="DO14" s="281"/>
      <c r="DP14" s="162"/>
      <c r="DQ14" s="339"/>
      <c r="DR14" s="149"/>
      <c r="DS14" s="149"/>
      <c r="DT14" s="337"/>
      <c r="DU14" s="340"/>
      <c r="DV14" s="149"/>
      <c r="DW14" s="339"/>
      <c r="DX14" s="149"/>
      <c r="DY14" s="149"/>
      <c r="DZ14" s="337"/>
      <c r="EA14" s="340"/>
      <c r="EB14" s="149"/>
      <c r="EC14" s="155"/>
      <c r="ED14" s="149"/>
      <c r="EE14" s="149"/>
      <c r="EF14" s="337"/>
      <c r="EG14" s="340"/>
      <c r="EH14" s="149"/>
      <c r="EJ14" s="278" t="s">
        <v>45</v>
      </c>
      <c r="EK14" s="296">
        <v>16.899999999999999</v>
      </c>
      <c r="EL14" s="297">
        <f>EM14/EK14</f>
        <v>532.54437869822493</v>
      </c>
      <c r="EM14" s="281">
        <v>9000</v>
      </c>
      <c r="EN14" s="140"/>
    </row>
    <row r="15" spans="2:145">
      <c r="B15" s="230"/>
      <c r="C15" s="230"/>
      <c r="D15" s="230"/>
      <c r="E15" s="230"/>
      <c r="F15" s="230"/>
      <c r="N15" s="296"/>
      <c r="O15" s="296"/>
      <c r="P15" s="297"/>
      <c r="Q15" s="300"/>
      <c r="R15" s="140"/>
      <c r="S15" s="140"/>
      <c r="T15" s="296"/>
      <c r="U15" s="296"/>
      <c r="V15" s="297"/>
      <c r="W15" s="300"/>
      <c r="AA15" s="296"/>
      <c r="AB15" s="296"/>
      <c r="AC15" s="297"/>
      <c r="AD15" s="300"/>
      <c r="AE15" s="304"/>
      <c r="AF15" s="296"/>
      <c r="AG15" s="296"/>
      <c r="AH15" s="297"/>
      <c r="AI15" s="300"/>
      <c r="AJ15" s="140"/>
      <c r="AL15" s="308"/>
      <c r="AM15" s="308"/>
      <c r="AN15" s="315"/>
      <c r="AO15" s="310"/>
      <c r="AP15" s="140"/>
      <c r="AR15" s="296"/>
      <c r="AS15" s="296"/>
      <c r="AT15" s="297"/>
      <c r="AU15" s="300"/>
      <c r="AX15" s="278"/>
      <c r="AY15" s="279"/>
      <c r="AZ15" s="280"/>
      <c r="BA15" s="281"/>
      <c r="CB15" s="278"/>
      <c r="CC15" s="279"/>
      <c r="CD15" s="280"/>
      <c r="CE15" s="281"/>
      <c r="CF15" s="162"/>
      <c r="CH15" s="278"/>
      <c r="CI15" s="279"/>
      <c r="CJ15" s="280"/>
      <c r="CK15" s="300"/>
      <c r="CL15" s="173" t="s">
        <v>241</v>
      </c>
      <c r="CZ15" s="162"/>
      <c r="DA15" s="162"/>
      <c r="DB15" s="162"/>
      <c r="DC15" s="162"/>
      <c r="DD15" s="162"/>
      <c r="DF15" s="162"/>
      <c r="DG15" s="162"/>
      <c r="DH15" s="162"/>
      <c r="DI15" s="162"/>
      <c r="DJ15" s="162"/>
      <c r="DL15" s="278"/>
      <c r="DM15" s="279"/>
      <c r="DN15" s="280"/>
      <c r="DO15" s="281"/>
      <c r="DP15" s="162"/>
      <c r="DQ15" s="339"/>
      <c r="DR15" s="149"/>
      <c r="DS15" s="149"/>
      <c r="DT15" s="337"/>
      <c r="DU15" s="340"/>
      <c r="DV15" s="149"/>
      <c r="DW15" s="339"/>
      <c r="DX15" s="149"/>
      <c r="DY15" s="149"/>
      <c r="DZ15" s="337"/>
      <c r="EA15" s="340"/>
      <c r="EB15" s="149"/>
      <c r="EC15" s="155"/>
      <c r="ED15" s="149"/>
      <c r="EE15" s="149"/>
      <c r="EF15" s="337"/>
      <c r="EG15" s="340"/>
      <c r="EH15" s="149"/>
      <c r="EJ15" s="278"/>
      <c r="EK15" s="296"/>
      <c r="EL15" s="297"/>
      <c r="EM15" s="281"/>
      <c r="EN15" s="347"/>
      <c r="EO15" s="140"/>
    </row>
    <row r="16" spans="2:145" ht="16" thickBot="1">
      <c r="B16" s="230"/>
      <c r="C16" s="230"/>
      <c r="D16" s="230"/>
      <c r="E16" s="230"/>
      <c r="F16" s="230"/>
      <c r="N16" s="295"/>
      <c r="O16" s="295"/>
      <c r="P16" s="295"/>
      <c r="Q16" s="302"/>
      <c r="R16" s="140"/>
      <c r="S16" s="140"/>
      <c r="T16" s="295"/>
      <c r="U16" s="295"/>
      <c r="V16" s="295"/>
      <c r="W16" s="302"/>
      <c r="AA16" s="295"/>
      <c r="AB16" s="295"/>
      <c r="AC16" s="295"/>
      <c r="AD16" s="302"/>
      <c r="AE16" s="304"/>
      <c r="AF16" s="295"/>
      <c r="AG16" s="295"/>
      <c r="AH16" s="295"/>
      <c r="AI16" s="302"/>
      <c r="AJ16" s="140"/>
      <c r="AL16" s="314"/>
      <c r="AM16" s="314"/>
      <c r="AN16" s="314"/>
      <c r="AO16" s="313"/>
      <c r="AP16" s="140"/>
      <c r="AR16" s="295"/>
      <c r="AS16" s="295"/>
      <c r="AT16" s="295"/>
      <c r="AU16" s="302"/>
      <c r="AV16" t="s">
        <v>240</v>
      </c>
      <c r="AX16" s="290" t="s">
        <v>152</v>
      </c>
      <c r="AY16" s="291"/>
      <c r="AZ16" s="291"/>
      <c r="BA16" s="292">
        <f>BA14+BA15</f>
        <v>26237.253333333334</v>
      </c>
      <c r="CB16" s="290" t="s">
        <v>152</v>
      </c>
      <c r="CC16" s="291"/>
      <c r="CD16" s="291"/>
      <c r="CE16" s="292">
        <f>CE12</f>
        <v>6623.66</v>
      </c>
      <c r="CF16" s="162"/>
      <c r="CH16" s="290" t="s">
        <v>152</v>
      </c>
      <c r="CI16" s="291"/>
      <c r="CJ16" s="291"/>
      <c r="CK16" s="335">
        <f>CK14</f>
        <v>20752</v>
      </c>
      <c r="CL16" s="95">
        <f>(CK12+CE26)-CK16</f>
        <v>5.267438539507566</v>
      </c>
      <c r="CZ16" s="162"/>
      <c r="DA16" s="162"/>
      <c r="DB16" s="162"/>
      <c r="DC16" s="162"/>
      <c r="DD16" s="162"/>
      <c r="DF16" s="162"/>
      <c r="DG16" s="162"/>
      <c r="DH16" s="162"/>
      <c r="DI16" s="162"/>
      <c r="DJ16" s="162"/>
      <c r="DL16" s="290" t="s">
        <v>152</v>
      </c>
      <c r="DM16" s="291"/>
      <c r="DN16" s="291"/>
      <c r="DO16" s="292">
        <f>DO12</f>
        <v>9022.8333333333339</v>
      </c>
      <c r="DP16" s="162"/>
      <c r="DQ16" s="149"/>
      <c r="DR16" s="149"/>
      <c r="DS16" s="149"/>
      <c r="DT16" s="341"/>
      <c r="DU16" s="149"/>
      <c r="DV16" s="149"/>
      <c r="DW16" s="149"/>
      <c r="DX16" s="149"/>
      <c r="DY16" s="149"/>
      <c r="DZ16" s="341"/>
      <c r="EA16" s="149"/>
      <c r="EB16" s="149"/>
      <c r="EC16" s="155"/>
      <c r="ED16" s="149"/>
      <c r="EE16" s="149"/>
      <c r="EF16" s="341"/>
      <c r="EG16" s="149"/>
      <c r="EH16" s="149"/>
      <c r="EJ16" s="290" t="s">
        <v>152</v>
      </c>
      <c r="EK16" s="291"/>
      <c r="EL16" s="291"/>
      <c r="EM16" s="292">
        <f>EM14</f>
        <v>9000</v>
      </c>
      <c r="EN16" s="348"/>
      <c r="EO16" s="140"/>
    </row>
    <row r="17" spans="2:144" ht="16" thickTop="1">
      <c r="AE17" s="303"/>
      <c r="CB17" s="162"/>
      <c r="CC17" s="162"/>
      <c r="CD17" s="162"/>
      <c r="CE17" s="162"/>
      <c r="CF17" s="162"/>
      <c r="CH17" s="162"/>
      <c r="CI17" s="162"/>
      <c r="CJ17" s="162"/>
      <c r="CK17" s="162"/>
      <c r="CL17" s="162"/>
      <c r="CZ17" s="162"/>
      <c r="DA17" s="162"/>
      <c r="DB17" s="162"/>
      <c r="DC17" s="162"/>
      <c r="DD17" s="162"/>
      <c r="DF17" s="162"/>
      <c r="DG17" s="162"/>
      <c r="DH17" s="162"/>
      <c r="DI17" s="162"/>
      <c r="DJ17" s="162"/>
      <c r="DL17" s="162"/>
      <c r="DM17" s="162"/>
      <c r="DN17" s="162"/>
      <c r="DO17" s="162"/>
      <c r="DP17" s="162"/>
      <c r="DQ17" s="155"/>
      <c r="DR17" s="155"/>
      <c r="DS17" s="155"/>
      <c r="DT17" s="338"/>
      <c r="DU17" s="155"/>
      <c r="DV17" s="155"/>
      <c r="DW17" s="155"/>
      <c r="DX17" s="155"/>
      <c r="DY17" s="155"/>
      <c r="DZ17" s="338"/>
      <c r="EA17" s="155"/>
      <c r="EB17" s="155"/>
      <c r="EC17" s="155"/>
      <c r="ED17" s="155"/>
      <c r="EE17" s="155"/>
      <c r="EF17" s="338"/>
      <c r="EG17" s="155"/>
      <c r="EH17" s="155"/>
    </row>
    <row r="18" spans="2:144">
      <c r="B18" s="231"/>
      <c r="C18" s="237" t="s">
        <v>220</v>
      </c>
      <c r="D18" s="237" t="s">
        <v>221</v>
      </c>
      <c r="E18" s="237" t="s">
        <v>222</v>
      </c>
      <c r="F18" s="237" t="s">
        <v>223</v>
      </c>
      <c r="H18" s="163"/>
      <c r="I18" s="163" t="s">
        <v>220</v>
      </c>
      <c r="J18" s="163" t="s">
        <v>221</v>
      </c>
      <c r="K18" s="163" t="s">
        <v>222</v>
      </c>
      <c r="L18" s="163" t="s">
        <v>223</v>
      </c>
      <c r="N18" s="163"/>
      <c r="O18" s="163" t="s">
        <v>220</v>
      </c>
      <c r="P18" s="163" t="s">
        <v>221</v>
      </c>
      <c r="Q18" s="163" t="s">
        <v>222</v>
      </c>
      <c r="R18" s="163" t="s">
        <v>223</v>
      </c>
      <c r="T18" s="163"/>
      <c r="U18" s="163" t="s">
        <v>220</v>
      </c>
      <c r="V18" s="163" t="s">
        <v>221</v>
      </c>
      <c r="W18" s="163" t="s">
        <v>222</v>
      </c>
      <c r="X18" s="163" t="s">
        <v>223</v>
      </c>
      <c r="Z18" s="163"/>
      <c r="AA18" s="163" t="s">
        <v>220</v>
      </c>
      <c r="AB18" s="163" t="s">
        <v>221</v>
      </c>
      <c r="AC18" s="163" t="s">
        <v>222</v>
      </c>
      <c r="AD18" s="163" t="s">
        <v>223</v>
      </c>
      <c r="AE18" s="303"/>
      <c r="AF18" s="163"/>
      <c r="AG18" s="163" t="s">
        <v>220</v>
      </c>
      <c r="AH18" s="163" t="s">
        <v>221</v>
      </c>
      <c r="AI18" s="163" t="s">
        <v>222</v>
      </c>
      <c r="AJ18" s="163" t="s">
        <v>223</v>
      </c>
      <c r="AL18" s="163"/>
      <c r="AM18" s="163" t="s">
        <v>220</v>
      </c>
      <c r="AN18" s="163" t="s">
        <v>221</v>
      </c>
      <c r="AO18" s="163" t="s">
        <v>222</v>
      </c>
      <c r="AP18" s="163" t="s">
        <v>223</v>
      </c>
      <c r="AR18" s="163"/>
      <c r="AS18" s="163" t="s">
        <v>220</v>
      </c>
      <c r="AT18" s="163" t="s">
        <v>221</v>
      </c>
      <c r="AU18" s="163" t="s">
        <v>222</v>
      </c>
      <c r="AV18" s="163" t="s">
        <v>223</v>
      </c>
      <c r="AX18" s="163"/>
      <c r="AY18" s="163" t="s">
        <v>220</v>
      </c>
      <c r="AZ18" s="163" t="s">
        <v>221</v>
      </c>
      <c r="BA18" s="163" t="s">
        <v>222</v>
      </c>
      <c r="BB18" s="163" t="s">
        <v>223</v>
      </c>
      <c r="BD18" s="163"/>
      <c r="BE18" s="163" t="s">
        <v>220</v>
      </c>
      <c r="BF18" s="163" t="s">
        <v>221</v>
      </c>
      <c r="BG18" s="163" t="s">
        <v>222</v>
      </c>
      <c r="BH18" s="163" t="s">
        <v>223</v>
      </c>
      <c r="BJ18" s="163"/>
      <c r="BK18" s="163" t="s">
        <v>220</v>
      </c>
      <c r="BL18" s="163" t="s">
        <v>221</v>
      </c>
      <c r="BM18" s="163" t="s">
        <v>222</v>
      </c>
      <c r="BN18" s="163" t="s">
        <v>223</v>
      </c>
      <c r="BP18" s="163"/>
      <c r="BQ18" s="163" t="s">
        <v>220</v>
      </c>
      <c r="BR18" s="163" t="s">
        <v>221</v>
      </c>
      <c r="BS18" s="163" t="s">
        <v>222</v>
      </c>
      <c r="BT18" s="163" t="s">
        <v>223</v>
      </c>
      <c r="BV18" s="163"/>
      <c r="BW18" s="163" t="s">
        <v>220</v>
      </c>
      <c r="BX18" s="163" t="s">
        <v>221</v>
      </c>
      <c r="BY18" s="163" t="s">
        <v>222</v>
      </c>
      <c r="BZ18" s="163" t="s">
        <v>223</v>
      </c>
      <c r="CB18" s="163"/>
      <c r="CC18" s="163" t="s">
        <v>220</v>
      </c>
      <c r="CD18" s="163" t="s">
        <v>221</v>
      </c>
      <c r="CE18" s="163" t="s">
        <v>222</v>
      </c>
      <c r="CF18" s="163" t="s">
        <v>223</v>
      </c>
      <c r="CH18" s="163"/>
      <c r="CI18" s="163" t="s">
        <v>220</v>
      </c>
      <c r="CJ18" s="163" t="s">
        <v>221</v>
      </c>
      <c r="CK18" s="163" t="s">
        <v>222</v>
      </c>
      <c r="CL18" s="163" t="s">
        <v>223</v>
      </c>
      <c r="CN18" s="163"/>
      <c r="CO18" s="163" t="s">
        <v>220</v>
      </c>
      <c r="CP18" s="163" t="s">
        <v>221</v>
      </c>
      <c r="CQ18" s="163" t="s">
        <v>222</v>
      </c>
      <c r="CR18" s="163" t="s">
        <v>223</v>
      </c>
      <c r="CT18" s="163"/>
      <c r="CU18" s="163" t="s">
        <v>220</v>
      </c>
      <c r="CV18" s="163" t="s">
        <v>221</v>
      </c>
      <c r="CW18" s="163" t="s">
        <v>222</v>
      </c>
      <c r="CX18" s="163" t="s">
        <v>223</v>
      </c>
      <c r="CZ18" s="163"/>
      <c r="DA18" s="163" t="s">
        <v>220</v>
      </c>
      <c r="DB18" s="163" t="s">
        <v>221</v>
      </c>
      <c r="DC18" s="163" t="s">
        <v>222</v>
      </c>
      <c r="DD18" s="163" t="s">
        <v>223</v>
      </c>
      <c r="DF18" s="163"/>
      <c r="DG18" s="163" t="s">
        <v>220</v>
      </c>
      <c r="DH18" s="163" t="s">
        <v>221</v>
      </c>
      <c r="DI18" s="163" t="s">
        <v>222</v>
      </c>
      <c r="DJ18" s="163" t="s">
        <v>223</v>
      </c>
      <c r="DL18" s="163"/>
      <c r="DM18" s="163" t="s">
        <v>220</v>
      </c>
      <c r="DN18" s="163" t="s">
        <v>221</v>
      </c>
      <c r="DO18" s="163" t="s">
        <v>222</v>
      </c>
      <c r="DP18" s="163" t="s">
        <v>223</v>
      </c>
      <c r="DQ18" s="155"/>
      <c r="DR18" s="163"/>
      <c r="DS18" s="163" t="s">
        <v>220</v>
      </c>
      <c r="DT18" s="163" t="s">
        <v>221</v>
      </c>
      <c r="DU18" s="163" t="s">
        <v>222</v>
      </c>
      <c r="DV18" s="163" t="s">
        <v>223</v>
      </c>
      <c r="DW18" s="155"/>
      <c r="DX18" s="163"/>
      <c r="DY18" s="163" t="s">
        <v>220</v>
      </c>
      <c r="DZ18" s="163" t="s">
        <v>221</v>
      </c>
      <c r="EA18" s="163" t="s">
        <v>222</v>
      </c>
      <c r="EB18" s="163" t="s">
        <v>223</v>
      </c>
      <c r="EC18" s="155"/>
      <c r="ED18" s="163"/>
      <c r="EE18" s="163" t="s">
        <v>220</v>
      </c>
      <c r="EF18" s="163" t="s">
        <v>221</v>
      </c>
      <c r="EG18" s="163" t="s">
        <v>222</v>
      </c>
      <c r="EH18" s="163" t="s">
        <v>223</v>
      </c>
      <c r="EJ18" s="163"/>
      <c r="EK18" s="163" t="s">
        <v>220</v>
      </c>
      <c r="EL18" s="163" t="s">
        <v>221</v>
      </c>
      <c r="EM18" s="163" t="s">
        <v>222</v>
      </c>
      <c r="EN18" s="163" t="s">
        <v>223</v>
      </c>
    </row>
    <row r="19" spans="2:144">
      <c r="B19" s="234" t="s">
        <v>43</v>
      </c>
      <c r="C19" s="241">
        <v>7.25</v>
      </c>
      <c r="D19" s="250">
        <v>687.87988984901665</v>
      </c>
      <c r="E19" s="252">
        <f>C19*D19</f>
        <v>4987.1292014053706</v>
      </c>
      <c r="F19" s="240">
        <f>E19/$E$27</f>
        <v>4.9008719746099022E-2</v>
      </c>
      <c r="H19" s="173" t="s">
        <v>43</v>
      </c>
      <c r="I19" s="266">
        <v>7.06</v>
      </c>
      <c r="J19" s="250">
        <v>687.87988984901665</v>
      </c>
      <c r="K19" s="267">
        <f>I19*J19</f>
        <v>4856.4320223340574</v>
      </c>
      <c r="L19" s="269">
        <f>K19/$K$27</f>
        <v>4.8364761710966868E-2</v>
      </c>
      <c r="M19" s="273"/>
      <c r="N19" s="173" t="s">
        <v>43</v>
      </c>
      <c r="O19" s="266">
        <v>6.83</v>
      </c>
      <c r="P19" s="250">
        <v>687.87988984901665</v>
      </c>
      <c r="Q19" s="267">
        <f>O19*P19</f>
        <v>4698.2196476687841</v>
      </c>
      <c r="R19" s="269">
        <f>Q19/$Q$27</f>
        <v>4.7005543842722167E-2</v>
      </c>
      <c r="T19" s="173" t="s">
        <v>43</v>
      </c>
      <c r="U19" s="266">
        <v>7.1950000000000003</v>
      </c>
      <c r="V19" s="250">
        <v>687.87988984901665</v>
      </c>
      <c r="W19" s="267">
        <f>U19*V19</f>
        <v>4949.2958074636754</v>
      </c>
      <c r="X19" s="269">
        <f>W19/$W$27</f>
        <v>4.9896792270697939E-2</v>
      </c>
      <c r="Z19" s="173" t="s">
        <v>43</v>
      </c>
      <c r="AA19" s="266">
        <v>7.15</v>
      </c>
      <c r="AB19" s="250">
        <v>687.87988984901665</v>
      </c>
      <c r="AC19" s="267">
        <f>AA19*AB19</f>
        <v>4918.3412124204697</v>
      </c>
      <c r="AD19" s="269">
        <f>AC19/$AC$27</f>
        <v>4.8851784987555595E-2</v>
      </c>
      <c r="AE19" s="303"/>
      <c r="AF19" s="173" t="s">
        <v>43</v>
      </c>
      <c r="AG19" s="266">
        <v>7.81</v>
      </c>
      <c r="AH19" s="250">
        <v>687.87988984901665</v>
      </c>
      <c r="AI19" s="267">
        <f>AG19*AH19</f>
        <v>5372.3419397208199</v>
      </c>
      <c r="AJ19" s="269">
        <f>AI19/$AI$27</f>
        <v>5.3336935830272138E-2</v>
      </c>
      <c r="AL19" s="173" t="s">
        <v>43</v>
      </c>
      <c r="AM19" s="162">
        <v>7.9450000000000003</v>
      </c>
      <c r="AN19" s="250">
        <v>687.87988984901665</v>
      </c>
      <c r="AO19" s="267">
        <f>AM19*AN19</f>
        <v>5465.205724850437</v>
      </c>
      <c r="AP19" s="269">
        <f>AO19/$AO$27</f>
        <v>5.3912012964170558E-2</v>
      </c>
      <c r="AR19" s="173" t="s">
        <v>43</v>
      </c>
      <c r="AS19" s="162">
        <v>7.96</v>
      </c>
      <c r="AT19" s="250">
        <v>687.87988984901665</v>
      </c>
      <c r="AU19" s="267">
        <f>AS19*AT19</f>
        <v>5475.5239231981723</v>
      </c>
      <c r="AV19" s="269">
        <f>AU19/$AU$27</f>
        <v>5.3564158172517813E-2</v>
      </c>
      <c r="AX19" s="173" t="s">
        <v>43</v>
      </c>
      <c r="AY19" s="162">
        <v>8.0399999999999991</v>
      </c>
      <c r="AZ19" s="250">
        <v>687.87988984901665</v>
      </c>
      <c r="BA19" s="267">
        <f>AY19*AZ19</f>
        <v>5530.5543143860932</v>
      </c>
      <c r="BB19" s="269">
        <f>BA19/$BA$27</f>
        <v>5.3619028909476271E-2</v>
      </c>
      <c r="BD19" s="173" t="s">
        <v>43</v>
      </c>
      <c r="BE19" s="162">
        <v>8.15</v>
      </c>
      <c r="BF19" s="250">
        <v>687.87988984901665</v>
      </c>
      <c r="BG19" s="267">
        <f>BE19*BF19</f>
        <v>5606.2211022694855</v>
      </c>
      <c r="BH19" s="269">
        <f>BG19/$BG$27</f>
        <v>5.4333152539531117E-2</v>
      </c>
      <c r="BJ19" s="173" t="s">
        <v>43</v>
      </c>
      <c r="BK19" s="162">
        <v>8.1999999999999993</v>
      </c>
      <c r="BL19" s="250">
        <v>687.87988984901665</v>
      </c>
      <c r="BM19" s="267">
        <f>BK19*BL19</f>
        <v>5640.615096761936</v>
      </c>
      <c r="BN19" s="269">
        <f>BM19/$BA$27</f>
        <v>5.4686074260908636E-2</v>
      </c>
      <c r="BP19" s="173" t="s">
        <v>43</v>
      </c>
      <c r="BQ19" s="162">
        <v>8.0850000000000009</v>
      </c>
      <c r="BR19" s="250">
        <v>687.87988984901665</v>
      </c>
      <c r="BS19" s="267">
        <f>BQ19*BR19</f>
        <v>5561.5089094292998</v>
      </c>
      <c r="BT19" s="269">
        <f>BS19/$BS$27</f>
        <v>5.4795096143607183E-2</v>
      </c>
      <c r="BV19" s="173" t="s">
        <v>43</v>
      </c>
      <c r="BW19" s="162">
        <v>8.06</v>
      </c>
      <c r="BX19" s="250">
        <v>687.87988984901665</v>
      </c>
      <c r="BY19" s="267">
        <f>BW19*BX19</f>
        <v>5544.3119121830741</v>
      </c>
      <c r="BZ19" s="269">
        <f>BY19/$BY$27</f>
        <v>5.4933308250100787E-2</v>
      </c>
      <c r="CB19" s="173" t="s">
        <v>43</v>
      </c>
      <c r="CC19" s="162">
        <v>7.8949999999999996</v>
      </c>
      <c r="CD19" s="250">
        <v>687.87988984901665</v>
      </c>
      <c r="CE19" s="267">
        <f>CC19*CD19</f>
        <v>5430.8117303579866</v>
      </c>
      <c r="CF19" s="269">
        <f>CE19/$CE$27</f>
        <v>5.3865293289449868E-2</v>
      </c>
      <c r="CH19" s="173" t="s">
        <v>43</v>
      </c>
      <c r="CI19" s="162">
        <v>7.8849999999999998</v>
      </c>
      <c r="CJ19" s="250">
        <v>687.87988984901665</v>
      </c>
      <c r="CK19" s="267">
        <f>CI19*CJ19</f>
        <v>5423.9329314594961</v>
      </c>
      <c r="CL19" s="269">
        <f>CK19/$CK$27</f>
        <v>5.3414108735293453E-2</v>
      </c>
      <c r="CN19" s="173" t="s">
        <v>43</v>
      </c>
      <c r="CO19" s="162">
        <v>7.95</v>
      </c>
      <c r="CP19" s="250">
        <v>687.87988984901665</v>
      </c>
      <c r="CQ19" s="267">
        <f>CO19*CP19</f>
        <v>5468.6451242996827</v>
      </c>
      <c r="CR19" s="269">
        <f>CQ19/$CK$27</f>
        <v>5.38544279575882E-2</v>
      </c>
      <c r="CT19" s="173" t="s">
        <v>43</v>
      </c>
      <c r="CU19" s="162">
        <v>7.85</v>
      </c>
      <c r="CV19" s="250">
        <v>687.87988984901665</v>
      </c>
      <c r="CW19" s="267">
        <f>CU19*CV19</f>
        <v>5399.8571353147809</v>
      </c>
      <c r="CX19" s="269">
        <f>CW19/$CK$27</f>
        <v>5.3177013769442436E-2</v>
      </c>
      <c r="CZ19" s="173" t="s">
        <v>43</v>
      </c>
      <c r="DA19" s="162">
        <v>7.85</v>
      </c>
      <c r="DB19" s="250">
        <v>687.87988984901665</v>
      </c>
      <c r="DC19" s="267">
        <f>DA19*DB19</f>
        <v>5399.8571353147809</v>
      </c>
      <c r="DD19" s="269">
        <f>DC19/$DC$27</f>
        <v>5.3535617764436272E-2</v>
      </c>
      <c r="DF19" s="173" t="s">
        <v>43</v>
      </c>
      <c r="DG19" s="162">
        <v>7.85</v>
      </c>
      <c r="DH19" s="250">
        <v>687.87988984901665</v>
      </c>
      <c r="DI19" s="267">
        <f>DG19*DH19</f>
        <v>5399.8571353147809</v>
      </c>
      <c r="DJ19" s="269">
        <f>DI19/$DI$27</f>
        <v>5.3525271417438007E-2</v>
      </c>
      <c r="DL19" s="173" t="s">
        <v>43</v>
      </c>
      <c r="DM19" s="162">
        <v>7.8</v>
      </c>
      <c r="DN19" s="250">
        <v>687.87988984901665</v>
      </c>
      <c r="DO19" s="267">
        <f>DM19*DN19</f>
        <v>5365.4631408223295</v>
      </c>
      <c r="DP19" s="269">
        <f>DO19/$DO$27</f>
        <v>5.3977782043450211E-2</v>
      </c>
      <c r="DQ19" s="155"/>
      <c r="DR19" s="173" t="s">
        <v>43</v>
      </c>
      <c r="DS19" s="162">
        <v>7.92</v>
      </c>
      <c r="DT19" s="250">
        <v>687.87988984901665</v>
      </c>
      <c r="DU19" s="267">
        <f>DS19*DT19</f>
        <v>5448.0087276042123</v>
      </c>
      <c r="DV19" s="269">
        <f>DU19/$DU$27</f>
        <v>5.3953632608248148E-2</v>
      </c>
      <c r="DW19" s="155"/>
      <c r="DX19" s="173" t="s">
        <v>43</v>
      </c>
      <c r="DY19" s="162">
        <v>8.08</v>
      </c>
      <c r="DZ19" s="250">
        <v>687.87988984901665</v>
      </c>
      <c r="EA19" s="267">
        <f>DY19*DZ19</f>
        <v>5558.0695099800541</v>
      </c>
      <c r="EB19" s="269">
        <f>EA19/$EA$27</f>
        <v>5.4074778612819091E-2</v>
      </c>
      <c r="EC19" s="155"/>
      <c r="ED19" s="173" t="s">
        <v>43</v>
      </c>
      <c r="EE19" s="162">
        <v>7.95</v>
      </c>
      <c r="EF19" s="250">
        <v>687.87988984901665</v>
      </c>
      <c r="EG19" s="267">
        <f>EE19*EF19</f>
        <v>5468.6451242996827</v>
      </c>
      <c r="EH19" s="269">
        <f>EG19/$EG$27</f>
        <v>5.377956816196551E-2</v>
      </c>
      <c r="EJ19" s="173" t="s">
        <v>43</v>
      </c>
      <c r="EK19" s="162">
        <v>7.9</v>
      </c>
      <c r="EL19" s="250">
        <v>687.87988984901665</v>
      </c>
      <c r="EM19" s="267">
        <f>EK19*EL19</f>
        <v>5434.2511298072313</v>
      </c>
      <c r="EN19" s="269">
        <f>EM19/$EM$28</f>
        <v>5.3248449022878015E-2</v>
      </c>
    </row>
    <row r="20" spans="2:144">
      <c r="B20" s="234" t="s">
        <v>47</v>
      </c>
      <c r="C20" s="242">
        <v>11.89</v>
      </c>
      <c r="D20" s="251">
        <v>1776.6105186250968</v>
      </c>
      <c r="E20" s="252">
        <f t="shared" ref="E20:E25" si="0">C20*D20</f>
        <v>21123.899066452403</v>
      </c>
      <c r="F20" s="240">
        <f t="shared" ref="F20:F26" si="1">E20/$E$27</f>
        <v>0.20758540785366339</v>
      </c>
      <c r="H20" s="173" t="s">
        <v>47</v>
      </c>
      <c r="I20" s="268">
        <v>11.5</v>
      </c>
      <c r="J20" s="251">
        <v>1776.6105186250968</v>
      </c>
      <c r="K20" s="264">
        <f t="shared" ref="K20:K25" si="2">I20*J20</f>
        <v>20431.020964188614</v>
      </c>
      <c r="L20" s="269">
        <f t="shared" ref="L20:L26" si="3">K20/$K$27</f>
        <v>0.20347066650998621</v>
      </c>
      <c r="M20" s="273"/>
      <c r="N20" s="173" t="s">
        <v>47</v>
      </c>
      <c r="O20" s="268">
        <v>11.72</v>
      </c>
      <c r="P20" s="251">
        <v>1776.6105186250968</v>
      </c>
      <c r="Q20" s="264">
        <f t="shared" ref="Q20:Q25" si="4">O20*P20</f>
        <v>20821.875278286134</v>
      </c>
      <c r="R20" s="269">
        <f t="shared" ref="R20:R26" si="5">Q20/$Q$27</f>
        <v>0.20832222515752657</v>
      </c>
      <c r="T20" s="173" t="s">
        <v>47</v>
      </c>
      <c r="U20" s="268">
        <v>11.5</v>
      </c>
      <c r="V20" s="251">
        <v>1776.6105186250968</v>
      </c>
      <c r="W20" s="264">
        <f t="shared" ref="W20:W25" si="6">U20*V20</f>
        <v>20431.020964188614</v>
      </c>
      <c r="X20" s="269">
        <f t="shared" ref="X20:X26" si="7">W20/$W$27</f>
        <v>0.20597726395562105</v>
      </c>
      <c r="Z20" s="173" t="s">
        <v>47</v>
      </c>
      <c r="AA20" s="268">
        <v>11.84</v>
      </c>
      <c r="AB20" s="251">
        <v>1776.6105186250968</v>
      </c>
      <c r="AC20" s="264">
        <f t="shared" ref="AC20:AC25" si="8">AA20*AB20</f>
        <v>21035.068540521144</v>
      </c>
      <c r="AD20" s="269">
        <f t="shared" ref="AD20:AD26" si="9">AC20/$AC$27</f>
        <v>0.20893236177778715</v>
      </c>
      <c r="AE20" s="303"/>
      <c r="AF20" s="173" t="s">
        <v>47</v>
      </c>
      <c r="AG20" s="268">
        <v>11.68</v>
      </c>
      <c r="AH20" s="251">
        <v>1776.6105186250968</v>
      </c>
      <c r="AI20" s="264">
        <f t="shared" ref="AI20:AI25" si="10">AG20*AH20</f>
        <v>20750.810857541132</v>
      </c>
      <c r="AJ20" s="269">
        <f t="shared" ref="AJ20:AJ26" si="11">AI20/$AI$27</f>
        <v>0.20601530571829182</v>
      </c>
      <c r="AL20" s="173" t="s">
        <v>47</v>
      </c>
      <c r="AM20" s="162">
        <v>11.38</v>
      </c>
      <c r="AN20" s="251">
        <v>1776.6105186250968</v>
      </c>
      <c r="AO20" s="264">
        <f t="shared" ref="AO20:AO25" si="12">AM20*AN20</f>
        <v>20217.827701953604</v>
      </c>
      <c r="AP20" s="269">
        <f t="shared" ref="AP20:AP26" si="13">AO20/$AO$27</f>
        <v>0.19944057809551502</v>
      </c>
      <c r="AR20" s="173" t="s">
        <v>47</v>
      </c>
      <c r="AS20" s="162">
        <v>11.7</v>
      </c>
      <c r="AT20" s="251">
        <v>1776.6105186250968</v>
      </c>
      <c r="AU20" s="264">
        <f t="shared" ref="AU20:AU25" si="14">AS20*AT20</f>
        <v>20786.343067913633</v>
      </c>
      <c r="AV20" s="269">
        <f t="shared" ref="AV20:AV26" si="15">AU20/$AU$27</f>
        <v>0.20334181414143523</v>
      </c>
      <c r="AX20" s="173" t="s">
        <v>47</v>
      </c>
      <c r="AY20" s="162">
        <v>11.84</v>
      </c>
      <c r="AZ20" s="251">
        <v>1776.6105186250968</v>
      </c>
      <c r="BA20" s="264">
        <f t="shared" ref="BA20:BA25" si="16">AY20*AZ20</f>
        <v>21035.068540521144</v>
      </c>
      <c r="BB20" s="269">
        <f t="shared" ref="BB20:BB26" si="17">BA20/$BA$27</f>
        <v>0.20393614890521439</v>
      </c>
      <c r="BD20" s="173" t="s">
        <v>47</v>
      </c>
      <c r="BE20" s="162">
        <v>12.16</v>
      </c>
      <c r="BF20" s="251">
        <v>1776.6105186250968</v>
      </c>
      <c r="BG20" s="264">
        <f t="shared" ref="BG20:BG25" si="18">BE20*BF20</f>
        <v>21603.583906481177</v>
      </c>
      <c r="BH20" s="269">
        <f t="shared" ref="BH20:BH26" si="19">BG20/$BG$27</f>
        <v>0.20937290884161391</v>
      </c>
      <c r="BJ20" s="173" t="s">
        <v>47</v>
      </c>
      <c r="BK20" s="162">
        <v>12.1</v>
      </c>
      <c r="BL20" s="251">
        <v>1776.6105186250968</v>
      </c>
      <c r="BM20" s="264">
        <f t="shared" ref="BM20:BM25" si="20">BK20*BL20</f>
        <v>21496.98727536367</v>
      </c>
      <c r="BN20" s="269">
        <f t="shared" ref="BN20:BN26" si="21">BM20/$BA$27</f>
        <v>0.20841447649941672</v>
      </c>
      <c r="BP20" s="173" t="s">
        <v>47</v>
      </c>
      <c r="BQ20" s="162">
        <v>12.15</v>
      </c>
      <c r="BR20" s="251">
        <v>1776.6105186250968</v>
      </c>
      <c r="BS20" s="264">
        <f t="shared" ref="BS20:BS25" si="22">BQ20*BR20</f>
        <v>21585.817801294928</v>
      </c>
      <c r="BT20" s="269">
        <f t="shared" ref="BT20:BT26" si="23">BS20/$BS$27</f>
        <v>0.21267554921200638</v>
      </c>
      <c r="BV20" s="173" t="s">
        <v>47</v>
      </c>
      <c r="BW20" s="162">
        <v>11.84</v>
      </c>
      <c r="BX20" s="251">
        <v>1776.6105186250968</v>
      </c>
      <c r="BY20" s="264">
        <f t="shared" ref="BY20:BY25" si="24">BW20*BX20</f>
        <v>21035.068540521144</v>
      </c>
      <c r="BZ20" s="269">
        <f t="shared" ref="BZ20:BZ26" si="25">BY20/$BY$27</f>
        <v>0.20841646763402552</v>
      </c>
      <c r="CB20" s="173" t="s">
        <v>47</v>
      </c>
      <c r="CC20" s="162">
        <v>11.78</v>
      </c>
      <c r="CD20" s="251">
        <v>1776.6105186250968</v>
      </c>
      <c r="CE20" s="264">
        <f t="shared" ref="CE20:CE25" si="26">CC20*CD20</f>
        <v>20928.471909403641</v>
      </c>
      <c r="CF20" s="269">
        <f t="shared" ref="CF20:CF26" si="27">CE20/$CE$27</f>
        <v>0.20757822835182868</v>
      </c>
      <c r="CH20" s="173" t="s">
        <v>47</v>
      </c>
      <c r="CI20" s="162">
        <v>11.65</v>
      </c>
      <c r="CJ20" s="251">
        <v>1776.6105186250968</v>
      </c>
      <c r="CK20" s="264">
        <f t="shared" ref="CK20:CK25" si="28">CI20*CJ20</f>
        <v>20697.512541982378</v>
      </c>
      <c r="CL20" s="269">
        <f t="shared" ref="CL20:CL26" si="29">CK20/$CK$27</f>
        <v>0.20382611648003238</v>
      </c>
      <c r="CN20" s="173" t="s">
        <v>47</v>
      </c>
      <c r="CO20" s="162">
        <v>11.42</v>
      </c>
      <c r="CP20" s="251">
        <v>1776.6105186250968</v>
      </c>
      <c r="CQ20" s="264">
        <f t="shared" ref="CQ20:CQ25" si="30">CO20*CP20</f>
        <v>20288.892122698606</v>
      </c>
      <c r="CR20" s="269">
        <f t="shared" ref="CR20:CR26" si="31">CQ20/$CK$27</f>
        <v>0.19980208156240084</v>
      </c>
      <c r="CT20" s="173" t="s">
        <v>47</v>
      </c>
      <c r="CU20" s="162">
        <v>11.18</v>
      </c>
      <c r="CV20" s="251">
        <v>1776.6105186250968</v>
      </c>
      <c r="CW20" s="264">
        <f t="shared" ref="CW20:CW25" si="32">CU20*CV20</f>
        <v>19862.505598228581</v>
      </c>
      <c r="CX20" s="269">
        <f t="shared" ref="CX20:CX26" si="33">CW20/$CK$27</f>
        <v>0.19560308860487224</v>
      </c>
      <c r="CZ20" s="173" t="s">
        <v>47</v>
      </c>
      <c r="DA20" s="162">
        <v>11.28</v>
      </c>
      <c r="DB20" s="251">
        <v>1776.6105186250968</v>
      </c>
      <c r="DC20" s="264">
        <f t="shared" ref="DC20:DC25" si="34">DA20*DB20</f>
        <v>20040.166650091091</v>
      </c>
      <c r="DD20" s="269">
        <f t="shared" ref="DD20:DD26" si="35">DC20/$DC$27</f>
        <v>0.19868353455101886</v>
      </c>
      <c r="DF20" s="173" t="s">
        <v>47</v>
      </c>
      <c r="DG20" s="162">
        <v>11.7</v>
      </c>
      <c r="DH20" s="251">
        <v>1776.6105186250968</v>
      </c>
      <c r="DI20" s="264">
        <f t="shared" ref="DI20:DI25" si="36">DG20*DH20</f>
        <v>20786.343067913633</v>
      </c>
      <c r="DJ20" s="269">
        <f t="shared" ref="DJ20:DJ26" si="37">DI20/$DI$27</f>
        <v>0.2060414982481199</v>
      </c>
      <c r="DL20" s="173" t="s">
        <v>47</v>
      </c>
      <c r="DM20" s="162">
        <v>11.91</v>
      </c>
      <c r="DN20" s="251">
        <v>1077</v>
      </c>
      <c r="DO20" s="264">
        <f t="shared" ref="DO20:DO25" si="38">DM20*DN20</f>
        <v>12827.07</v>
      </c>
      <c r="DP20" s="269">
        <f t="shared" ref="DP20:DP26" si="39">DO20/$DO$27</f>
        <v>0.12904324762726127</v>
      </c>
      <c r="DQ20" s="155"/>
      <c r="DR20" s="173" t="s">
        <v>47</v>
      </c>
      <c r="DS20" s="162">
        <v>12.07</v>
      </c>
      <c r="DT20" s="251">
        <v>1077</v>
      </c>
      <c r="DU20" s="264">
        <f t="shared" ref="DU20:DU25" si="40">DS20*DT20</f>
        <v>12999.39</v>
      </c>
      <c r="DV20" s="269">
        <f t="shared" ref="DV20:DV26" si="41">DU20/$DU$27</f>
        <v>0.12873773653071277</v>
      </c>
      <c r="DW20" s="149"/>
      <c r="DX20" s="173" t="s">
        <v>47</v>
      </c>
      <c r="DY20" s="162">
        <v>12.3</v>
      </c>
      <c r="DZ20" s="251">
        <v>1077</v>
      </c>
      <c r="EA20" s="264">
        <f t="shared" ref="EA20:EA25" si="42">DY20*DZ20</f>
        <v>13247.1</v>
      </c>
      <c r="EB20" s="269">
        <f t="shared" ref="EB20:EB26" si="43">EA20/$EA$27</f>
        <v>0.12888179942255643</v>
      </c>
      <c r="EC20" s="149"/>
      <c r="ED20" s="173" t="s">
        <v>47</v>
      </c>
      <c r="EE20" s="162">
        <v>12.25</v>
      </c>
      <c r="EF20" s="251">
        <v>1077</v>
      </c>
      <c r="EG20" s="264">
        <f t="shared" ref="EG20:EG25" si="44">EE20*EF20</f>
        <v>13193.25</v>
      </c>
      <c r="EH20" s="269">
        <f t="shared" ref="EH20:EH26" si="45">EG20/$EG$27</f>
        <v>0.12974462074712043</v>
      </c>
      <c r="EJ20" s="173" t="s">
        <v>47</v>
      </c>
      <c r="EK20" s="162">
        <v>12.3</v>
      </c>
      <c r="EL20" s="251">
        <v>1077</v>
      </c>
      <c r="EM20" s="264">
        <f t="shared" ref="EM20:EM26" si="46">EK20*EL20</f>
        <v>13247.1</v>
      </c>
      <c r="EN20" s="269">
        <f t="shared" ref="EN20:EN27" si="47">EM20/$EM$28</f>
        <v>0.12980399915305157</v>
      </c>
    </row>
    <row r="21" spans="2:144">
      <c r="B21" s="234" t="s">
        <v>12</v>
      </c>
      <c r="C21" s="242">
        <v>15.01</v>
      </c>
      <c r="D21" s="251">
        <v>243.39360222531289</v>
      </c>
      <c r="E21" s="252">
        <f t="shared" si="0"/>
        <v>3653.3379694019463</v>
      </c>
      <c r="F21" s="240">
        <f t="shared" si="1"/>
        <v>3.5901499529979605E-2</v>
      </c>
      <c r="H21" s="173" t="s">
        <v>12</v>
      </c>
      <c r="I21" s="268">
        <v>14.92</v>
      </c>
      <c r="J21" s="251">
        <v>243.39360222531289</v>
      </c>
      <c r="K21" s="264">
        <f t="shared" si="2"/>
        <v>3631.4325452016683</v>
      </c>
      <c r="L21" s="269">
        <f t="shared" si="3"/>
        <v>3.6165104115617207E-2</v>
      </c>
      <c r="M21" s="273"/>
      <c r="N21" s="173" t="s">
        <v>12</v>
      </c>
      <c r="O21" s="268">
        <v>13.88</v>
      </c>
      <c r="P21" s="251">
        <v>243.39360222531289</v>
      </c>
      <c r="Q21" s="264">
        <f t="shared" si="4"/>
        <v>3378.3031988873431</v>
      </c>
      <c r="R21" s="269">
        <f t="shared" si="5"/>
        <v>3.3799820152747059E-2</v>
      </c>
      <c r="T21" s="173" t="s">
        <v>12</v>
      </c>
      <c r="U21" s="268">
        <v>13</v>
      </c>
      <c r="V21" s="251">
        <v>243.39360222531289</v>
      </c>
      <c r="W21" s="264">
        <f t="shared" si="6"/>
        <v>3164.1168289290677</v>
      </c>
      <c r="X21" s="269">
        <f t="shared" si="7"/>
        <v>3.189934210341739E-2</v>
      </c>
      <c r="Z21" s="173" t="s">
        <v>12</v>
      </c>
      <c r="AA21" s="268">
        <v>12.65</v>
      </c>
      <c r="AB21" s="251">
        <v>243.39360222531289</v>
      </c>
      <c r="AC21" s="264">
        <f t="shared" si="8"/>
        <v>3078.929068150208</v>
      </c>
      <c r="AD21" s="269">
        <f t="shared" si="9"/>
        <v>3.0581688893273597E-2</v>
      </c>
      <c r="AE21" s="303"/>
      <c r="AF21" s="173" t="s">
        <v>12</v>
      </c>
      <c r="AG21" s="268">
        <v>13.6</v>
      </c>
      <c r="AH21" s="251">
        <v>243.39360222531289</v>
      </c>
      <c r="AI21" s="264">
        <f t="shared" si="10"/>
        <v>3310.1529902642551</v>
      </c>
      <c r="AJ21" s="269">
        <f t="shared" si="11"/>
        <v>3.2863399167641742E-2</v>
      </c>
      <c r="AL21" s="173" t="s">
        <v>12</v>
      </c>
      <c r="AM21" s="162">
        <v>13.6</v>
      </c>
      <c r="AN21" s="251">
        <v>243.39360222531289</v>
      </c>
      <c r="AO21" s="264">
        <f t="shared" si="12"/>
        <v>3310.1529902642551</v>
      </c>
      <c r="AP21" s="269">
        <f t="shared" si="13"/>
        <v>3.265330161553949E-2</v>
      </c>
      <c r="AR21" s="173" t="s">
        <v>12</v>
      </c>
      <c r="AS21" s="162">
        <v>13.75</v>
      </c>
      <c r="AT21" s="251">
        <v>243.39360222531289</v>
      </c>
      <c r="AU21" s="264">
        <f t="shared" si="14"/>
        <v>3346.6620305980523</v>
      </c>
      <c r="AV21" s="269">
        <f t="shared" si="15"/>
        <v>3.2738626818419589E-2</v>
      </c>
      <c r="AX21" s="173" t="s">
        <v>12</v>
      </c>
      <c r="AY21" s="162">
        <v>14.12</v>
      </c>
      <c r="AZ21" s="251">
        <v>243.39360222531289</v>
      </c>
      <c r="BA21" s="264">
        <f t="shared" si="16"/>
        <v>3436.7176634214179</v>
      </c>
      <c r="BB21" s="269">
        <f t="shared" si="17"/>
        <v>3.331916717088703E-2</v>
      </c>
      <c r="BD21" s="173" t="s">
        <v>12</v>
      </c>
      <c r="BE21" s="162">
        <v>14.29</v>
      </c>
      <c r="BF21" s="251">
        <v>243.39360222531289</v>
      </c>
      <c r="BG21" s="264">
        <f t="shared" si="18"/>
        <v>3478.094575799721</v>
      </c>
      <c r="BH21" s="269">
        <f t="shared" si="19"/>
        <v>3.3708239415912736E-2</v>
      </c>
      <c r="BJ21" s="173" t="s">
        <v>12</v>
      </c>
      <c r="BK21" s="162">
        <v>14.29</v>
      </c>
      <c r="BL21" s="251">
        <v>243.39360222531289</v>
      </c>
      <c r="BM21" s="264">
        <f t="shared" si="20"/>
        <v>3478.094575799721</v>
      </c>
      <c r="BN21" s="269">
        <f t="shared" si="21"/>
        <v>3.3720318616995447E-2</v>
      </c>
      <c r="BP21" s="173" t="s">
        <v>12</v>
      </c>
      <c r="BQ21" s="162">
        <v>13.93</v>
      </c>
      <c r="BR21" s="251">
        <v>243.39360222531289</v>
      </c>
      <c r="BS21" s="264">
        <f t="shared" si="22"/>
        <v>3390.4728789986084</v>
      </c>
      <c r="BT21" s="269">
        <f t="shared" si="23"/>
        <v>3.3404834983189038E-2</v>
      </c>
      <c r="BV21" s="173" t="s">
        <v>12</v>
      </c>
      <c r="BW21" s="162">
        <v>14.2</v>
      </c>
      <c r="BX21" s="251">
        <v>243.39360222531289</v>
      </c>
      <c r="BY21" s="264">
        <f t="shared" si="24"/>
        <v>3456.189151599443</v>
      </c>
      <c r="BZ21" s="269">
        <f t="shared" si="25"/>
        <v>3.4244087822380316E-2</v>
      </c>
      <c r="CB21" s="173" t="s">
        <v>12</v>
      </c>
      <c r="CC21" s="162">
        <v>14.18</v>
      </c>
      <c r="CD21" s="251">
        <v>243.39360222531289</v>
      </c>
      <c r="CE21" s="264">
        <f t="shared" si="26"/>
        <v>3451.3212795549366</v>
      </c>
      <c r="CF21" s="269">
        <f t="shared" si="27"/>
        <v>3.4231794838354951E-2</v>
      </c>
      <c r="CH21" s="173" t="s">
        <v>12</v>
      </c>
      <c r="CI21" s="162">
        <v>14.19</v>
      </c>
      <c r="CJ21" s="251">
        <v>243.39360222531289</v>
      </c>
      <c r="CK21" s="264">
        <f t="shared" si="28"/>
        <v>3453.7552155771896</v>
      </c>
      <c r="CL21" s="269">
        <f t="shared" si="29"/>
        <v>3.401208292232448E-2</v>
      </c>
      <c r="CN21" s="173" t="s">
        <v>12</v>
      </c>
      <c r="CO21" s="162">
        <v>14.29</v>
      </c>
      <c r="CP21" s="251">
        <v>243.39360222531289</v>
      </c>
      <c r="CQ21" s="264">
        <f t="shared" si="30"/>
        <v>3478.094575799721</v>
      </c>
      <c r="CR21" s="269">
        <f t="shared" si="31"/>
        <v>3.4251773429176659E-2</v>
      </c>
      <c r="CT21" s="173" t="s">
        <v>12</v>
      </c>
      <c r="CU21" s="162">
        <v>14.3</v>
      </c>
      <c r="CV21" s="251">
        <v>243.39360222531289</v>
      </c>
      <c r="CW21" s="264">
        <f t="shared" si="32"/>
        <v>3480.5285118219745</v>
      </c>
      <c r="CX21" s="269">
        <f t="shared" si="33"/>
        <v>3.4275742479861884E-2</v>
      </c>
      <c r="CZ21" s="173" t="s">
        <v>12</v>
      </c>
      <c r="DA21" s="162">
        <v>14.29</v>
      </c>
      <c r="DB21" s="251">
        <v>243.39360222531289</v>
      </c>
      <c r="DC21" s="264">
        <f t="shared" si="34"/>
        <v>3478.094575799721</v>
      </c>
      <c r="DD21" s="269">
        <f t="shared" si="35"/>
        <v>3.4482753356717924E-2</v>
      </c>
      <c r="DF21" s="173" t="s">
        <v>12</v>
      </c>
      <c r="DG21" s="162">
        <v>14.29</v>
      </c>
      <c r="DH21" s="251">
        <v>243.39360222531289</v>
      </c>
      <c r="DI21" s="264">
        <f t="shared" si="36"/>
        <v>3478.094575799721</v>
      </c>
      <c r="DJ21" s="269">
        <f t="shared" si="37"/>
        <v>3.4476089185338524E-2</v>
      </c>
      <c r="DL21" s="173" t="s">
        <v>12</v>
      </c>
      <c r="DM21" s="162">
        <v>14.98</v>
      </c>
      <c r="DN21" s="251">
        <v>243.39360222531289</v>
      </c>
      <c r="DO21" s="264">
        <f t="shared" si="38"/>
        <v>3646.036161335187</v>
      </c>
      <c r="DP21" s="269">
        <f t="shared" si="39"/>
        <v>3.6679954753901373E-2</v>
      </c>
      <c r="DQ21" s="155"/>
      <c r="DR21" s="173" t="s">
        <v>12</v>
      </c>
      <c r="DS21" s="162">
        <v>14.67</v>
      </c>
      <c r="DT21" s="251">
        <v>243.39360222531289</v>
      </c>
      <c r="DU21" s="264">
        <f t="shared" si="40"/>
        <v>3570.5841446453401</v>
      </c>
      <c r="DV21" s="269">
        <f t="shared" si="41"/>
        <v>3.5360806997412356E-2</v>
      </c>
      <c r="DW21" s="339"/>
      <c r="DX21" s="173" t="s">
        <v>12</v>
      </c>
      <c r="DY21" s="162">
        <v>15.1</v>
      </c>
      <c r="DZ21" s="251">
        <v>243.39360222531289</v>
      </c>
      <c r="EA21" s="264">
        <f t="shared" si="42"/>
        <v>3675.2433936022244</v>
      </c>
      <c r="EB21" s="269">
        <f t="shared" si="43"/>
        <v>3.575665480620796E-2</v>
      </c>
      <c r="EC21" s="149"/>
      <c r="ED21" s="173" t="s">
        <v>12</v>
      </c>
      <c r="EE21" s="162">
        <v>15.2</v>
      </c>
      <c r="EF21" s="251">
        <v>243.39360222531289</v>
      </c>
      <c r="EG21" s="264">
        <f t="shared" si="44"/>
        <v>3699.5827538247559</v>
      </c>
      <c r="EH21" s="269">
        <f t="shared" si="45"/>
        <v>3.6382313783001177E-2</v>
      </c>
      <c r="EJ21" s="173" t="s">
        <v>12</v>
      </c>
      <c r="EK21" s="162">
        <v>15.6</v>
      </c>
      <c r="EL21" s="251">
        <f>243.393602225313</f>
        <v>243.393602225313</v>
      </c>
      <c r="EM21" s="264">
        <f t="shared" si="46"/>
        <v>3796.9401947148826</v>
      </c>
      <c r="EN21" s="269">
        <f t="shared" si="47"/>
        <v>3.7204974811012079E-2</v>
      </c>
    </row>
    <row r="22" spans="2:144">
      <c r="B22" s="234" t="s">
        <v>14</v>
      </c>
      <c r="C22" s="242">
        <v>5.98</v>
      </c>
      <c r="D22" s="251">
        <v>603.44827586206895</v>
      </c>
      <c r="E22" s="252">
        <f t="shared" si="0"/>
        <v>3608.6206896551726</v>
      </c>
      <c r="F22" s="240">
        <f t="shared" si="1"/>
        <v>3.5462061018881878E-2</v>
      </c>
      <c r="H22" s="173" t="s">
        <v>14</v>
      </c>
      <c r="I22" s="268">
        <v>5.74</v>
      </c>
      <c r="J22" s="251">
        <v>603.44827586206895</v>
      </c>
      <c r="K22" s="264">
        <f t="shared" si="2"/>
        <v>3463.7931034482758</v>
      </c>
      <c r="L22" s="269">
        <f t="shared" si="3"/>
        <v>3.4495598269251915E-2</v>
      </c>
      <c r="M22" s="273"/>
      <c r="N22" s="173" t="s">
        <v>14</v>
      </c>
      <c r="O22" s="268">
        <v>5.93</v>
      </c>
      <c r="P22" s="251">
        <v>603.44827586206895</v>
      </c>
      <c r="Q22" s="264">
        <f t="shared" si="4"/>
        <v>3578.4482758620688</v>
      </c>
      <c r="R22" s="269">
        <f t="shared" si="5"/>
        <v>3.5802265524859156E-2</v>
      </c>
      <c r="T22" s="173" t="s">
        <v>14</v>
      </c>
      <c r="U22" s="268">
        <v>5.7</v>
      </c>
      <c r="V22" s="251">
        <v>603.44827586206895</v>
      </c>
      <c r="W22" s="264">
        <f t="shared" si="6"/>
        <v>3439.655172413793</v>
      </c>
      <c r="X22" s="269">
        <f t="shared" si="7"/>
        <v>3.467720788924019E-2</v>
      </c>
      <c r="Z22" s="173" t="s">
        <v>14</v>
      </c>
      <c r="AA22" s="268">
        <v>5.78</v>
      </c>
      <c r="AB22" s="251">
        <v>603.44827586206895</v>
      </c>
      <c r="AC22" s="264">
        <f t="shared" si="8"/>
        <v>3487.9310344827586</v>
      </c>
      <c r="AD22" s="269">
        <f t="shared" si="9"/>
        <v>3.4644130935380754E-2</v>
      </c>
      <c r="AE22" s="303"/>
      <c r="AF22" s="173" t="s">
        <v>14</v>
      </c>
      <c r="AG22" s="268">
        <v>5.9</v>
      </c>
      <c r="AH22" s="251">
        <v>603</v>
      </c>
      <c r="AI22" s="264">
        <f t="shared" si="10"/>
        <v>3557.7000000000003</v>
      </c>
      <c r="AJ22" s="269">
        <f t="shared" si="11"/>
        <v>3.5321060858092015E-2</v>
      </c>
      <c r="AL22" s="173" t="s">
        <v>14</v>
      </c>
      <c r="AM22" s="162">
        <v>6.03</v>
      </c>
      <c r="AN22" s="251">
        <v>603.44827586206895</v>
      </c>
      <c r="AO22" s="264">
        <f t="shared" si="12"/>
        <v>3638.7931034482758</v>
      </c>
      <c r="AP22" s="269">
        <f t="shared" si="13"/>
        <v>3.5895201542922056E-2</v>
      </c>
      <c r="AR22" s="173" t="s">
        <v>14</v>
      </c>
      <c r="AS22" s="162">
        <v>6.25</v>
      </c>
      <c r="AT22" s="251">
        <v>603.44827586206895</v>
      </c>
      <c r="AU22" s="264">
        <f t="shared" si="14"/>
        <v>3771.5517241379312</v>
      </c>
      <c r="AV22" s="269">
        <f t="shared" si="15"/>
        <v>3.6895098248344339E-2</v>
      </c>
      <c r="AX22" s="173" t="s">
        <v>14</v>
      </c>
      <c r="AY22" s="162">
        <v>6.11</v>
      </c>
      <c r="AZ22" s="251">
        <v>603.44827586206895</v>
      </c>
      <c r="BA22" s="264">
        <f t="shared" si="16"/>
        <v>3687.0689655172414</v>
      </c>
      <c r="BB22" s="269">
        <f t="shared" si="17"/>
        <v>3.5746336843497151E-2</v>
      </c>
      <c r="BD22" s="173" t="s">
        <v>14</v>
      </c>
      <c r="BE22" s="162">
        <v>6.05</v>
      </c>
      <c r="BF22" s="251">
        <v>603.44827586206895</v>
      </c>
      <c r="BG22" s="264">
        <f t="shared" si="18"/>
        <v>3650.8620689655172</v>
      </c>
      <c r="BH22" s="269">
        <f t="shared" si="19"/>
        <v>3.5382629774196962E-2</v>
      </c>
      <c r="BJ22" s="173" t="s">
        <v>14</v>
      </c>
      <c r="BK22" s="162">
        <v>6</v>
      </c>
      <c r="BL22" s="251">
        <v>603.44827586206895</v>
      </c>
      <c r="BM22" s="264">
        <f t="shared" si="20"/>
        <v>3620.6896551724139</v>
      </c>
      <c r="BN22" s="269">
        <f t="shared" si="21"/>
        <v>3.5102785771028301E-2</v>
      </c>
      <c r="BP22" s="173" t="s">
        <v>14</v>
      </c>
      <c r="BQ22" s="162">
        <v>5.58</v>
      </c>
      <c r="BR22" s="251">
        <v>603.44827586206895</v>
      </c>
      <c r="BS22" s="264">
        <f t="shared" si="22"/>
        <v>3367.2413793103447</v>
      </c>
      <c r="BT22" s="269">
        <f t="shared" si="23"/>
        <v>3.3175945255651193E-2</v>
      </c>
      <c r="BV22" s="173" t="s">
        <v>14</v>
      </c>
      <c r="BW22" s="162">
        <v>5.51</v>
      </c>
      <c r="BX22" s="251">
        <v>603.44827586206895</v>
      </c>
      <c r="BY22" s="264">
        <f t="shared" si="24"/>
        <v>3325</v>
      </c>
      <c r="BZ22" s="269">
        <f t="shared" si="25"/>
        <v>3.2944259418418137E-2</v>
      </c>
      <c r="CB22" s="173"/>
      <c r="CC22" s="162"/>
      <c r="CD22" s="251"/>
      <c r="CE22" s="264">
        <f t="shared" si="26"/>
        <v>0</v>
      </c>
      <c r="CF22" s="269">
        <f t="shared" si="27"/>
        <v>0</v>
      </c>
      <c r="CH22" s="173" t="s">
        <v>6</v>
      </c>
      <c r="CI22" s="149">
        <v>21.78</v>
      </c>
      <c r="CJ22" s="251">
        <v>961</v>
      </c>
      <c r="CK22" s="264">
        <f t="shared" si="28"/>
        <v>20930.580000000002</v>
      </c>
      <c r="CL22" s="269">
        <f t="shared" si="29"/>
        <v>0.20612133117065023</v>
      </c>
      <c r="CN22" s="173" t="s">
        <v>6</v>
      </c>
      <c r="CO22" s="149">
        <v>21.71</v>
      </c>
      <c r="CP22" s="251">
        <v>961</v>
      </c>
      <c r="CQ22" s="264">
        <f t="shared" si="30"/>
        <v>20863.310000000001</v>
      </c>
      <c r="CR22" s="269">
        <f t="shared" si="31"/>
        <v>0.20545886591895393</v>
      </c>
      <c r="CT22" s="173" t="s">
        <v>6</v>
      </c>
      <c r="CU22" s="149">
        <v>21.23</v>
      </c>
      <c r="CV22" s="251">
        <v>961</v>
      </c>
      <c r="CW22" s="264">
        <f t="shared" si="32"/>
        <v>20402.03</v>
      </c>
      <c r="CX22" s="269">
        <f t="shared" si="33"/>
        <v>0.20091624705017924</v>
      </c>
      <c r="CZ22" s="173" t="s">
        <v>6</v>
      </c>
      <c r="DA22" s="149">
        <v>21.29</v>
      </c>
      <c r="DB22" s="251">
        <v>961</v>
      </c>
      <c r="DC22" s="264">
        <f t="shared" si="34"/>
        <v>20459.689999999999</v>
      </c>
      <c r="DD22" s="269">
        <f t="shared" si="35"/>
        <v>0.20284280046142519</v>
      </c>
      <c r="DF22" s="173" t="s">
        <v>6</v>
      </c>
      <c r="DG22" s="149">
        <v>21.24</v>
      </c>
      <c r="DH22" s="251">
        <v>961</v>
      </c>
      <c r="DI22" s="264">
        <f t="shared" si="36"/>
        <v>20411.64</v>
      </c>
      <c r="DJ22" s="269">
        <f t="shared" si="37"/>
        <v>0.20232731046343608</v>
      </c>
      <c r="DL22" s="173" t="s">
        <v>6</v>
      </c>
      <c r="DM22" s="149">
        <v>20.21</v>
      </c>
      <c r="DN22" s="251">
        <v>961</v>
      </c>
      <c r="DO22" s="264">
        <f t="shared" si="38"/>
        <v>19421.810000000001</v>
      </c>
      <c r="DP22" s="269">
        <f t="shared" si="39"/>
        <v>0.19538783503946103</v>
      </c>
      <c r="DQ22" s="155"/>
      <c r="DR22" s="173" t="s">
        <v>6</v>
      </c>
      <c r="DS22" s="149">
        <v>20.65</v>
      </c>
      <c r="DT22" s="251">
        <v>961</v>
      </c>
      <c r="DU22" s="264">
        <f t="shared" si="40"/>
        <v>19844.649999999998</v>
      </c>
      <c r="DV22" s="269">
        <f t="shared" si="41"/>
        <v>0.19652886198846323</v>
      </c>
      <c r="DW22" s="339"/>
      <c r="DX22" s="173" t="s">
        <v>6</v>
      </c>
      <c r="DY22" s="149">
        <v>21.36</v>
      </c>
      <c r="DZ22" s="251">
        <v>961</v>
      </c>
      <c r="EA22" s="264">
        <f t="shared" si="42"/>
        <v>20526.96</v>
      </c>
      <c r="EB22" s="269">
        <f t="shared" si="43"/>
        <v>0.19970797695154702</v>
      </c>
      <c r="EC22" s="149"/>
      <c r="ED22" s="173" t="s">
        <v>6</v>
      </c>
      <c r="EE22" s="149">
        <v>20.62</v>
      </c>
      <c r="EF22" s="251">
        <v>961</v>
      </c>
      <c r="EG22" s="264">
        <f t="shared" si="44"/>
        <v>19815.82</v>
      </c>
      <c r="EH22" s="269">
        <f t="shared" si="45"/>
        <v>0.1948720785775456</v>
      </c>
      <c r="EJ22" s="173" t="s">
        <v>6</v>
      </c>
      <c r="EK22" s="149">
        <v>21</v>
      </c>
      <c r="EL22" s="251">
        <v>961</v>
      </c>
      <c r="EM22" s="264">
        <f t="shared" si="46"/>
        <v>20181</v>
      </c>
      <c r="EN22" s="269">
        <f t="shared" si="47"/>
        <v>0.19774701684955451</v>
      </c>
    </row>
    <row r="23" spans="2:144">
      <c r="B23" s="234" t="s">
        <v>16</v>
      </c>
      <c r="C23" s="242">
        <v>12.08</v>
      </c>
      <c r="D23" s="251">
        <v>484.27030913960425</v>
      </c>
      <c r="E23" s="252">
        <f t="shared" si="0"/>
        <v>5849.9853344064195</v>
      </c>
      <c r="F23" s="240">
        <f t="shared" si="1"/>
        <v>5.7488041755950813E-2</v>
      </c>
      <c r="H23" s="173" t="s">
        <v>16</v>
      </c>
      <c r="I23" s="268">
        <v>11.76</v>
      </c>
      <c r="J23" s="251">
        <v>484.27030913960425</v>
      </c>
      <c r="K23" s="264">
        <f t="shared" si="2"/>
        <v>5695.0188354817456</v>
      </c>
      <c r="L23" s="269">
        <f t="shared" si="3"/>
        <v>5.6716170977137215E-2</v>
      </c>
      <c r="M23" s="273"/>
      <c r="N23" s="173" t="s">
        <v>16</v>
      </c>
      <c r="O23" s="268">
        <v>11.36</v>
      </c>
      <c r="P23" s="251">
        <v>484.27030913960425</v>
      </c>
      <c r="Q23" s="264">
        <f t="shared" si="4"/>
        <v>5501.310711825904</v>
      </c>
      <c r="R23" s="269">
        <f t="shared" si="5"/>
        <v>5.5040445370722668E-2</v>
      </c>
      <c r="T23" s="173" t="s">
        <v>16</v>
      </c>
      <c r="U23" s="268">
        <v>11</v>
      </c>
      <c r="V23" s="251">
        <v>484.27030913960425</v>
      </c>
      <c r="W23" s="264">
        <f t="shared" si="6"/>
        <v>5326.9734005356468</v>
      </c>
      <c r="X23" s="269">
        <f t="shared" si="7"/>
        <v>5.3704384530265596E-2</v>
      </c>
      <c r="Z23" s="173" t="s">
        <v>16</v>
      </c>
      <c r="AA23" s="268">
        <v>11.3</v>
      </c>
      <c r="AB23" s="251">
        <v>484.27030913960425</v>
      </c>
      <c r="AC23" s="264">
        <f t="shared" si="8"/>
        <v>5472.2544932775281</v>
      </c>
      <c r="AD23" s="269">
        <f t="shared" si="9"/>
        <v>5.4353569294395832E-2</v>
      </c>
      <c r="AE23" s="303"/>
      <c r="AF23" s="173" t="s">
        <v>16</v>
      </c>
      <c r="AG23" s="268">
        <v>12.1</v>
      </c>
      <c r="AH23" s="251">
        <v>484.27030913960425</v>
      </c>
      <c r="AI23" s="264">
        <f t="shared" si="10"/>
        <v>5859.6707405892112</v>
      </c>
      <c r="AJ23" s="269">
        <f t="shared" si="11"/>
        <v>5.8175165651047765E-2</v>
      </c>
      <c r="AL23" s="173" t="s">
        <v>16</v>
      </c>
      <c r="AM23" s="162">
        <v>12.08</v>
      </c>
      <c r="AN23" s="251">
        <v>484.27030913960425</v>
      </c>
      <c r="AO23" s="264">
        <f t="shared" si="12"/>
        <v>5849.9853344064195</v>
      </c>
      <c r="AP23" s="269">
        <f t="shared" si="13"/>
        <v>5.7707705998086188E-2</v>
      </c>
      <c r="AR23" s="173" t="s">
        <v>237</v>
      </c>
      <c r="AS23" s="162">
        <v>12.64</v>
      </c>
      <c r="AT23" s="251">
        <v>484.27030913960425</v>
      </c>
      <c r="AU23" s="264">
        <f t="shared" si="14"/>
        <v>6121.176707524598</v>
      </c>
      <c r="AV23" s="269">
        <f t="shared" si="15"/>
        <v>5.9880238304624571E-2</v>
      </c>
      <c r="AX23" s="173" t="s">
        <v>239</v>
      </c>
      <c r="AY23" s="162">
        <v>7.86</v>
      </c>
      <c r="AZ23" s="251">
        <v>3416</v>
      </c>
      <c r="BA23" s="264">
        <f t="shared" si="16"/>
        <v>26849.760000000002</v>
      </c>
      <c r="BB23" s="269">
        <f t="shared" si="17"/>
        <v>0.26030990309735452</v>
      </c>
      <c r="BD23" s="173" t="s">
        <v>239</v>
      </c>
      <c r="BE23" s="162">
        <v>7.66</v>
      </c>
      <c r="BF23" s="251">
        <v>3416</v>
      </c>
      <c r="BG23" s="264">
        <f t="shared" si="18"/>
        <v>26166.560000000001</v>
      </c>
      <c r="BH23" s="269">
        <f t="shared" si="19"/>
        <v>0.25359536664354215</v>
      </c>
      <c r="BJ23" s="173" t="s">
        <v>239</v>
      </c>
      <c r="BK23" s="162">
        <v>7.56</v>
      </c>
      <c r="BL23" s="251">
        <v>3416</v>
      </c>
      <c r="BM23" s="264">
        <f t="shared" si="20"/>
        <v>25824.959999999999</v>
      </c>
      <c r="BN23" s="269">
        <f t="shared" si="21"/>
        <v>0.25037441061272264</v>
      </c>
      <c r="BP23" s="173" t="s">
        <v>239</v>
      </c>
      <c r="BQ23" s="162">
        <v>7.66</v>
      </c>
      <c r="BR23" s="251">
        <v>3416</v>
      </c>
      <c r="BS23" s="264">
        <f t="shared" si="22"/>
        <v>26166.560000000001</v>
      </c>
      <c r="BT23" s="269">
        <f t="shared" si="23"/>
        <v>0.25780758321118952</v>
      </c>
      <c r="BV23" s="173" t="s">
        <v>239</v>
      </c>
      <c r="BW23" s="162">
        <v>7.56</v>
      </c>
      <c r="BX23" s="251">
        <v>3416</v>
      </c>
      <c r="BY23" s="264">
        <f t="shared" si="24"/>
        <v>25824.959999999999</v>
      </c>
      <c r="BZ23" s="269">
        <f t="shared" si="25"/>
        <v>0.25587494186775089</v>
      </c>
      <c r="CB23" s="173" t="s">
        <v>239</v>
      </c>
      <c r="CC23" s="162">
        <v>7.58</v>
      </c>
      <c r="CD23" s="251">
        <v>3000</v>
      </c>
      <c r="CE23" s="264">
        <f t="shared" si="26"/>
        <v>22740</v>
      </c>
      <c r="CF23" s="269">
        <f t="shared" si="27"/>
        <v>0.22554579871641905</v>
      </c>
      <c r="CH23" s="173" t="s">
        <v>239</v>
      </c>
      <c r="CI23" s="162">
        <v>7.84</v>
      </c>
      <c r="CJ23" s="251">
        <v>3000</v>
      </c>
      <c r="CK23" s="264">
        <f t="shared" si="28"/>
        <v>23520</v>
      </c>
      <c r="CL23" s="269">
        <f t="shared" si="29"/>
        <v>0.23162156562950922</v>
      </c>
      <c r="CN23" s="173" t="s">
        <v>239</v>
      </c>
      <c r="CO23" s="162">
        <v>8</v>
      </c>
      <c r="CP23" s="251">
        <v>3000</v>
      </c>
      <c r="CQ23" s="264">
        <f t="shared" si="30"/>
        <v>24000</v>
      </c>
      <c r="CR23" s="269">
        <f t="shared" si="31"/>
        <v>0.23634853635664205</v>
      </c>
      <c r="CT23" s="173" t="s">
        <v>239</v>
      </c>
      <c r="CU23" s="162">
        <v>8</v>
      </c>
      <c r="CV23" s="251">
        <v>3000</v>
      </c>
      <c r="CW23" s="264">
        <f t="shared" si="32"/>
        <v>24000</v>
      </c>
      <c r="CX23" s="269">
        <f t="shared" si="33"/>
        <v>0.23634853635664205</v>
      </c>
      <c r="CZ23" s="173" t="s">
        <v>239</v>
      </c>
      <c r="DA23" s="162">
        <v>7.94</v>
      </c>
      <c r="DB23" s="251">
        <v>3000</v>
      </c>
      <c r="DC23" s="264">
        <f t="shared" si="34"/>
        <v>23820</v>
      </c>
      <c r="DD23" s="269">
        <f t="shared" si="35"/>
        <v>0.23615780625176375</v>
      </c>
      <c r="DF23" s="173" t="s">
        <v>239</v>
      </c>
      <c r="DG23" s="162">
        <v>7.78</v>
      </c>
      <c r="DH23" s="251">
        <v>3000</v>
      </c>
      <c r="DI23" s="264">
        <f t="shared" si="36"/>
        <v>23340</v>
      </c>
      <c r="DJ23" s="269">
        <f t="shared" si="37"/>
        <v>0.23135423837656349</v>
      </c>
      <c r="DL23" s="173" t="s">
        <v>239</v>
      </c>
      <c r="DM23" s="162">
        <v>7.44</v>
      </c>
      <c r="DN23" s="251">
        <v>3000</v>
      </c>
      <c r="DO23" s="264">
        <f t="shared" si="38"/>
        <v>22320</v>
      </c>
      <c r="DP23" s="269">
        <f t="shared" si="39"/>
        <v>0.22454428696814405</v>
      </c>
      <c r="DQ23" s="155"/>
      <c r="DR23" s="173" t="s">
        <v>239</v>
      </c>
      <c r="DS23" s="162">
        <v>7.74</v>
      </c>
      <c r="DT23" s="251">
        <v>3000</v>
      </c>
      <c r="DU23" s="264">
        <f t="shared" si="40"/>
        <v>23220</v>
      </c>
      <c r="DV23" s="269">
        <f t="shared" si="41"/>
        <v>0.22995619350162974</v>
      </c>
      <c r="DW23" s="339"/>
      <c r="DX23" s="173" t="s">
        <v>239</v>
      </c>
      <c r="DY23" s="162">
        <v>7.86</v>
      </c>
      <c r="DZ23" s="251">
        <v>3000</v>
      </c>
      <c r="EA23" s="264">
        <f t="shared" si="42"/>
        <v>23580</v>
      </c>
      <c r="EB23" s="269">
        <f t="shared" si="43"/>
        <v>0.2294111790794876</v>
      </c>
      <c r="EC23" s="149"/>
      <c r="ED23" s="173" t="s">
        <v>239</v>
      </c>
      <c r="EE23" s="162">
        <v>7.76</v>
      </c>
      <c r="EF23" s="251">
        <v>3000</v>
      </c>
      <c r="EG23" s="264">
        <f t="shared" si="44"/>
        <v>23280</v>
      </c>
      <c r="EH23" s="269">
        <f t="shared" si="45"/>
        <v>0.22893940242115954</v>
      </c>
      <c r="EJ23" s="173" t="s">
        <v>239</v>
      </c>
      <c r="EK23" s="162">
        <v>7.8</v>
      </c>
      <c r="EL23" s="251">
        <v>3000</v>
      </c>
      <c r="EM23" s="264">
        <f t="shared" si="46"/>
        <v>23400</v>
      </c>
      <c r="EN23" s="269">
        <f t="shared" si="47"/>
        <v>0.2292889447638658</v>
      </c>
    </row>
    <row r="24" spans="2:144">
      <c r="B24" s="234" t="s">
        <v>37</v>
      </c>
      <c r="C24" s="242">
        <v>6.8</v>
      </c>
      <c r="D24" s="251">
        <v>1039.0990296387802</v>
      </c>
      <c r="E24" s="252">
        <f t="shared" si="0"/>
        <v>7065.8734015437049</v>
      </c>
      <c r="F24" s="240">
        <f t="shared" si="1"/>
        <v>6.9436622817007951E-2</v>
      </c>
      <c r="H24" s="173" t="s">
        <v>37</v>
      </c>
      <c r="I24" s="268">
        <v>6.72</v>
      </c>
      <c r="J24" s="251">
        <v>1039.0990296387802</v>
      </c>
      <c r="K24" s="264">
        <f t="shared" si="2"/>
        <v>6982.7454791726022</v>
      </c>
      <c r="L24" s="269">
        <f t="shared" si="3"/>
        <v>6.954052267907633E-2</v>
      </c>
      <c r="M24" s="273"/>
      <c r="N24" s="173" t="s">
        <v>37</v>
      </c>
      <c r="O24" s="268">
        <v>6.6</v>
      </c>
      <c r="P24" s="251">
        <v>1039.0990296387802</v>
      </c>
      <c r="Q24" s="264">
        <f t="shared" si="4"/>
        <v>6858.0535956159483</v>
      </c>
      <c r="R24" s="269">
        <f t="shared" si="5"/>
        <v>6.8614616416331098E-2</v>
      </c>
      <c r="T24" s="173" t="s">
        <v>37</v>
      </c>
      <c r="U24" s="268">
        <v>6.74</v>
      </c>
      <c r="V24" s="251">
        <v>1039.0990296387802</v>
      </c>
      <c r="W24" s="264">
        <f t="shared" si="6"/>
        <v>7003.5274597653788</v>
      </c>
      <c r="X24" s="269">
        <f t="shared" si="7"/>
        <v>7.0606722333115809E-2</v>
      </c>
      <c r="Z24" s="173" t="s">
        <v>37</v>
      </c>
      <c r="AA24" s="268">
        <v>6.6</v>
      </c>
      <c r="AB24" s="251">
        <v>1039.0990296387802</v>
      </c>
      <c r="AC24" s="264">
        <f t="shared" si="8"/>
        <v>6858.0535956159483</v>
      </c>
      <c r="AD24" s="269">
        <f t="shared" si="9"/>
        <v>6.8118120564735082E-2</v>
      </c>
      <c r="AE24" s="303"/>
      <c r="AF24" s="173" t="s">
        <v>37</v>
      </c>
      <c r="AG24" s="268">
        <v>6.62</v>
      </c>
      <c r="AH24" s="251">
        <v>1039.0990296387802</v>
      </c>
      <c r="AI24" s="264">
        <f t="shared" si="10"/>
        <v>6878.8355762087249</v>
      </c>
      <c r="AJ24" s="269">
        <f t="shared" si="11"/>
        <v>6.8293495803490131E-2</v>
      </c>
      <c r="AL24" s="173" t="s">
        <v>37</v>
      </c>
      <c r="AM24" s="162">
        <v>6.59</v>
      </c>
      <c r="AN24" s="251">
        <v>1162</v>
      </c>
      <c r="AO24" s="264">
        <f t="shared" si="12"/>
        <v>7657.58</v>
      </c>
      <c r="AP24" s="269">
        <f t="shared" si="13"/>
        <v>7.553888600332076E-2</v>
      </c>
      <c r="AR24" s="173" t="s">
        <v>37</v>
      </c>
      <c r="AS24" s="162">
        <v>6.65</v>
      </c>
      <c r="AT24" s="251">
        <v>1162</v>
      </c>
      <c r="AU24" s="264">
        <f t="shared" si="14"/>
        <v>7727.3</v>
      </c>
      <c r="AV24" s="269">
        <f t="shared" si="15"/>
        <v>7.5592094062980619E-2</v>
      </c>
      <c r="AX24" s="173" t="s">
        <v>37</v>
      </c>
      <c r="AY24" s="162">
        <v>6.55</v>
      </c>
      <c r="AZ24" s="251">
        <v>1162</v>
      </c>
      <c r="BA24" s="264">
        <f t="shared" si="16"/>
        <v>7611.0999999999995</v>
      </c>
      <c r="BB24" s="269">
        <f t="shared" si="17"/>
        <v>7.37900340064222E-2</v>
      </c>
      <c r="BD24" s="173" t="s">
        <v>37</v>
      </c>
      <c r="BE24" s="162">
        <v>6.61</v>
      </c>
      <c r="BF24" s="251">
        <v>1162</v>
      </c>
      <c r="BG24" s="264">
        <f t="shared" si="18"/>
        <v>7680.8200000000006</v>
      </c>
      <c r="BH24" s="269">
        <f t="shared" si="19"/>
        <v>7.4439298250249614E-2</v>
      </c>
      <c r="BJ24" s="173" t="s">
        <v>37</v>
      </c>
      <c r="BK24" s="162">
        <v>6.78</v>
      </c>
      <c r="BL24" s="251">
        <v>1162</v>
      </c>
      <c r="BM24" s="264">
        <f t="shared" si="20"/>
        <v>7878.3600000000006</v>
      </c>
      <c r="BN24" s="269">
        <f t="shared" si="21"/>
        <v>7.6381134437182072E-2</v>
      </c>
      <c r="BP24" s="173" t="s">
        <v>37</v>
      </c>
      <c r="BQ24" s="162">
        <v>6.35</v>
      </c>
      <c r="BR24" s="251">
        <v>1162</v>
      </c>
      <c r="BS24" s="264">
        <f t="shared" si="22"/>
        <v>7378.7</v>
      </c>
      <c r="BT24" s="269">
        <f t="shared" si="23"/>
        <v>7.2699079062758118E-2</v>
      </c>
      <c r="BV24" s="173" t="s">
        <v>37</v>
      </c>
      <c r="BW24" s="162">
        <v>6.52</v>
      </c>
      <c r="BX24" s="251">
        <v>1162</v>
      </c>
      <c r="BY24" s="264">
        <f t="shared" si="24"/>
        <v>7576.24</v>
      </c>
      <c r="BZ24" s="269">
        <f t="shared" si="25"/>
        <v>7.5065749165773299E-2</v>
      </c>
      <c r="CB24" s="173" t="s">
        <v>37</v>
      </c>
      <c r="CC24" s="162">
        <v>6.54</v>
      </c>
      <c r="CD24" s="251">
        <v>1162</v>
      </c>
      <c r="CE24" s="264">
        <f t="shared" si="26"/>
        <v>7599.4800000000005</v>
      </c>
      <c r="CF24" s="269">
        <f t="shared" si="27"/>
        <v>7.5375144521963602E-2</v>
      </c>
      <c r="CH24" s="173" t="s">
        <v>37</v>
      </c>
      <c r="CI24" s="162">
        <v>6.7</v>
      </c>
      <c r="CJ24" s="251">
        <v>1017</v>
      </c>
      <c r="CK24" s="264">
        <f t="shared" si="28"/>
        <v>6813.9000000000005</v>
      </c>
      <c r="CL24" s="269">
        <f t="shared" si="29"/>
        <v>6.7102303828355137E-2</v>
      </c>
      <c r="CN24" s="173" t="s">
        <v>37</v>
      </c>
      <c r="CO24" s="162">
        <v>6.78</v>
      </c>
      <c r="CP24" s="251">
        <v>1017</v>
      </c>
      <c r="CQ24" s="264">
        <f t="shared" si="30"/>
        <v>6895.26</v>
      </c>
      <c r="CR24" s="269">
        <f t="shared" si="31"/>
        <v>6.7903525366604156E-2</v>
      </c>
      <c r="CT24" s="173" t="s">
        <v>37</v>
      </c>
      <c r="CU24" s="162">
        <v>6.62</v>
      </c>
      <c r="CV24" s="251">
        <v>1017</v>
      </c>
      <c r="CW24" s="264">
        <f t="shared" si="32"/>
        <v>6732.54</v>
      </c>
      <c r="CX24" s="269">
        <f t="shared" si="33"/>
        <v>6.6301082290106117E-2</v>
      </c>
      <c r="CZ24" s="173" t="s">
        <v>37</v>
      </c>
      <c r="DA24" s="162">
        <v>6.54</v>
      </c>
      <c r="DB24" s="251">
        <v>1017</v>
      </c>
      <c r="DC24" s="264">
        <f t="shared" si="34"/>
        <v>6651.18</v>
      </c>
      <c r="DD24" s="269">
        <f t="shared" si="35"/>
        <v>6.5941564978404962E-2</v>
      </c>
      <c r="DF24" s="173" t="s">
        <v>37</v>
      </c>
      <c r="DG24" s="162">
        <v>6.65</v>
      </c>
      <c r="DH24" s="251">
        <v>1017</v>
      </c>
      <c r="DI24" s="264">
        <f t="shared" si="36"/>
        <v>6763.05</v>
      </c>
      <c r="DJ24" s="269">
        <f t="shared" si="37"/>
        <v>6.7037715589229552E-2</v>
      </c>
      <c r="DL24" s="173" t="s">
        <v>37</v>
      </c>
      <c r="DM24" s="162">
        <v>6.58</v>
      </c>
      <c r="DN24" s="251">
        <v>1017</v>
      </c>
      <c r="DO24" s="264">
        <f t="shared" si="38"/>
        <v>6691.86</v>
      </c>
      <c r="DP24" s="269">
        <f t="shared" si="39"/>
        <v>6.7321636746892663E-2</v>
      </c>
      <c r="DQ24" s="155"/>
      <c r="DR24" s="173" t="s">
        <v>37</v>
      </c>
      <c r="DS24" s="162">
        <v>6.65</v>
      </c>
      <c r="DT24" s="251">
        <v>1017</v>
      </c>
      <c r="DU24" s="264">
        <f t="shared" si="40"/>
        <v>6763.05</v>
      </c>
      <c r="DV24" s="269">
        <f t="shared" si="41"/>
        <v>6.6976969615038642E-2</v>
      </c>
      <c r="DW24" s="339"/>
      <c r="DX24" s="173" t="s">
        <v>37</v>
      </c>
      <c r="DY24" s="162">
        <v>6.85</v>
      </c>
      <c r="DZ24" s="251">
        <v>1017</v>
      </c>
      <c r="EA24" s="264">
        <f t="shared" si="42"/>
        <v>6966.45</v>
      </c>
      <c r="EB24" s="269">
        <f t="shared" si="43"/>
        <v>6.7776993574991368E-2</v>
      </c>
      <c r="EC24" s="149"/>
      <c r="ED24" s="173" t="s">
        <v>37</v>
      </c>
      <c r="EE24" s="162">
        <v>6.88</v>
      </c>
      <c r="EF24" s="251">
        <v>1017</v>
      </c>
      <c r="EG24" s="264">
        <f t="shared" si="44"/>
        <v>6996.96</v>
      </c>
      <c r="EH24" s="269">
        <f t="shared" si="45"/>
        <v>6.8809271527695726E-2</v>
      </c>
      <c r="EJ24" s="173" t="s">
        <v>37</v>
      </c>
      <c r="EK24" s="162">
        <v>6.8</v>
      </c>
      <c r="EL24" s="251">
        <v>1017</v>
      </c>
      <c r="EM24" s="264">
        <f t="shared" si="46"/>
        <v>6915.5999999999995</v>
      </c>
      <c r="EN24" s="269">
        <f t="shared" si="47"/>
        <v>6.7763701983290181E-2</v>
      </c>
    </row>
    <row r="25" spans="2:144">
      <c r="B25" s="234" t="s">
        <v>85</v>
      </c>
      <c r="C25" s="242">
        <v>21.4</v>
      </c>
      <c r="D25" s="251">
        <v>1190.2426494635199</v>
      </c>
      <c r="E25" s="252">
        <f t="shared" si="0"/>
        <v>25471.192698519324</v>
      </c>
      <c r="F25" s="240">
        <f t="shared" si="1"/>
        <v>0.25030643766133909</v>
      </c>
      <c r="H25" s="173" t="s">
        <v>85</v>
      </c>
      <c r="I25" s="268">
        <v>21.3</v>
      </c>
      <c r="J25" s="251">
        <v>1190.2426494635199</v>
      </c>
      <c r="K25" s="264">
        <f t="shared" si="2"/>
        <v>25352.168433572973</v>
      </c>
      <c r="L25" s="269">
        <f t="shared" si="3"/>
        <v>0.25247992343085457</v>
      </c>
      <c r="M25" s="273"/>
      <c r="N25" s="173" t="s">
        <v>85</v>
      </c>
      <c r="O25" s="268">
        <v>21.1</v>
      </c>
      <c r="P25" s="251">
        <v>1190.2426494635199</v>
      </c>
      <c r="Q25" s="264">
        <f t="shared" si="4"/>
        <v>25114.119903680272</v>
      </c>
      <c r="R25" s="269">
        <f t="shared" si="5"/>
        <v>0.25126600132234767</v>
      </c>
      <c r="T25" s="173" t="s">
        <v>85</v>
      </c>
      <c r="U25" s="268">
        <v>20.9</v>
      </c>
      <c r="V25" s="251">
        <v>1190.2426494635199</v>
      </c>
      <c r="W25" s="264">
        <f t="shared" si="6"/>
        <v>24876.071373787563</v>
      </c>
      <c r="X25" s="269">
        <f t="shared" si="7"/>
        <v>0.25079045871073519</v>
      </c>
      <c r="Z25" s="173" t="s">
        <v>85</v>
      </c>
      <c r="AA25" s="268">
        <v>21.7</v>
      </c>
      <c r="AB25" s="251">
        <v>1190.2426494635199</v>
      </c>
      <c r="AC25" s="264">
        <f t="shared" si="8"/>
        <v>25828.26549335838</v>
      </c>
      <c r="AD25" s="269">
        <f t="shared" si="9"/>
        <v>0.25654114222426938</v>
      </c>
      <c r="AE25" s="303"/>
      <c r="AF25" s="173" t="s">
        <v>85</v>
      </c>
      <c r="AG25" s="268">
        <v>21</v>
      </c>
      <c r="AH25" s="251">
        <v>1190.2426494635199</v>
      </c>
      <c r="AI25" s="264">
        <f t="shared" si="10"/>
        <v>24995.095638733917</v>
      </c>
      <c r="AJ25" s="269">
        <f t="shared" si="11"/>
        <v>0.24815282182577256</v>
      </c>
      <c r="AL25" s="173" t="s">
        <v>85</v>
      </c>
      <c r="AM25" s="162">
        <v>21.2</v>
      </c>
      <c r="AN25" s="251">
        <v>1190.2426494635199</v>
      </c>
      <c r="AO25" s="264">
        <f t="shared" si="12"/>
        <v>25233.144168626623</v>
      </c>
      <c r="AP25" s="269">
        <f t="shared" si="13"/>
        <v>0.24891461804633377</v>
      </c>
      <c r="AR25" s="173" t="s">
        <v>85</v>
      </c>
      <c r="AS25" s="162">
        <v>21</v>
      </c>
      <c r="AT25" s="251">
        <v>1190.2426494635199</v>
      </c>
      <c r="AU25" s="264">
        <f t="shared" si="14"/>
        <v>24995.095638733917</v>
      </c>
      <c r="AV25" s="269">
        <f t="shared" si="15"/>
        <v>0.2445138173277045</v>
      </c>
      <c r="AX25" s="173" t="s">
        <v>85</v>
      </c>
      <c r="AY25" s="162">
        <v>21</v>
      </c>
      <c r="AZ25" s="251">
        <v>1190.2426494635199</v>
      </c>
      <c r="BA25" s="264">
        <f t="shared" si="16"/>
        <v>24995.095638733917</v>
      </c>
      <c r="BB25" s="269">
        <f t="shared" si="17"/>
        <v>0.24232882989002261</v>
      </c>
      <c r="BD25" s="173" t="s">
        <v>85</v>
      </c>
      <c r="BE25" s="162">
        <v>21</v>
      </c>
      <c r="BF25" s="251">
        <v>1190.2426494635199</v>
      </c>
      <c r="BG25" s="264">
        <f t="shared" si="18"/>
        <v>24995.095638733917</v>
      </c>
      <c r="BH25" s="269">
        <f t="shared" si="19"/>
        <v>0.24224202351379506</v>
      </c>
      <c r="BJ25" s="173" t="s">
        <v>85</v>
      </c>
      <c r="BK25" s="162">
        <v>20.9</v>
      </c>
      <c r="BL25" s="251">
        <v>1190.2426494635199</v>
      </c>
      <c r="BM25" s="264">
        <f t="shared" si="20"/>
        <v>24876.071373787563</v>
      </c>
      <c r="BN25" s="269">
        <f t="shared" si="21"/>
        <v>0.24117488308102247</v>
      </c>
      <c r="BP25" s="173" t="s">
        <v>85</v>
      </c>
      <c r="BQ25" s="162">
        <v>20.2</v>
      </c>
      <c r="BR25" s="251">
        <v>1190.2426494635199</v>
      </c>
      <c r="BS25" s="264">
        <f t="shared" si="22"/>
        <v>24042.901519163101</v>
      </c>
      <c r="BT25" s="269">
        <f t="shared" si="23"/>
        <v>0.23688411216606522</v>
      </c>
      <c r="BV25" s="173" t="s">
        <v>85</v>
      </c>
      <c r="BW25" s="162">
        <v>20.3</v>
      </c>
      <c r="BX25" s="251">
        <v>1190.2426494635199</v>
      </c>
      <c r="BY25" s="264">
        <f t="shared" si="24"/>
        <v>24161.925784109455</v>
      </c>
      <c r="BZ25" s="269">
        <f t="shared" si="25"/>
        <v>0.23939751912188512</v>
      </c>
      <c r="CB25" s="173" t="s">
        <v>85</v>
      </c>
      <c r="CC25" s="162">
        <v>20.2</v>
      </c>
      <c r="CD25" s="251">
        <v>1190.2426494635199</v>
      </c>
      <c r="CE25" s="264">
        <f t="shared" si="26"/>
        <v>24042.901519163101</v>
      </c>
      <c r="CF25" s="269">
        <f t="shared" si="27"/>
        <v>0.23846857636762739</v>
      </c>
      <c r="CH25" s="173" t="s">
        <v>85</v>
      </c>
      <c r="CI25" s="162">
        <v>20</v>
      </c>
      <c r="CJ25" s="251">
        <v>1035</v>
      </c>
      <c r="CK25" s="264">
        <f t="shared" si="28"/>
        <v>20700</v>
      </c>
      <c r="CL25" s="269">
        <f t="shared" si="29"/>
        <v>0.20385061260760376</v>
      </c>
      <c r="CN25" s="173" t="s">
        <v>85</v>
      </c>
      <c r="CO25" s="162">
        <v>20.3</v>
      </c>
      <c r="CP25" s="251">
        <v>1035</v>
      </c>
      <c r="CQ25" s="264">
        <f t="shared" si="30"/>
        <v>21010.5</v>
      </c>
      <c r="CR25" s="269">
        <f t="shared" si="31"/>
        <v>0.20690837179671784</v>
      </c>
      <c r="CT25" s="173" t="s">
        <v>85</v>
      </c>
      <c r="CU25" s="162">
        <v>20.5</v>
      </c>
      <c r="CV25" s="251">
        <v>1035</v>
      </c>
      <c r="CW25" s="264">
        <f t="shared" si="32"/>
        <v>21217.5</v>
      </c>
      <c r="CX25" s="269">
        <f t="shared" si="33"/>
        <v>0.20894687792279387</v>
      </c>
      <c r="CZ25" s="173" t="s">
        <v>85</v>
      </c>
      <c r="DA25" s="162">
        <v>20.3</v>
      </c>
      <c r="DB25" s="251">
        <v>1035</v>
      </c>
      <c r="DC25" s="264">
        <f t="shared" si="34"/>
        <v>21010.5</v>
      </c>
      <c r="DD25" s="269">
        <f t="shared" si="35"/>
        <v>0.20830367708869363</v>
      </c>
      <c r="DF25" s="173" t="s">
        <v>85</v>
      </c>
      <c r="DG25" s="162">
        <v>20</v>
      </c>
      <c r="DH25" s="251">
        <v>1035</v>
      </c>
      <c r="DI25" s="264">
        <f t="shared" si="36"/>
        <v>20700</v>
      </c>
      <c r="DJ25" s="269">
        <f t="shared" si="37"/>
        <v>0.20518563557818612</v>
      </c>
      <c r="DL25" s="173" t="s">
        <v>85</v>
      </c>
      <c r="DM25" s="162">
        <v>20.100000000000001</v>
      </c>
      <c r="DN25" s="251">
        <v>1000</v>
      </c>
      <c r="DO25" s="264">
        <f t="shared" si="38"/>
        <v>20100</v>
      </c>
      <c r="DP25" s="269">
        <f t="shared" si="39"/>
        <v>0.20221058100625874</v>
      </c>
      <c r="DQ25" s="155"/>
      <c r="DR25" s="173" t="s">
        <v>85</v>
      </c>
      <c r="DS25" s="162">
        <v>20.100000000000001</v>
      </c>
      <c r="DT25" s="251">
        <v>1000</v>
      </c>
      <c r="DU25" s="264">
        <f t="shared" si="40"/>
        <v>20100</v>
      </c>
      <c r="DV25" s="269">
        <f t="shared" si="41"/>
        <v>0.19905768688125572</v>
      </c>
      <c r="DW25" s="339"/>
      <c r="DX25" s="173" t="s">
        <v>85</v>
      </c>
      <c r="DY25" s="162">
        <v>20.2</v>
      </c>
      <c r="DZ25" s="251">
        <v>1000</v>
      </c>
      <c r="EA25" s="264">
        <f t="shared" si="42"/>
        <v>20200</v>
      </c>
      <c r="EB25" s="269">
        <f t="shared" si="43"/>
        <v>0.19652696426656699</v>
      </c>
      <c r="EC25" s="149"/>
      <c r="ED25" s="173" t="s">
        <v>85</v>
      </c>
      <c r="EE25" s="162">
        <v>20.2</v>
      </c>
      <c r="EF25" s="251">
        <v>1000</v>
      </c>
      <c r="EG25" s="264">
        <f t="shared" si="44"/>
        <v>20200</v>
      </c>
      <c r="EH25" s="269">
        <f t="shared" si="45"/>
        <v>0.198650168767501</v>
      </c>
      <c r="EJ25" s="173" t="s">
        <v>85</v>
      </c>
      <c r="EK25" s="162">
        <v>20.100000000000001</v>
      </c>
      <c r="EL25" s="251">
        <v>1000</v>
      </c>
      <c r="EM25" s="264">
        <f t="shared" si="46"/>
        <v>20100</v>
      </c>
      <c r="EN25" s="269">
        <f t="shared" si="47"/>
        <v>0.19695332434844884</v>
      </c>
    </row>
    <row r="26" spans="2:144">
      <c r="B26" s="235" t="s">
        <v>194</v>
      </c>
      <c r="C26" s="242"/>
      <c r="D26" s="238"/>
      <c r="E26" s="254">
        <v>30000</v>
      </c>
      <c r="F26" s="240">
        <f t="shared" si="1"/>
        <v>0.29481120961707818</v>
      </c>
      <c r="H26" s="173" t="s">
        <v>194</v>
      </c>
      <c r="I26" s="233"/>
      <c r="J26" s="238"/>
      <c r="K26" s="264">
        <v>30000</v>
      </c>
      <c r="L26" s="269">
        <f t="shared" si="3"/>
        <v>0.29876725230710965</v>
      </c>
      <c r="M26" s="273"/>
      <c r="N26" s="173" t="s">
        <v>194</v>
      </c>
      <c r="O26" s="233"/>
      <c r="P26" s="238"/>
      <c r="Q26" s="264">
        <v>30000</v>
      </c>
      <c r="R26" s="269">
        <f t="shared" si="5"/>
        <v>0.30014908221274356</v>
      </c>
      <c r="T26" s="173" t="s">
        <v>194</v>
      </c>
      <c r="U26" s="233"/>
      <c r="V26" s="238"/>
      <c r="W26" s="264">
        <v>30000</v>
      </c>
      <c r="X26" s="269">
        <f t="shared" si="7"/>
        <v>0.30244782820690691</v>
      </c>
      <c r="Z26" s="173" t="s">
        <v>194</v>
      </c>
      <c r="AA26" s="233"/>
      <c r="AB26" s="238"/>
      <c r="AC26" s="264">
        <v>30000</v>
      </c>
      <c r="AD26" s="269">
        <f t="shared" si="9"/>
        <v>0.29797720132260264</v>
      </c>
      <c r="AE26" s="303"/>
      <c r="AF26" s="173" t="s">
        <v>194</v>
      </c>
      <c r="AG26" s="233"/>
      <c r="AH26" s="238"/>
      <c r="AI26" s="264">
        <v>30000</v>
      </c>
      <c r="AJ26" s="269">
        <f t="shared" si="11"/>
        <v>0.29784181514539182</v>
      </c>
      <c r="AL26" s="173" t="s">
        <v>194</v>
      </c>
      <c r="AM26" s="233"/>
      <c r="AN26" s="238"/>
      <c r="AO26" s="264">
        <v>30000</v>
      </c>
      <c r="AP26" s="269">
        <f t="shared" si="13"/>
        <v>0.29593769573411222</v>
      </c>
      <c r="AR26" s="173" t="s">
        <v>194</v>
      </c>
      <c r="AS26" s="233"/>
      <c r="AT26" s="238"/>
      <c r="AU26" s="264">
        <v>30000</v>
      </c>
      <c r="AV26" s="269">
        <f t="shared" si="15"/>
        <v>0.29347415292397327</v>
      </c>
      <c r="AX26" s="173" t="s">
        <v>194</v>
      </c>
      <c r="AY26" s="233"/>
      <c r="AZ26" s="238"/>
      <c r="BA26" s="264">
        <v>10000</v>
      </c>
      <c r="BB26" s="269">
        <f t="shared" si="17"/>
        <v>9.6950551177125782E-2</v>
      </c>
      <c r="BD26" s="173" t="s">
        <v>194</v>
      </c>
      <c r="BE26" s="233"/>
      <c r="BF26" s="238"/>
      <c r="BG26" s="264">
        <f>BA26*((1+4%)^(1/360))</f>
        <v>10001.08952360303</v>
      </c>
      <c r="BH26" s="269">
        <f t="shared" si="19"/>
        <v>9.6926381021158262E-2</v>
      </c>
      <c r="BJ26" s="173" t="s">
        <v>194</v>
      </c>
      <c r="BK26" s="233"/>
      <c r="BL26" s="238"/>
      <c r="BM26" s="264">
        <f>BG26*((1+4%)^(1/360))</f>
        <v>10002.179165912228</v>
      </c>
      <c r="BN26" s="269">
        <f t="shared" si="21"/>
        <v>9.6971678310755469E-2</v>
      </c>
      <c r="BP26" s="173" t="s">
        <v>194</v>
      </c>
      <c r="BQ26" s="233"/>
      <c r="BR26" s="238"/>
      <c r="BS26" s="264">
        <f>BM26*((1+4%)^(1/360))</f>
        <v>10003.268926940529</v>
      </c>
      <c r="BT26" s="269">
        <f t="shared" si="23"/>
        <v>9.8557799965533363E-2</v>
      </c>
      <c r="BV26" s="173" t="s">
        <v>194</v>
      </c>
      <c r="BW26" s="233"/>
      <c r="BX26" s="238"/>
      <c r="BY26" s="264">
        <f>BS26*((1+4%)^(1/360))</f>
        <v>10004.358806700866</v>
      </c>
      <c r="BZ26" s="269">
        <f t="shared" si="25"/>
        <v>9.9123666719666007E-2</v>
      </c>
      <c r="CB26" s="173" t="s">
        <v>194</v>
      </c>
      <c r="CC26" s="233"/>
      <c r="CD26" s="238"/>
      <c r="CE26" s="264">
        <f>BY26*((1+4%)^(1/360))+CE16</f>
        <v>16629.108805206175</v>
      </c>
      <c r="CF26" s="269">
        <f t="shared" si="27"/>
        <v>0.16493516391435636</v>
      </c>
      <c r="CH26" s="173" t="s">
        <v>194</v>
      </c>
      <c r="CI26" s="233"/>
      <c r="CJ26" s="238"/>
      <c r="CK26" s="264">
        <f>CL16*((1+4%)^(1/360))</f>
        <v>5.2680124393691967</v>
      </c>
      <c r="CL26" s="269">
        <f t="shared" si="29"/>
        <v>5.187862623139555E-5</v>
      </c>
      <c r="CN26" s="173" t="s">
        <v>194</v>
      </c>
      <c r="CO26" s="233"/>
      <c r="CP26" s="238"/>
      <c r="CQ26" s="264">
        <f>CK26*((1+4%)^(1/360))</f>
        <v>5.2685864017585722</v>
      </c>
      <c r="CR26" s="336">
        <f t="shared" si="31"/>
        <v>5.1884278530172742E-5</v>
      </c>
      <c r="CT26" s="173" t="s">
        <v>194</v>
      </c>
      <c r="CU26" s="233"/>
      <c r="CV26" s="238"/>
      <c r="CW26" s="264">
        <f>CQ26*((1+4%)^(1/360))</f>
        <v>5.2691604266825047</v>
      </c>
      <c r="CX26" s="269">
        <f t="shared" si="33"/>
        <v>5.1889931444781233E-5</v>
      </c>
      <c r="CZ26" s="173" t="s">
        <v>194</v>
      </c>
      <c r="DA26" s="233"/>
      <c r="DB26" s="238"/>
      <c r="DC26" s="264">
        <f>CW26*((1+4%)^(1/360))</f>
        <v>5.2697345141478076</v>
      </c>
      <c r="DD26" s="269">
        <f t="shared" si="35"/>
        <v>5.2245547539477346E-5</v>
      </c>
      <c r="DF26" s="173" t="s">
        <v>194</v>
      </c>
      <c r="DG26" s="233"/>
      <c r="DH26" s="238"/>
      <c r="DI26" s="264">
        <f>DC26*((1+4%)^(1/360))</f>
        <v>5.2703086641612948</v>
      </c>
      <c r="DJ26" s="269">
        <f t="shared" si="37"/>
        <v>5.2241141688365044E-5</v>
      </c>
      <c r="DL26" s="173" t="s">
        <v>194</v>
      </c>
      <c r="DM26" s="233"/>
      <c r="DN26" s="238"/>
      <c r="DO26" s="264">
        <f>(DI26+DO16)*((1+4%)^(1/360))</f>
        <v>9029.0872751983516</v>
      </c>
      <c r="DP26" s="269">
        <f t="shared" si="39"/>
        <v>9.0834675814630672E-2</v>
      </c>
      <c r="DQ26" s="155"/>
      <c r="DR26" s="173" t="s">
        <v>194</v>
      </c>
      <c r="DS26" s="233"/>
      <c r="DT26" s="238"/>
      <c r="DU26" s="264">
        <f>DO26*((1+4%)^(1/360))</f>
        <v>9030.0710155683664</v>
      </c>
      <c r="DV26" s="269">
        <f t="shared" si="41"/>
        <v>8.9428111877239341E-2</v>
      </c>
      <c r="DW26" s="339"/>
      <c r="DX26" s="173" t="s">
        <v>194</v>
      </c>
      <c r="DY26" s="233"/>
      <c r="DZ26" s="238"/>
      <c r="EA26" s="264">
        <f>DU26*((1+4%)^(1/360))</f>
        <v>9031.054863119216</v>
      </c>
      <c r="EB26" s="269">
        <f t="shared" si="43"/>
        <v>8.7863653285823573E-2</v>
      </c>
      <c r="EC26" s="149"/>
      <c r="ED26" s="173" t="s">
        <v>194</v>
      </c>
      <c r="EE26" s="233"/>
      <c r="EF26" s="238"/>
      <c r="EG26" s="264">
        <f>EA26*((1+4%)^(1/360))</f>
        <v>9032.0388178625799</v>
      </c>
      <c r="EH26" s="269">
        <f t="shared" si="45"/>
        <v>8.8822576014010973E-2</v>
      </c>
      <c r="EJ26" s="173" t="s">
        <v>45</v>
      </c>
      <c r="EK26" s="162">
        <v>16.8</v>
      </c>
      <c r="EL26" s="251">
        <f>EL14</f>
        <v>532.54437869822493</v>
      </c>
      <c r="EM26" s="264">
        <f t="shared" si="46"/>
        <v>8946.7455621301797</v>
      </c>
      <c r="EN26" s="269">
        <f t="shared" si="47"/>
        <v>8.7666232863744795E-2</v>
      </c>
    </row>
    <row r="27" spans="2:144">
      <c r="B27" s="232" t="s">
        <v>152</v>
      </c>
      <c r="C27" s="243"/>
      <c r="D27" s="239"/>
      <c r="E27" s="253">
        <f>SUM(E19:E26)</f>
        <v>101760.03836138434</v>
      </c>
      <c r="F27" s="255">
        <f>SUM(F19:F26)</f>
        <v>0.99999999999999989</v>
      </c>
      <c r="H27" s="173" t="s">
        <v>152</v>
      </c>
      <c r="I27" s="236"/>
      <c r="J27" s="239"/>
      <c r="K27" s="265">
        <f>SUM(K19:K26)</f>
        <v>100412.61138339994</v>
      </c>
      <c r="L27" s="270">
        <f>SUM(L19:L26)</f>
        <v>1</v>
      </c>
      <c r="N27" s="173" t="s">
        <v>152</v>
      </c>
      <c r="O27" s="236"/>
      <c r="P27" s="239"/>
      <c r="Q27" s="265">
        <f>SUM(Q19:Q26)</f>
        <v>99950.330611826459</v>
      </c>
      <c r="R27" s="270">
        <f>SUM(R19:R26)</f>
        <v>1</v>
      </c>
      <c r="T27" s="173" t="s">
        <v>152</v>
      </c>
      <c r="U27" s="236"/>
      <c r="V27" s="239"/>
      <c r="W27" s="265">
        <f>SUM(W19:W26)</f>
        <v>99190.661007083734</v>
      </c>
      <c r="X27" s="270">
        <f>SUM(X19:X26)</f>
        <v>1</v>
      </c>
      <c r="Z27" s="173" t="s">
        <v>152</v>
      </c>
      <c r="AA27" s="236"/>
      <c r="AB27" s="239"/>
      <c r="AC27" s="265">
        <f>SUM(AC19:AC26)</f>
        <v>100678.84343782644</v>
      </c>
      <c r="AD27" s="270">
        <f>SUM(AD19:AD26)</f>
        <v>1</v>
      </c>
      <c r="AE27" s="303"/>
      <c r="AF27" s="173" t="s">
        <v>152</v>
      </c>
      <c r="AG27" s="236"/>
      <c r="AH27" s="239"/>
      <c r="AI27" s="265">
        <f>SUM(AI19:AI26)</f>
        <v>100724.60774305806</v>
      </c>
      <c r="AJ27" s="270">
        <f>SUM(AJ19:AJ26)</f>
        <v>1</v>
      </c>
      <c r="AL27" s="173" t="s">
        <v>152</v>
      </c>
      <c r="AM27" s="236"/>
      <c r="AN27" s="239"/>
      <c r="AO27" s="265">
        <f>SUM(AO19:AO26)</f>
        <v>101372.68902354961</v>
      </c>
      <c r="AP27" s="270">
        <f>SUM(AP19:AP26)</f>
        <v>1</v>
      </c>
      <c r="AR27" s="173" t="s">
        <v>152</v>
      </c>
      <c r="AS27" s="236"/>
      <c r="AT27" s="239"/>
      <c r="AU27" s="265">
        <f>SUM(AU19:AU26)</f>
        <v>102223.65309210631</v>
      </c>
      <c r="AV27" s="270">
        <f>SUM(AV19:AV26)</f>
        <v>1</v>
      </c>
      <c r="AX27" s="173" t="s">
        <v>152</v>
      </c>
      <c r="AY27" s="236"/>
      <c r="AZ27" s="239"/>
      <c r="BA27" s="265">
        <f>SUM(BA19:BA26)</f>
        <v>103145.36512257982</v>
      </c>
      <c r="BB27" s="270">
        <f>SUM(BB19:BB26)</f>
        <v>1</v>
      </c>
      <c r="BD27" s="173" t="s">
        <v>152</v>
      </c>
      <c r="BE27" s="236"/>
      <c r="BF27" s="239"/>
      <c r="BG27" s="265">
        <f>SUM(BG19:BG26)</f>
        <v>103182.32681585287</v>
      </c>
      <c r="BH27" s="270">
        <f>SUM(BH19:BH26)</f>
        <v>0.99999999999999989</v>
      </c>
      <c r="BJ27" s="173" t="s">
        <v>152</v>
      </c>
      <c r="BK27" s="236"/>
      <c r="BL27" s="239"/>
      <c r="BM27" s="265">
        <f>SUM(BM19:BM26)</f>
        <v>102817.95714279753</v>
      </c>
      <c r="BN27" s="270">
        <f>SUM(BN19:BN26)</f>
        <v>0.99682576159003178</v>
      </c>
      <c r="BP27" s="173" t="s">
        <v>152</v>
      </c>
      <c r="BQ27" s="236"/>
      <c r="BR27" s="239"/>
      <c r="BS27" s="265">
        <f>SUM(BS19:BS26)</f>
        <v>101496.47141513681</v>
      </c>
      <c r="BT27" s="270">
        <f>SUM(BT19:BT26)</f>
        <v>0.99999999999999989</v>
      </c>
      <c r="BV27" s="173" t="s">
        <v>152</v>
      </c>
      <c r="BW27" s="236"/>
      <c r="BX27" s="239"/>
      <c r="BY27" s="265">
        <f>SUM(BY19:BY26)</f>
        <v>100928.05419511397</v>
      </c>
      <c r="BZ27" s="270">
        <f>SUM(BZ19:BZ26)</f>
        <v>1.0000000000000002</v>
      </c>
      <c r="CB27" s="173" t="s">
        <v>152</v>
      </c>
      <c r="CC27" s="236"/>
      <c r="CD27" s="239"/>
      <c r="CE27" s="265">
        <f>SUM(CE19:CE26)</f>
        <v>100822.09524368585</v>
      </c>
      <c r="CF27" s="270">
        <f>SUM(CF19:CF26)</f>
        <v>1</v>
      </c>
      <c r="CH27" s="173" t="s">
        <v>152</v>
      </c>
      <c r="CI27" s="236"/>
      <c r="CJ27" s="239"/>
      <c r="CK27" s="265">
        <f>SUM(CK19:CK26)</f>
        <v>101544.94870145843</v>
      </c>
      <c r="CL27" s="270">
        <f>SUM(CL19:CL26)</f>
        <v>1</v>
      </c>
      <c r="CN27" s="173" t="s">
        <v>152</v>
      </c>
      <c r="CO27" s="236"/>
      <c r="CP27" s="239"/>
      <c r="CQ27" s="265">
        <f>SUM(CQ19:CQ26)</f>
        <v>102009.97040919977</v>
      </c>
      <c r="CR27" s="270">
        <f>SUM(CR19:CR26)</f>
        <v>1.0045794666666139</v>
      </c>
      <c r="CT27" s="173" t="s">
        <v>152</v>
      </c>
      <c r="CU27" s="236"/>
      <c r="CV27" s="239"/>
      <c r="CW27" s="265">
        <f>SUM(CW19:CW26)</f>
        <v>101100.23040579203</v>
      </c>
      <c r="CX27" s="270">
        <f>SUM(CX19:CX26)</f>
        <v>0.99562047840534262</v>
      </c>
      <c r="CZ27" s="173" t="s">
        <v>152</v>
      </c>
      <c r="DA27" s="236"/>
      <c r="DB27" s="239"/>
      <c r="DC27" s="265">
        <f>SUM(DC19:DC26)</f>
        <v>100864.75809571974</v>
      </c>
      <c r="DD27" s="270">
        <f>SUM(DD19:DD26)</f>
        <v>1.0000000000000002</v>
      </c>
      <c r="DF27" s="173" t="s">
        <v>152</v>
      </c>
      <c r="DG27" s="236"/>
      <c r="DH27" s="239"/>
      <c r="DI27" s="265">
        <f>SUM(DI19:DI26)</f>
        <v>100884.25508769229</v>
      </c>
      <c r="DJ27" s="270">
        <f>SUM(DJ19:DJ26)</f>
        <v>1</v>
      </c>
      <c r="DL27" s="173" t="s">
        <v>152</v>
      </c>
      <c r="DM27" s="236"/>
      <c r="DN27" s="239"/>
      <c r="DO27" s="265">
        <f>SUM(DO19:DO26)</f>
        <v>99401.326577355867</v>
      </c>
      <c r="DP27" s="270">
        <f>SUM(DP19:DP26)</f>
        <v>1</v>
      </c>
      <c r="DQ27" s="155"/>
      <c r="DR27" s="173" t="s">
        <v>152</v>
      </c>
      <c r="DS27" s="236"/>
      <c r="DT27" s="239"/>
      <c r="DU27" s="265">
        <f>SUM(DU19:DU26)</f>
        <v>100975.75388781792</v>
      </c>
      <c r="DV27" s="270">
        <f>SUM(DV19:DV26)</f>
        <v>0.99999999999999989</v>
      </c>
      <c r="DW27" s="339"/>
      <c r="DX27" s="173" t="s">
        <v>152</v>
      </c>
      <c r="DY27" s="236"/>
      <c r="DZ27" s="239"/>
      <c r="EA27" s="265">
        <f>SUM(EA19:EA26)</f>
        <v>102784.87776670149</v>
      </c>
      <c r="EB27" s="270">
        <f>SUM(EB19:EB26)</f>
        <v>1</v>
      </c>
      <c r="EC27" s="149"/>
      <c r="ED27" s="173" t="s">
        <v>152</v>
      </c>
      <c r="EE27" s="236"/>
      <c r="EF27" s="239"/>
      <c r="EG27" s="265">
        <f>SUM(EG19:EG26)</f>
        <v>101686.29669598702</v>
      </c>
      <c r="EH27" s="270">
        <f>SUM(EH19:EH26)</f>
        <v>1</v>
      </c>
      <c r="EJ27" s="173" t="s">
        <v>194</v>
      </c>
      <c r="EK27" s="233"/>
      <c r="EL27" s="238"/>
      <c r="EM27" s="264">
        <v>33</v>
      </c>
      <c r="EN27" s="269">
        <f t="shared" si="47"/>
        <v>3.2335620415416971E-4</v>
      </c>
    </row>
    <row r="28" spans="2:144">
      <c r="B28" s="233" t="s">
        <v>224</v>
      </c>
      <c r="E28" s="256">
        <f>E27-100000</f>
        <v>1760.0383613843442</v>
      </c>
      <c r="H28" t="s">
        <v>224</v>
      </c>
      <c r="K28" s="262">
        <f>K27-100000</f>
        <v>412.61138339994068</v>
      </c>
      <c r="N28" s="162" t="s">
        <v>224</v>
      </c>
      <c r="O28" s="162"/>
      <c r="P28" s="162"/>
      <c r="Q28" s="293">
        <f>Q27-100000</f>
        <v>-49.669388173540938</v>
      </c>
      <c r="R28" s="162"/>
      <c r="T28" s="162" t="s">
        <v>224</v>
      </c>
      <c r="U28" s="162"/>
      <c r="V28" s="162"/>
      <c r="W28" s="293">
        <f>W27-100000</f>
        <v>-809.33899291626585</v>
      </c>
      <c r="X28" s="162"/>
      <c r="Z28" s="162" t="s">
        <v>224</v>
      </c>
      <c r="AA28" s="162"/>
      <c r="AB28" s="162"/>
      <c r="AC28" s="293">
        <f>AC27-100000</f>
        <v>678.84343782643555</v>
      </c>
      <c r="AD28" s="162"/>
      <c r="AE28" s="303"/>
      <c r="AF28" s="162" t="s">
        <v>224</v>
      </c>
      <c r="AG28" s="162"/>
      <c r="AH28" s="162"/>
      <c r="AI28" s="293">
        <f>AI27-100000</f>
        <v>724.60774305806262</v>
      </c>
      <c r="AJ28" s="162"/>
      <c r="AL28" s="162" t="s">
        <v>224</v>
      </c>
      <c r="AM28" s="162"/>
      <c r="AN28" s="162"/>
      <c r="AO28" s="293">
        <f>AO27-100000</f>
        <v>1372.6890235496103</v>
      </c>
      <c r="AP28" s="162"/>
      <c r="AR28" s="162" t="s">
        <v>224</v>
      </c>
      <c r="AS28" s="162"/>
      <c r="AT28" s="162"/>
      <c r="AU28" s="293">
        <f>AU27-100000</f>
        <v>2223.6530921063095</v>
      </c>
      <c r="AV28" s="162"/>
      <c r="AX28" s="162" t="s">
        <v>224</v>
      </c>
      <c r="AY28" s="162"/>
      <c r="AZ28" s="162"/>
      <c r="BA28" s="293">
        <f>BA27-100000</f>
        <v>3145.3651225798239</v>
      </c>
      <c r="BB28" s="162"/>
      <c r="BD28" s="162" t="s">
        <v>224</v>
      </c>
      <c r="BE28" s="162"/>
      <c r="BF28" s="162"/>
      <c r="BG28" s="293">
        <f>BG27-100000</f>
        <v>3182.3268158528663</v>
      </c>
      <c r="BH28" s="162"/>
      <c r="BJ28" s="162" t="s">
        <v>224</v>
      </c>
      <c r="BK28" s="162"/>
      <c r="BL28" s="162"/>
      <c r="BM28" s="293">
        <f>BM27-100000</f>
        <v>2817.9571427975316</v>
      </c>
      <c r="BN28" s="162"/>
      <c r="BP28" s="162" t="s">
        <v>224</v>
      </c>
      <c r="BQ28" s="162"/>
      <c r="BR28" s="162"/>
      <c r="BS28" s="293">
        <f>BS27-100000</f>
        <v>1496.4714151368098</v>
      </c>
      <c r="BT28" s="162"/>
      <c r="BV28" s="162" t="s">
        <v>224</v>
      </c>
      <c r="BW28" s="162"/>
      <c r="BX28" s="162"/>
      <c r="BY28" s="293">
        <f>BY27-100000</f>
        <v>928.05419511397486</v>
      </c>
      <c r="BZ28" s="162"/>
      <c r="CB28" s="162" t="s">
        <v>224</v>
      </c>
      <c r="CC28" s="162"/>
      <c r="CD28" s="162"/>
      <c r="CE28" s="293">
        <f>CE27-100000</f>
        <v>822.09524368584971</v>
      </c>
      <c r="CF28" s="162"/>
      <c r="CH28" s="162" t="s">
        <v>224</v>
      </c>
      <c r="CI28" s="162"/>
      <c r="CJ28" s="162"/>
      <c r="CK28" s="293">
        <f>CK27-100000</f>
        <v>1544.9487014584302</v>
      </c>
      <c r="CL28" s="162"/>
      <c r="CN28" s="162" t="s">
        <v>224</v>
      </c>
      <c r="CO28" s="162"/>
      <c r="CP28" s="162"/>
      <c r="CQ28" s="293">
        <f>CQ27-100000</f>
        <v>2009.9704091997701</v>
      </c>
      <c r="CR28" s="162"/>
      <c r="CT28" s="162" t="s">
        <v>224</v>
      </c>
      <c r="CU28" s="162"/>
      <c r="CV28" s="162"/>
      <c r="CW28" s="293">
        <f>CW27-100000</f>
        <v>1100.2304057920264</v>
      </c>
      <c r="CX28" s="162"/>
      <c r="CZ28" s="162" t="s">
        <v>224</v>
      </c>
      <c r="DA28" s="162"/>
      <c r="DB28" s="162"/>
      <c r="DC28" s="293">
        <f>DC27-100000</f>
        <v>864.75809571973514</v>
      </c>
      <c r="DD28" s="162"/>
      <c r="DF28" s="162" t="s">
        <v>224</v>
      </c>
      <c r="DG28" s="162"/>
      <c r="DH28" s="162"/>
      <c r="DI28" s="293">
        <f>DI27-100000</f>
        <v>884.25508769229054</v>
      </c>
      <c r="DJ28" s="162"/>
      <c r="DL28" s="162" t="s">
        <v>224</v>
      </c>
      <c r="DM28" s="162"/>
      <c r="DN28" s="162"/>
      <c r="DO28" s="293">
        <f>DO27-100000</f>
        <v>-598.6734226441331</v>
      </c>
      <c r="DP28" s="162"/>
      <c r="DQ28" s="155"/>
      <c r="DR28" s="162" t="s">
        <v>224</v>
      </c>
      <c r="DS28" s="162"/>
      <c r="DT28" s="162"/>
      <c r="DU28" s="293">
        <f>DU27-100000</f>
        <v>975.75388781791844</v>
      </c>
      <c r="DV28" s="162"/>
      <c r="DW28" s="339"/>
      <c r="DX28" s="162" t="s">
        <v>224</v>
      </c>
      <c r="DY28" s="162"/>
      <c r="DZ28" s="162"/>
      <c r="EA28" s="293">
        <f>EA27-100000</f>
        <v>2784.8777667014947</v>
      </c>
      <c r="EB28" s="162"/>
      <c r="EC28" s="149"/>
      <c r="ED28" s="162" t="s">
        <v>224</v>
      </c>
      <c r="EE28" s="162"/>
      <c r="EF28" s="162"/>
      <c r="EG28" s="293">
        <f>EG27-100000</f>
        <v>1686.2966959870246</v>
      </c>
      <c r="EH28" s="162"/>
      <c r="EJ28" s="173" t="s">
        <v>152</v>
      </c>
      <c r="EK28" s="236"/>
      <c r="EL28" s="239"/>
      <c r="EM28" s="265">
        <f>SUM(EM19:EM27)</f>
        <v>102054.6368866523</v>
      </c>
      <c r="EN28" s="270">
        <f>SUM(EN19:EN27)</f>
        <v>0.99999999999999978</v>
      </c>
    </row>
    <row r="29" spans="2:144">
      <c r="C29" s="162" t="s">
        <v>225</v>
      </c>
      <c r="E29" s="257">
        <f>E28/100000</f>
        <v>1.7600383613843442E-2</v>
      </c>
      <c r="I29" t="s">
        <v>225</v>
      </c>
      <c r="K29" s="263">
        <f>K28/100000</f>
        <v>4.1261138339994067E-3</v>
      </c>
      <c r="N29" s="162"/>
      <c r="O29" s="162" t="s">
        <v>225</v>
      </c>
      <c r="P29" s="162"/>
      <c r="Q29" s="263">
        <f>Q28/100000</f>
        <v>-4.9669388173540939E-4</v>
      </c>
      <c r="R29" s="162"/>
      <c r="T29" s="162"/>
      <c r="U29" s="162" t="s">
        <v>225</v>
      </c>
      <c r="V29" s="162"/>
      <c r="W29" s="263">
        <f>W28/100000</f>
        <v>-8.0933899291626577E-3</v>
      </c>
      <c r="X29" s="162"/>
      <c r="Z29" s="162"/>
      <c r="AA29" s="162" t="s">
        <v>225</v>
      </c>
      <c r="AB29" s="162"/>
      <c r="AC29" s="263">
        <f>AC28/100000</f>
        <v>6.788434378264355E-3</v>
      </c>
      <c r="AD29" s="162"/>
      <c r="AE29" s="303"/>
      <c r="AF29" s="162"/>
      <c r="AG29" s="162" t="s">
        <v>225</v>
      </c>
      <c r="AH29" s="162"/>
      <c r="AI29" s="263">
        <f>AI28/100000</f>
        <v>7.2460774305806259E-3</v>
      </c>
      <c r="AJ29" s="162"/>
      <c r="AL29" s="162"/>
      <c r="AM29" s="162" t="s">
        <v>225</v>
      </c>
      <c r="AN29" s="162"/>
      <c r="AO29" s="263">
        <f>AO28/100000</f>
        <v>1.3726890235496102E-2</v>
      </c>
      <c r="AP29" s="162"/>
      <c r="AR29" s="162"/>
      <c r="AS29" s="162" t="s">
        <v>225</v>
      </c>
      <c r="AT29" s="162"/>
      <c r="AU29" s="263">
        <f>AU28/100000</f>
        <v>2.2236530921063095E-2</v>
      </c>
      <c r="AV29" s="162"/>
      <c r="AX29" s="162"/>
      <c r="AY29" s="162" t="s">
        <v>225</v>
      </c>
      <c r="AZ29" s="162"/>
      <c r="BA29" s="263">
        <f>BA28/100000</f>
        <v>3.145365122579824E-2</v>
      </c>
      <c r="BB29" s="162"/>
      <c r="BD29" s="162"/>
      <c r="BE29" s="162" t="s">
        <v>225</v>
      </c>
      <c r="BF29" s="162"/>
      <c r="BG29" s="263">
        <f>BG28/100000</f>
        <v>3.1823268158528664E-2</v>
      </c>
      <c r="BH29" s="162"/>
      <c r="BJ29" s="162"/>
      <c r="BK29" s="162" t="s">
        <v>225</v>
      </c>
      <c r="BL29" s="162"/>
      <c r="BM29" s="263">
        <f>BM28/100000</f>
        <v>2.8179571427975315E-2</v>
      </c>
      <c r="BN29" s="162"/>
      <c r="BP29" s="162"/>
      <c r="BQ29" s="162" t="s">
        <v>225</v>
      </c>
      <c r="BR29" s="162"/>
      <c r="BS29" s="263">
        <f>BS28/100000</f>
        <v>1.4964714151368097E-2</v>
      </c>
      <c r="BT29" s="162"/>
      <c r="BV29" s="162"/>
      <c r="BW29" s="162" t="s">
        <v>225</v>
      </c>
      <c r="BX29" s="162"/>
      <c r="BY29" s="263">
        <f>BY28/100000</f>
        <v>9.2805419511397483E-3</v>
      </c>
      <c r="BZ29" s="162"/>
      <c r="CB29" s="162"/>
      <c r="CC29" s="162" t="s">
        <v>225</v>
      </c>
      <c r="CD29" s="162"/>
      <c r="CE29" s="263">
        <f>CE28/100000</f>
        <v>8.2209524368584974E-3</v>
      </c>
      <c r="CF29" s="162"/>
      <c r="CH29" s="162"/>
      <c r="CI29" s="162" t="s">
        <v>225</v>
      </c>
      <c r="CJ29" s="162"/>
      <c r="CK29" s="263">
        <f>CK28/100000</f>
        <v>1.5449487014584302E-2</v>
      </c>
      <c r="CL29" s="162"/>
      <c r="CN29" s="162"/>
      <c r="CO29" s="162" t="s">
        <v>225</v>
      </c>
      <c r="CP29" s="162"/>
      <c r="CQ29" s="263">
        <f>CQ28/100000</f>
        <v>2.0099704091997701E-2</v>
      </c>
      <c r="CR29" s="162"/>
      <c r="CT29" s="162"/>
      <c r="CU29" s="162" t="s">
        <v>225</v>
      </c>
      <c r="CV29" s="162"/>
      <c r="CW29" s="263">
        <f>CW28/100000</f>
        <v>1.1002304057920265E-2</v>
      </c>
      <c r="CX29" s="162"/>
      <c r="CZ29" s="162"/>
      <c r="DA29" s="162" t="s">
        <v>225</v>
      </c>
      <c r="DB29" s="162"/>
      <c r="DC29" s="263">
        <f>DC28/100000</f>
        <v>8.6475809571973511E-3</v>
      </c>
      <c r="DD29" s="162"/>
      <c r="DF29" s="162"/>
      <c r="DG29" s="162" t="s">
        <v>225</v>
      </c>
      <c r="DH29" s="162"/>
      <c r="DI29" s="263">
        <f>DI28/100000</f>
        <v>8.8425508769229052E-3</v>
      </c>
      <c r="DJ29" s="162"/>
      <c r="DL29" s="162"/>
      <c r="DM29" s="162" t="s">
        <v>225</v>
      </c>
      <c r="DN29" s="162"/>
      <c r="DO29" s="263">
        <f>DO28/100000</f>
        <v>-5.9867342264413306E-3</v>
      </c>
      <c r="DP29" s="162"/>
      <c r="DQ29" s="155"/>
      <c r="DR29" s="162"/>
      <c r="DS29" s="162" t="s">
        <v>225</v>
      </c>
      <c r="DT29" s="162"/>
      <c r="DU29" s="263">
        <f>DU28/100000</f>
        <v>9.7575388781791852E-3</v>
      </c>
      <c r="DV29" s="162"/>
      <c r="DW29" s="339"/>
      <c r="DX29" s="162"/>
      <c r="DY29" s="162" t="s">
        <v>225</v>
      </c>
      <c r="DZ29" s="162"/>
      <c r="EA29" s="263">
        <f>EA28/100000</f>
        <v>2.7848777667014948E-2</v>
      </c>
      <c r="EB29" s="162"/>
      <c r="EC29" s="149"/>
      <c r="ED29" s="162"/>
      <c r="EE29" s="162" t="s">
        <v>225</v>
      </c>
      <c r="EF29" s="162"/>
      <c r="EG29" s="263">
        <f>EG28/100000</f>
        <v>1.6862966959870246E-2</v>
      </c>
      <c r="EH29" s="162"/>
      <c r="EJ29" s="162" t="s">
        <v>224</v>
      </c>
      <c r="EK29" s="162"/>
      <c r="EL29" s="162"/>
      <c r="EM29" s="293">
        <f>EM28-100000</f>
        <v>2054.6368866522971</v>
      </c>
      <c r="EN29" s="162"/>
    </row>
    <row r="30" spans="2:144">
      <c r="C30" s="162" t="s">
        <v>226</v>
      </c>
      <c r="E30" s="263">
        <f>('5.ΤΙΜΕΣ'!B23-'5.ΤΙΜΕΣ'!B22)/'5.ΤΙΜΕΣ'!B22</f>
        <v>3.4415188789540571E-2</v>
      </c>
      <c r="I30" t="s">
        <v>226</v>
      </c>
      <c r="K30" s="263">
        <f>('5.ΤΙΜΕΣ'!B24-'5.ΤΙΜΕΣ'!B23)/'5.ΤΙΜΕΣ'!B23</f>
        <v>-3.2824463936070303E-2</v>
      </c>
      <c r="N30" s="162"/>
      <c r="O30" s="162" t="s">
        <v>226</v>
      </c>
      <c r="P30" s="162"/>
      <c r="Q30" s="263">
        <f>('5.ΤΙΜΕΣ'!$B$25-'5.ΤΙΜΕΣ'!$B$24)/'5.ΤΙΜΕΣ'!$B$24</f>
        <v>-1.3496387247560774E-3</v>
      </c>
      <c r="R30" s="162"/>
      <c r="T30" s="162"/>
      <c r="U30" s="162" t="s">
        <v>226</v>
      </c>
      <c r="V30" s="162"/>
      <c r="W30" s="263">
        <f>('5.ΤΙΜΕΣ'!B26-'5.ΤΙΜΕΣ'!B25)/'5.ΤΙΜΕΣ'!B25</f>
        <v>-2.592501030078289E-2</v>
      </c>
      <c r="X30" s="162"/>
      <c r="Z30" s="162"/>
      <c r="AA30" s="162" t="s">
        <v>226</v>
      </c>
      <c r="AB30" s="162"/>
      <c r="AC30" s="263">
        <f>('5.ΤΙΜΕΣ'!B27-'5.ΤΙΜΕΣ'!B26)/'5.ΤΙΜΕΣ'!B26</f>
        <v>7.4278366214341083E-3</v>
      </c>
      <c r="AD30" s="162"/>
      <c r="AE30" s="303"/>
      <c r="AF30" s="162"/>
      <c r="AG30" s="162" t="s">
        <v>226</v>
      </c>
      <c r="AH30" s="162"/>
      <c r="AI30" s="263">
        <f>('5.ΤΙΜΕΣ'!B28-'5.ΤΙΜΕΣ'!B27)/'5.ΤΙΜΕΣ'!B27</f>
        <v>2.5310290388135991E-2</v>
      </c>
      <c r="AJ30" s="162"/>
      <c r="AL30" s="162"/>
      <c r="AM30" s="162" t="s">
        <v>226</v>
      </c>
      <c r="AN30" s="162"/>
      <c r="AO30" s="263">
        <f>('5.ΤΙΜΕΣ'!B29-'5.ΤΙΜΕΣ'!B28)/'5.ΤΙΜΕΣ'!B28</f>
        <v>-6.6668850740401811E-3</v>
      </c>
      <c r="AP30" s="162"/>
      <c r="AR30" s="162"/>
      <c r="AS30" s="162" t="s">
        <v>226</v>
      </c>
      <c r="AT30" s="162"/>
      <c r="AU30" s="263">
        <f>('5.ΤΙΜΕΣ'!B30-'5.ΤΙΜΕΣ'!B29)/'5.ΤΙΜΕΣ'!B29</f>
        <v>3.2568724130538747E-2</v>
      </c>
      <c r="AV30" s="162"/>
      <c r="AX30" s="162"/>
      <c r="AY30" s="162" t="s">
        <v>226</v>
      </c>
      <c r="AZ30" s="162"/>
      <c r="BA30" s="263">
        <f>('5.ΤΙΜΕΣ'!B31-'5.ΤΙΜΕΣ'!B30)/'5.ΤΙΜΕΣ'!B30</f>
        <v>1.4053915932030262E-2</v>
      </c>
      <c r="BB30" s="162"/>
      <c r="BD30" s="162"/>
      <c r="BE30" s="162" t="s">
        <v>226</v>
      </c>
      <c r="BF30" s="162"/>
      <c r="BG30" s="263">
        <f>('5.ΤΙΜΕΣ'!B32-'5.ΤΙΜΕΣ'!B31)/'5.ΤΙΜΕΣ'!B31</f>
        <v>1.0992818445256422E-2</v>
      </c>
      <c r="BH30" s="162"/>
      <c r="BJ30" s="162"/>
      <c r="BK30" s="162" t="s">
        <v>226</v>
      </c>
      <c r="BL30" s="162"/>
      <c r="BM30" s="263">
        <f>('5.ΤΙΜΕΣ'!B33-'5.ΤΙΜΕΣ'!B32)/'5.ΤΙΜΕΣ'!B32</f>
        <v>-2.1325980621241945E-2</v>
      </c>
      <c r="BN30" s="162"/>
      <c r="BP30" s="162"/>
      <c r="BQ30" s="162" t="s">
        <v>226</v>
      </c>
      <c r="BR30" s="162"/>
      <c r="BS30" s="263">
        <f>('5.ΤΙΜΕΣ'!B34-'5.ΤΙΜΕΣ'!B33)/'5.ΤΙΜΕΣ'!B33</f>
        <v>-4.1209709510545145E-2</v>
      </c>
      <c r="BT30" s="162"/>
      <c r="BV30" s="162"/>
      <c r="BW30" s="162" t="s">
        <v>226</v>
      </c>
      <c r="BX30" s="162"/>
      <c r="BY30" s="263">
        <f>('5.ΤΙΜΕΣ'!B35-'5.ΤΙΜΕΣ'!B34)/'5.ΤΙΜΕΣ'!B34</f>
        <v>1.3330898466033556E-2</v>
      </c>
      <c r="BZ30" s="162"/>
      <c r="CB30" s="162"/>
      <c r="CC30" s="162" t="s">
        <v>226</v>
      </c>
      <c r="CD30" s="162"/>
      <c r="CE30" s="263">
        <f>('5.ΤΙΜΕΣ'!B36-'5.ΤΙΜΕΣ'!B35)/'5.ΤΙΜΕΣ'!B35</f>
        <v>-1.5924245154737181E-2</v>
      </c>
      <c r="CF30" s="162"/>
      <c r="CH30" s="162"/>
      <c r="CI30" s="162" t="s">
        <v>226</v>
      </c>
      <c r="CJ30" s="162"/>
      <c r="CK30" s="263">
        <f>('5.ΤΙΜΕΣ'!B37-'5.ΤΙΜΕΣ'!B36)/'5.ΤΙΜΕΣ'!B36</f>
        <v>2.9966537366608427E-3</v>
      </c>
      <c r="CL30" s="162"/>
      <c r="CN30" s="162"/>
      <c r="CO30" s="162" t="s">
        <v>226</v>
      </c>
      <c r="CP30" s="162"/>
      <c r="CQ30" s="263">
        <f>('5.ΤΙΜΕΣ'!B38-'5.ΤΙΜΕΣ'!B37)/'5.ΤΙΜΕΣ'!B37</f>
        <v>2.6225372217702578E-3</v>
      </c>
      <c r="CR30" s="162"/>
      <c r="CT30" s="162"/>
      <c r="CU30" s="162" t="s">
        <v>226</v>
      </c>
      <c r="CV30" s="162"/>
      <c r="CW30" s="263">
        <f>('5.ΤΙΜΕΣ'!B39-'5.ΤΙΜΕΣ'!B38)/'5.ΤΙΜΕΣ'!B38</f>
        <v>-1.2763844052644522E-2</v>
      </c>
      <c r="CX30" s="162"/>
      <c r="CZ30" s="162"/>
      <c r="DA30" s="162" t="s">
        <v>226</v>
      </c>
      <c r="DB30" s="162"/>
      <c r="DC30" s="263">
        <f>('5.ΤΙΜΕΣ'!B40-'5.ΤΙΜΕΣ'!B39)/'5.ΤΙΜΕΣ'!B39</f>
        <v>5.1983767649318416E-4</v>
      </c>
      <c r="DD30" s="162"/>
      <c r="DF30" s="162"/>
      <c r="DG30" s="162" t="s">
        <v>226</v>
      </c>
      <c r="DH30" s="162"/>
      <c r="DI30" s="263">
        <f>('5.ΤΙΜΕΣ'!B41-'5.ΤΙΜΕΣ'!B40)/'5.ΤΙΜΕΣ'!B40</f>
        <v>-9.7377021704515981E-3</v>
      </c>
      <c r="DJ30" s="162"/>
      <c r="DL30" s="162"/>
      <c r="DM30" s="162" t="s">
        <v>226</v>
      </c>
      <c r="DN30" s="162"/>
      <c r="DO30" s="263">
        <f>('5.ΤΙΜΕΣ'!B42-'5.ΤΙΜΕΣ'!B41)/'5.ΤΙΜΕΣ'!B41</f>
        <v>-4.6036151919301794E-3</v>
      </c>
      <c r="DP30" s="162"/>
      <c r="DQ30" s="155"/>
      <c r="DR30" s="162"/>
      <c r="DS30" s="162" t="s">
        <v>226</v>
      </c>
      <c r="DT30" s="162"/>
      <c r="DU30" s="263">
        <f>('5.ΤΙΜΕΣ'!B43-'5.ΤΙΜΕΣ'!B42)/'5.ΤΙΜΕΣ'!B42</f>
        <v>8.7397129837447907E-3</v>
      </c>
      <c r="DV30" s="162"/>
      <c r="DW30" s="149"/>
      <c r="DX30" s="162"/>
      <c r="DY30" s="162" t="s">
        <v>226</v>
      </c>
      <c r="DZ30" s="162"/>
      <c r="EA30" s="263">
        <f>('5.ΤΙΜΕΣ'!B44-'5.ΤΙΜΕΣ'!B43)/'5.ΤΙΜΕΣ'!B43</f>
        <v>2.7407881873040472E-2</v>
      </c>
      <c r="EB30" s="162"/>
      <c r="EC30" s="149"/>
      <c r="ED30" s="162"/>
      <c r="EE30" s="162" t="s">
        <v>226</v>
      </c>
      <c r="EF30" s="162"/>
      <c r="EG30" s="263">
        <f>('5.ΤΙΜΕΣ'!B45-'5.ΤΙΜΕΣ'!B44)/'5.ΤΙΜΕΣ'!B44</f>
        <v>-1.3715710723192043E-2</v>
      </c>
      <c r="EH30" s="162"/>
      <c r="EJ30" s="162"/>
      <c r="EK30" s="162" t="s">
        <v>225</v>
      </c>
      <c r="EL30" s="162"/>
      <c r="EM30" s="263">
        <f>EM29/100000</f>
        <v>2.054636886652297E-2</v>
      </c>
      <c r="EN30" s="162"/>
    </row>
    <row r="31" spans="2:144">
      <c r="AE31" s="303"/>
      <c r="BD31" s="162"/>
      <c r="BE31" s="162"/>
      <c r="BF31" s="162"/>
      <c r="BG31" s="162"/>
      <c r="BH31" s="162"/>
      <c r="DQ31" s="155"/>
      <c r="DR31" s="155"/>
      <c r="DS31" s="155"/>
      <c r="DT31" s="155"/>
      <c r="DU31" s="155"/>
      <c r="DV31" s="149"/>
      <c r="DW31" s="149"/>
      <c r="DX31" s="149"/>
      <c r="DY31" s="149"/>
      <c r="DZ31" s="342"/>
      <c r="EA31" s="149"/>
      <c r="EB31" s="149"/>
      <c r="EC31" s="149"/>
      <c r="EJ31" s="162"/>
      <c r="EK31" s="162" t="s">
        <v>226</v>
      </c>
      <c r="EL31" s="162"/>
      <c r="EM31" s="263">
        <f>('5.ΤΙΜΕΣ'!B46-'5.ΤΙΜΕΣ'!B45)/'5.ΤΙΜΕΣ'!B45</f>
        <v>1.5569898196819506E-2</v>
      </c>
      <c r="EN31" s="162"/>
    </row>
    <row r="32" spans="2:144">
      <c r="AE32" s="303"/>
      <c r="BD32" s="162"/>
      <c r="BE32" s="162"/>
      <c r="BF32" s="162"/>
      <c r="BG32" s="162"/>
      <c r="BH32" s="162"/>
      <c r="DQ32" s="155"/>
      <c r="DR32" s="155"/>
      <c r="DS32" s="155"/>
      <c r="DT32" s="155"/>
      <c r="DU32" s="155"/>
      <c r="DV32" s="149"/>
      <c r="DW32" s="149"/>
      <c r="DX32" s="149"/>
      <c r="DY32" s="149"/>
      <c r="DZ32" s="149"/>
      <c r="EA32" s="149"/>
      <c r="EB32" s="149"/>
      <c r="EC32" s="149"/>
      <c r="EN32" t="s">
        <v>240</v>
      </c>
    </row>
    <row r="33" spans="31:133">
      <c r="AE33" s="303"/>
      <c r="DQ33" s="155"/>
      <c r="DR33" s="155"/>
      <c r="DS33" s="155"/>
      <c r="DT33" s="155"/>
      <c r="DU33" s="155"/>
      <c r="DV33" s="149"/>
      <c r="DW33" s="149"/>
      <c r="DX33" s="149"/>
      <c r="DY33" s="149"/>
      <c r="DZ33" s="149"/>
      <c r="EA33" s="149"/>
      <c r="EB33" s="149"/>
      <c r="EC33" s="149"/>
    </row>
    <row r="34" spans="31:133">
      <c r="DV34" s="140"/>
      <c r="DW34" s="140"/>
      <c r="DX34" s="140"/>
      <c r="DY34" s="140"/>
      <c r="DZ34" s="140"/>
      <c r="EA34" s="140"/>
      <c r="EB34" s="140"/>
      <c r="EC34" s="140"/>
    </row>
    <row r="35" spans="31:133">
      <c r="DV35" s="140"/>
      <c r="DW35" s="140"/>
      <c r="DX35" s="140"/>
      <c r="DY35" s="140"/>
      <c r="DZ35" s="140"/>
      <c r="EA35" s="140"/>
      <c r="EB35" s="140"/>
      <c r="EC35" s="140"/>
    </row>
    <row r="36" spans="31:133">
      <c r="DV36" s="140"/>
      <c r="DW36" s="140"/>
      <c r="DX36" s="140"/>
      <c r="DY36" s="140"/>
      <c r="DZ36" s="140"/>
      <c r="EA36" s="140"/>
      <c r="EB36" s="140"/>
      <c r="EC36" s="140"/>
    </row>
    <row r="37" spans="31:133">
      <c r="DV37" s="140"/>
      <c r="DW37" s="140"/>
      <c r="DX37" s="140"/>
      <c r="DY37" s="140"/>
      <c r="DZ37" s="140"/>
      <c r="EA37" s="140"/>
      <c r="EB37" s="140"/>
      <c r="EC37" s="140"/>
    </row>
    <row r="38" spans="31:133">
      <c r="DV38" s="140"/>
      <c r="DW38" s="140"/>
      <c r="DX38" s="140"/>
      <c r="DY38" s="140"/>
      <c r="DZ38" s="140"/>
      <c r="EA38" s="140"/>
      <c r="EB38" s="140"/>
      <c r="EC38" s="140"/>
    </row>
    <row r="39" spans="31:133">
      <c r="DV39" s="140"/>
      <c r="DW39" s="140"/>
      <c r="DX39" s="140"/>
      <c r="DY39" s="140"/>
      <c r="DZ39" s="140"/>
      <c r="EA39" s="140"/>
      <c r="EB39" s="140"/>
      <c r="EC39" s="140"/>
    </row>
    <row r="40" spans="31:133">
      <c r="DV40" s="140"/>
      <c r="DW40" s="140"/>
      <c r="DX40" s="140"/>
      <c r="DY40" s="140"/>
      <c r="DZ40" s="140"/>
      <c r="EA40" s="140"/>
      <c r="EB40" s="140"/>
      <c r="EC40" s="140"/>
    </row>
    <row r="41" spans="31:133">
      <c r="DV41" s="140"/>
      <c r="DW41" s="140"/>
      <c r="DX41" s="140"/>
      <c r="DY41" s="140"/>
      <c r="DZ41" s="140"/>
      <c r="EA41" s="140"/>
      <c r="EB41" s="140"/>
      <c r="EC41" s="140"/>
    </row>
    <row r="42" spans="31:133">
      <c r="DV42" s="140"/>
      <c r="DW42" s="140"/>
      <c r="DX42" s="140"/>
      <c r="DY42" s="140"/>
      <c r="DZ42" s="140"/>
      <c r="EA42" s="140"/>
      <c r="EB42" s="140"/>
      <c r="EC42" s="140"/>
    </row>
    <row r="43" spans="31:133">
      <c r="DV43" s="140"/>
      <c r="DW43" s="140"/>
      <c r="DX43" s="140"/>
      <c r="DY43" s="140"/>
      <c r="DZ43" s="140"/>
      <c r="EA43" s="140"/>
      <c r="EB43" s="140"/>
      <c r="EC43" s="140"/>
    </row>
    <row r="44" spans="31:133">
      <c r="DV44" s="140"/>
      <c r="DW44" s="140"/>
      <c r="DX44" s="140"/>
      <c r="DY44" s="140"/>
      <c r="DZ44" s="140"/>
      <c r="EA44" s="140"/>
      <c r="EB44" s="140"/>
      <c r="EC44" s="140"/>
    </row>
    <row r="45" spans="31:133">
      <c r="DV45" s="140"/>
      <c r="DW45" s="140"/>
      <c r="DX45" s="140"/>
      <c r="DY45" s="140"/>
      <c r="DZ45" s="140"/>
      <c r="EA45" s="140"/>
      <c r="EB45" s="140"/>
      <c r="EC45" s="140"/>
    </row>
    <row r="46" spans="31:133">
      <c r="DV46" s="140"/>
      <c r="DW46" s="140"/>
      <c r="DX46" s="140"/>
      <c r="DY46" s="140"/>
      <c r="DZ46" s="140"/>
      <c r="EA46" s="140"/>
      <c r="EB46" s="140"/>
      <c r="EC46" s="140"/>
    </row>
    <row r="47" spans="31:133">
      <c r="DV47" s="140"/>
      <c r="DW47" s="140"/>
      <c r="DX47" s="140"/>
      <c r="DY47" s="140"/>
      <c r="DZ47" s="140"/>
      <c r="EA47" s="140"/>
      <c r="EB47" s="140"/>
      <c r="EC47" s="140"/>
    </row>
    <row r="48" spans="31:133">
      <c r="DV48" s="140"/>
      <c r="DW48" s="140"/>
      <c r="DX48" s="140"/>
      <c r="DY48" s="140"/>
      <c r="DZ48" s="140"/>
      <c r="EA48" s="140"/>
      <c r="EB48" s="140"/>
      <c r="EC48" s="140"/>
    </row>
    <row r="49" spans="126:133">
      <c r="DV49" s="140"/>
      <c r="DW49" s="140"/>
      <c r="DX49" s="140"/>
      <c r="DY49" s="140"/>
      <c r="DZ49" s="140"/>
      <c r="EA49" s="140"/>
      <c r="EB49" s="140"/>
      <c r="EC49" s="140"/>
    </row>
    <row r="50" spans="126:133">
      <c r="DV50" s="140"/>
      <c r="DW50" s="140"/>
      <c r="DX50" s="140"/>
      <c r="DY50" s="140"/>
      <c r="DZ50" s="140"/>
      <c r="EA50" s="140"/>
      <c r="EB50" s="140"/>
      <c r="EC50" s="140"/>
    </row>
    <row r="51" spans="126:133">
      <c r="DV51" s="140"/>
      <c r="DW51" s="140"/>
      <c r="DX51" s="140"/>
      <c r="DY51" s="140"/>
      <c r="DZ51" s="140"/>
      <c r="EA51" s="140"/>
      <c r="EB51" s="140"/>
      <c r="EC51" s="140"/>
    </row>
    <row r="52" spans="126:133">
      <c r="DV52" s="140"/>
      <c r="DW52" s="140"/>
      <c r="DX52" s="140"/>
      <c r="DY52" s="140"/>
      <c r="DZ52" s="140"/>
      <c r="EA52" s="140"/>
      <c r="EB52" s="140"/>
      <c r="EC52" s="140"/>
    </row>
    <row r="53" spans="126:133">
      <c r="DV53" s="140"/>
      <c r="DW53" s="140"/>
      <c r="DX53" s="140"/>
      <c r="DY53" s="140"/>
      <c r="DZ53" s="140"/>
      <c r="EA53" s="140"/>
      <c r="EB53" s="140"/>
      <c r="EC53" s="140"/>
    </row>
    <row r="54" spans="126:133">
      <c r="DV54" s="140"/>
      <c r="DW54" s="140"/>
      <c r="DX54" s="140"/>
      <c r="DY54" s="140"/>
      <c r="DZ54" s="140"/>
      <c r="EA54" s="140"/>
      <c r="EB54" s="140"/>
      <c r="EC54" s="140"/>
    </row>
    <row r="55" spans="126:133">
      <c r="DV55" s="140"/>
      <c r="DW55" s="140"/>
      <c r="DX55" s="140"/>
      <c r="DY55" s="140"/>
      <c r="DZ55" s="140"/>
      <c r="EA55" s="140"/>
      <c r="EB55" s="140"/>
      <c r="EC55" s="140"/>
    </row>
    <row r="56" spans="126:133">
      <c r="DV56" s="140"/>
      <c r="DW56" s="140"/>
      <c r="DX56" s="140"/>
      <c r="DY56" s="140"/>
      <c r="DZ56" s="140"/>
      <c r="EA56" s="140"/>
      <c r="EB56" s="140"/>
      <c r="EC56" s="140"/>
    </row>
    <row r="57" spans="126:133">
      <c r="DV57" s="140"/>
      <c r="DW57" s="140"/>
      <c r="DX57" s="140"/>
      <c r="DY57" s="140"/>
      <c r="DZ57" s="140"/>
      <c r="EA57" s="140"/>
      <c r="EB57" s="140"/>
      <c r="EC57" s="140"/>
    </row>
    <row r="58" spans="126:133">
      <c r="DV58" s="140"/>
      <c r="DW58" s="140"/>
      <c r="DX58" s="140"/>
      <c r="DY58" s="140"/>
      <c r="DZ58" s="140"/>
      <c r="EA58" s="140"/>
      <c r="EB58" s="140"/>
      <c r="EC58" s="140"/>
    </row>
    <row r="59" spans="126:133">
      <c r="DV59" s="140"/>
      <c r="DW59" s="140"/>
      <c r="DX59" s="140"/>
      <c r="DY59" s="140"/>
      <c r="DZ59" s="140"/>
      <c r="EA59" s="140"/>
      <c r="EB59" s="140"/>
      <c r="EC59" s="140"/>
    </row>
    <row r="60" spans="126:133">
      <c r="DV60" s="140"/>
      <c r="DW60" s="140"/>
      <c r="DX60" s="140"/>
      <c r="DY60" s="140"/>
      <c r="DZ60" s="140"/>
      <c r="EA60" s="140"/>
      <c r="EB60" s="140"/>
      <c r="EC60" s="140"/>
    </row>
    <row r="61" spans="126:133">
      <c r="DV61" s="140"/>
      <c r="DW61" s="140"/>
      <c r="DX61" s="140"/>
      <c r="DY61" s="140"/>
      <c r="DZ61" s="140"/>
      <c r="EA61" s="140"/>
      <c r="EB61" s="140"/>
      <c r="EC61" s="140"/>
    </row>
    <row r="62" spans="126:133">
      <c r="DV62" s="140"/>
      <c r="DW62" s="140"/>
      <c r="DX62" s="140"/>
      <c r="DY62" s="140"/>
      <c r="DZ62" s="140"/>
      <c r="EA62" s="140"/>
      <c r="EB62" s="140"/>
      <c r="EC62" s="140"/>
    </row>
    <row r="63" spans="126:133">
      <c r="DV63" s="140"/>
      <c r="DW63" s="140"/>
      <c r="DX63" s="140"/>
      <c r="DY63" s="140"/>
      <c r="DZ63" s="140"/>
      <c r="EA63" s="140"/>
      <c r="EB63" s="140"/>
      <c r="EC63" s="140"/>
    </row>
    <row r="64" spans="126:133">
      <c r="DV64" s="140"/>
      <c r="DW64" s="140"/>
      <c r="DX64" s="140"/>
      <c r="DY64" s="140"/>
      <c r="DZ64" s="140"/>
      <c r="EA64" s="140"/>
      <c r="EB64" s="140"/>
      <c r="EC64" s="140"/>
    </row>
    <row r="65" spans="126:133">
      <c r="DV65" s="140"/>
      <c r="DW65" s="140"/>
      <c r="DX65" s="140"/>
      <c r="DY65" s="140"/>
      <c r="DZ65" s="140"/>
      <c r="EA65" s="140"/>
      <c r="EB65" s="140"/>
      <c r="EC65" s="140"/>
    </row>
    <row r="66" spans="126:133">
      <c r="DV66" s="140"/>
      <c r="DW66" s="140"/>
      <c r="DX66" s="140"/>
      <c r="DY66" s="140"/>
      <c r="DZ66" s="140"/>
      <c r="EA66" s="140"/>
      <c r="EB66" s="140"/>
      <c r="EC66" s="140"/>
    </row>
    <row r="67" spans="126:133">
      <c r="DV67" s="140"/>
      <c r="DW67" s="140"/>
      <c r="DX67" s="140"/>
      <c r="DY67" s="140"/>
      <c r="DZ67" s="140"/>
      <c r="EA67" s="140"/>
      <c r="EB67" s="140"/>
      <c r="EC67" s="140"/>
    </row>
    <row r="68" spans="126:133">
      <c r="DV68" s="140"/>
      <c r="DW68" s="140"/>
      <c r="DX68" s="140"/>
      <c r="DY68" s="140"/>
      <c r="DZ68" s="140"/>
      <c r="EA68" s="140"/>
      <c r="EB68" s="140"/>
      <c r="EC68" s="140"/>
    </row>
    <row r="69" spans="126:133">
      <c r="DV69" s="140"/>
      <c r="DW69" s="140"/>
      <c r="DX69" s="140"/>
      <c r="DY69" s="140"/>
      <c r="DZ69" s="140"/>
      <c r="EA69" s="140"/>
      <c r="EB69" s="140"/>
      <c r="EC69" s="140"/>
    </row>
    <row r="70" spans="126:133">
      <c r="DV70" s="140"/>
      <c r="DW70" s="140"/>
      <c r="DX70" s="140"/>
      <c r="DY70" s="140"/>
      <c r="DZ70" s="140"/>
      <c r="EA70" s="140"/>
      <c r="EB70" s="140"/>
      <c r="EC70" s="140"/>
    </row>
    <row r="71" spans="126:133">
      <c r="DV71" s="140"/>
      <c r="DW71" s="140"/>
      <c r="DX71" s="140"/>
      <c r="DY71" s="140"/>
      <c r="DZ71" s="140"/>
      <c r="EA71" s="140"/>
      <c r="EB71" s="140"/>
      <c r="EC71" s="140"/>
    </row>
    <row r="72" spans="126:133">
      <c r="DV72" s="140"/>
      <c r="DW72" s="140"/>
      <c r="DX72" s="140"/>
      <c r="DY72" s="140"/>
      <c r="DZ72" s="140"/>
      <c r="EA72" s="140"/>
      <c r="EB72" s="140"/>
      <c r="EC72" s="140"/>
    </row>
    <row r="73" spans="126:133">
      <c r="DV73" s="140"/>
      <c r="DW73" s="140"/>
      <c r="DX73" s="140"/>
      <c r="DY73" s="140"/>
      <c r="DZ73" s="140"/>
      <c r="EA73" s="140"/>
      <c r="EB73" s="140"/>
      <c r="EC73" s="140"/>
    </row>
    <row r="74" spans="126:133">
      <c r="DV74" s="140"/>
      <c r="DW74" s="140"/>
      <c r="DX74" s="140"/>
      <c r="DY74" s="140"/>
      <c r="DZ74" s="140"/>
      <c r="EA74" s="140"/>
      <c r="EB74" s="140"/>
      <c r="EC74" s="140"/>
    </row>
    <row r="75" spans="126:133">
      <c r="DV75" s="140"/>
      <c r="DW75" s="140"/>
      <c r="DX75" s="140"/>
      <c r="DY75" s="140"/>
      <c r="DZ75" s="140"/>
      <c r="EA75" s="140"/>
      <c r="EB75" s="140"/>
      <c r="EC75" s="140"/>
    </row>
    <row r="76" spans="126:133">
      <c r="DV76" s="140"/>
      <c r="DW76" s="140"/>
      <c r="DX76" s="140"/>
      <c r="DY76" s="140"/>
      <c r="DZ76" s="140"/>
      <c r="EA76" s="140"/>
      <c r="EB76" s="140"/>
      <c r="EC76" s="140"/>
    </row>
    <row r="77" spans="126:133">
      <c r="DV77" s="140"/>
      <c r="DW77" s="140"/>
      <c r="DX77" s="140"/>
      <c r="DY77" s="140"/>
      <c r="DZ77" s="140"/>
      <c r="EA77" s="140"/>
      <c r="EB77" s="140"/>
      <c r="EC77" s="140"/>
    </row>
    <row r="78" spans="126:133">
      <c r="DV78" s="140"/>
      <c r="DW78" s="140"/>
      <c r="DX78" s="140"/>
      <c r="DY78" s="140"/>
      <c r="DZ78" s="140"/>
      <c r="EA78" s="140"/>
      <c r="EB78" s="140"/>
      <c r="EC78" s="140"/>
    </row>
    <row r="79" spans="126:133">
      <c r="DV79" s="140"/>
      <c r="DW79" s="140"/>
      <c r="DX79" s="140"/>
      <c r="DY79" s="140"/>
      <c r="DZ79" s="140"/>
      <c r="EA79" s="140"/>
      <c r="EB79" s="140"/>
      <c r="EC79" s="140"/>
    </row>
    <row r="80" spans="126:133">
      <c r="DV80" s="140"/>
      <c r="DW80" s="140"/>
      <c r="DX80" s="140"/>
      <c r="DY80" s="140"/>
      <c r="DZ80" s="140"/>
      <c r="EA80" s="140"/>
      <c r="EB80" s="140"/>
      <c r="EC80" s="140"/>
    </row>
    <row r="81" spans="126:133">
      <c r="DV81" s="140"/>
      <c r="DW81" s="140"/>
      <c r="DX81" s="140"/>
      <c r="DY81" s="140"/>
      <c r="DZ81" s="140"/>
      <c r="EA81" s="140"/>
      <c r="EB81" s="140"/>
      <c r="EC81" s="140"/>
    </row>
    <row r="82" spans="126:133">
      <c r="DV82" s="140"/>
      <c r="DW82" s="140"/>
      <c r="DX82" s="140"/>
      <c r="DY82" s="140"/>
      <c r="DZ82" s="140"/>
      <c r="EA82" s="140"/>
      <c r="EB82" s="140"/>
      <c r="EC82" s="140"/>
    </row>
    <row r="83" spans="126:133">
      <c r="DV83" s="140"/>
      <c r="DW83" s="140"/>
      <c r="DX83" s="140"/>
      <c r="DY83" s="140"/>
      <c r="DZ83" s="140"/>
      <c r="EA83" s="140"/>
      <c r="EB83" s="140"/>
      <c r="EC83" s="140"/>
    </row>
    <row r="84" spans="126:133">
      <c r="DV84" s="140"/>
      <c r="DW84" s="140"/>
      <c r="DX84" s="140"/>
      <c r="DY84" s="140"/>
      <c r="DZ84" s="140"/>
      <c r="EA84" s="140"/>
      <c r="EB84" s="140"/>
      <c r="EC84" s="140"/>
    </row>
    <row r="85" spans="126:133">
      <c r="DV85" s="140"/>
      <c r="DW85" s="140"/>
      <c r="DX85" s="140"/>
      <c r="DY85" s="140"/>
      <c r="DZ85" s="140"/>
      <c r="EA85" s="140"/>
      <c r="EB85" s="140"/>
      <c r="EC85" s="140"/>
    </row>
    <row r="86" spans="126:133">
      <c r="DV86" s="140"/>
      <c r="DW86" s="140"/>
      <c r="DX86" s="140"/>
      <c r="DY86" s="140"/>
      <c r="DZ86" s="140"/>
      <c r="EA86" s="140"/>
      <c r="EB86" s="140"/>
      <c r="EC86" s="140"/>
    </row>
    <row r="87" spans="126:133">
      <c r="DV87" s="140"/>
      <c r="DW87" s="140"/>
      <c r="DX87" s="140"/>
      <c r="DY87" s="140"/>
      <c r="DZ87" s="140"/>
      <c r="EA87" s="140"/>
      <c r="EB87" s="140"/>
      <c r="EC87" s="140"/>
    </row>
    <row r="88" spans="126:133">
      <c r="DV88" s="140"/>
      <c r="DW88" s="140"/>
      <c r="DX88" s="140"/>
      <c r="DY88" s="140"/>
      <c r="DZ88" s="140"/>
      <c r="EA88" s="140"/>
      <c r="EB88" s="140"/>
      <c r="EC88" s="140"/>
    </row>
    <row r="89" spans="126:133">
      <c r="DV89" s="140"/>
      <c r="DW89" s="140"/>
      <c r="DX89" s="140"/>
      <c r="DY89" s="140"/>
      <c r="DZ89" s="140"/>
      <c r="EA89" s="140"/>
      <c r="EB89" s="140"/>
      <c r="EC89" s="140"/>
    </row>
    <row r="90" spans="126:133">
      <c r="DV90" s="140"/>
      <c r="DW90" s="140"/>
      <c r="DX90" s="140"/>
      <c r="DY90" s="140"/>
      <c r="DZ90" s="140"/>
      <c r="EA90" s="140"/>
      <c r="EB90" s="140"/>
      <c r="EC90" s="140"/>
    </row>
    <row r="91" spans="126:133">
      <c r="DV91" s="140"/>
      <c r="DW91" s="140"/>
      <c r="DX91" s="140"/>
      <c r="DY91" s="140"/>
      <c r="DZ91" s="140"/>
      <c r="EA91" s="140"/>
      <c r="EB91" s="140"/>
      <c r="EC91" s="140"/>
    </row>
    <row r="92" spans="126:133">
      <c r="DV92" s="140"/>
      <c r="DW92" s="140"/>
      <c r="DX92" s="140"/>
      <c r="DY92" s="140"/>
      <c r="DZ92" s="140"/>
      <c r="EA92" s="140"/>
      <c r="EB92" s="140"/>
      <c r="EC92" s="140"/>
    </row>
    <row r="93" spans="126:133">
      <c r="DV93" s="140"/>
      <c r="DW93" s="140"/>
      <c r="DX93" s="140"/>
      <c r="DY93" s="140"/>
      <c r="DZ93" s="140"/>
      <c r="EA93" s="140"/>
      <c r="EB93" s="140"/>
      <c r="EC93" s="140"/>
    </row>
    <row r="94" spans="126:133">
      <c r="DV94" s="140"/>
      <c r="DW94" s="140"/>
      <c r="DX94" s="140"/>
      <c r="DY94" s="140"/>
      <c r="DZ94" s="140"/>
      <c r="EA94" s="140"/>
      <c r="EB94" s="140"/>
      <c r="EC94" s="140"/>
    </row>
    <row r="95" spans="126:133">
      <c r="DV95" s="140"/>
      <c r="DW95" s="140"/>
      <c r="DX95" s="140"/>
      <c r="DY95" s="140"/>
      <c r="DZ95" s="140"/>
      <c r="EA95" s="140"/>
      <c r="EB95" s="140"/>
      <c r="EC95" s="140"/>
    </row>
    <row r="96" spans="126:133">
      <c r="DV96" s="140"/>
      <c r="DW96" s="140"/>
      <c r="DX96" s="140"/>
      <c r="DY96" s="140"/>
      <c r="DZ96" s="140"/>
      <c r="EA96" s="140"/>
      <c r="EB96" s="140"/>
      <c r="EC96" s="140"/>
    </row>
    <row r="97" spans="126:133">
      <c r="DV97" s="140"/>
      <c r="DW97" s="140"/>
      <c r="DX97" s="140"/>
      <c r="DY97" s="140"/>
      <c r="DZ97" s="140"/>
      <c r="EA97" s="140"/>
      <c r="EB97" s="140"/>
      <c r="EC97" s="140"/>
    </row>
    <row r="98" spans="126:133">
      <c r="DV98" s="140"/>
      <c r="DW98" s="140"/>
      <c r="DX98" s="140"/>
      <c r="DY98" s="140"/>
      <c r="DZ98" s="140"/>
      <c r="EA98" s="140"/>
      <c r="EB98" s="140"/>
      <c r="EC98" s="140"/>
    </row>
    <row r="99" spans="126:133">
      <c r="DV99" s="140"/>
      <c r="DW99" s="140"/>
      <c r="DX99" s="140"/>
      <c r="DY99" s="140"/>
      <c r="DZ99" s="140"/>
      <c r="EA99" s="140"/>
      <c r="EB99" s="140"/>
      <c r="EC99" s="140"/>
    </row>
    <row r="100" spans="126:133">
      <c r="DV100" s="140"/>
      <c r="DW100" s="140"/>
      <c r="DX100" s="140"/>
      <c r="DY100" s="140"/>
      <c r="DZ100" s="140"/>
      <c r="EA100" s="140"/>
      <c r="EB100" s="140"/>
      <c r="EC100" s="140"/>
    </row>
    <row r="101" spans="126:133">
      <c r="DV101" s="140"/>
      <c r="DW101" s="140"/>
      <c r="DX101" s="140"/>
      <c r="DY101" s="140"/>
      <c r="DZ101" s="140"/>
      <c r="EA101" s="140"/>
      <c r="EB101" s="140"/>
      <c r="EC101" s="140"/>
    </row>
    <row r="102" spans="126:133">
      <c r="DV102" s="140"/>
      <c r="DW102" s="140"/>
      <c r="DX102" s="140"/>
      <c r="DY102" s="140"/>
      <c r="DZ102" s="140"/>
      <c r="EA102" s="140"/>
      <c r="EB102" s="140"/>
      <c r="EC102" s="140"/>
    </row>
    <row r="103" spans="126:133">
      <c r="DV103" s="140"/>
      <c r="DW103" s="140"/>
      <c r="DX103" s="140"/>
      <c r="DY103" s="140"/>
      <c r="DZ103" s="140"/>
      <c r="EA103" s="140"/>
      <c r="EB103" s="140"/>
      <c r="EC103" s="140"/>
    </row>
    <row r="104" spans="126:133">
      <c r="DV104" s="140"/>
      <c r="DW104" s="140"/>
      <c r="DX104" s="140"/>
      <c r="DY104" s="140"/>
      <c r="DZ104" s="140"/>
      <c r="EA104" s="140"/>
      <c r="EB104" s="140"/>
      <c r="EC104" s="140"/>
    </row>
    <row r="105" spans="126:133">
      <c r="DV105" s="140"/>
      <c r="DW105" s="140"/>
      <c r="DX105" s="140"/>
      <c r="DY105" s="140"/>
      <c r="DZ105" s="140"/>
      <c r="EA105" s="140"/>
      <c r="EB105" s="140"/>
      <c r="EC105" s="140"/>
    </row>
    <row r="106" spans="126:133">
      <c r="DV106" s="140"/>
      <c r="DW106" s="140"/>
      <c r="DX106" s="140"/>
      <c r="DY106" s="140"/>
      <c r="DZ106" s="140"/>
      <c r="EA106" s="140"/>
      <c r="EB106" s="140"/>
      <c r="EC106" s="140"/>
    </row>
    <row r="107" spans="126:133">
      <c r="DV107" s="140"/>
      <c r="DW107" s="140"/>
      <c r="DX107" s="140"/>
      <c r="DY107" s="140"/>
      <c r="DZ107" s="140"/>
      <c r="EA107" s="140"/>
      <c r="EB107" s="140"/>
      <c r="EC107" s="140"/>
    </row>
    <row r="108" spans="126:133">
      <c r="DV108" s="140"/>
      <c r="DW108" s="140"/>
      <c r="DX108" s="140"/>
      <c r="DY108" s="140"/>
      <c r="DZ108" s="140"/>
      <c r="EA108" s="140"/>
      <c r="EB108" s="140"/>
      <c r="EC108" s="140"/>
    </row>
    <row r="109" spans="126:133">
      <c r="DV109" s="140"/>
      <c r="DW109" s="140"/>
      <c r="DX109" s="140"/>
      <c r="DY109" s="140"/>
      <c r="DZ109" s="140"/>
      <c r="EA109" s="140"/>
      <c r="EB109" s="140"/>
      <c r="EC109" s="140"/>
    </row>
    <row r="110" spans="126:133">
      <c r="DV110" s="140"/>
      <c r="DW110" s="140"/>
      <c r="DX110" s="140"/>
      <c r="DY110" s="140"/>
      <c r="DZ110" s="140"/>
      <c r="EA110" s="140"/>
      <c r="EB110" s="140"/>
      <c r="EC110" s="140"/>
    </row>
    <row r="111" spans="126:133">
      <c r="DV111" s="140"/>
      <c r="DW111" s="140"/>
      <c r="DX111" s="140"/>
      <c r="DY111" s="140"/>
      <c r="DZ111" s="140"/>
      <c r="EA111" s="140"/>
      <c r="EB111" s="140"/>
      <c r="EC111" s="140"/>
    </row>
    <row r="112" spans="126:133">
      <c r="DV112" s="140"/>
      <c r="DW112" s="140"/>
      <c r="DX112" s="140"/>
      <c r="DY112" s="140"/>
      <c r="DZ112" s="140"/>
      <c r="EA112" s="140"/>
      <c r="EB112" s="140"/>
      <c r="EC112" s="140"/>
    </row>
    <row r="113" spans="126:133">
      <c r="DV113" s="140"/>
      <c r="DW113" s="140"/>
      <c r="DX113" s="140"/>
      <c r="DY113" s="140"/>
      <c r="DZ113" s="140"/>
      <c r="EA113" s="140"/>
      <c r="EB113" s="140"/>
      <c r="EC113" s="140"/>
    </row>
    <row r="114" spans="126:133">
      <c r="DV114" s="140"/>
      <c r="DW114" s="140"/>
      <c r="DX114" s="140"/>
      <c r="DY114" s="140"/>
      <c r="DZ114" s="140"/>
      <c r="EA114" s="140"/>
      <c r="EB114" s="140"/>
      <c r="EC114" s="140"/>
    </row>
    <row r="115" spans="126:133">
      <c r="DV115" s="140"/>
      <c r="DW115" s="140"/>
      <c r="DX115" s="140"/>
      <c r="DY115" s="140"/>
      <c r="DZ115" s="140"/>
      <c r="EA115" s="140"/>
      <c r="EB115" s="140"/>
      <c r="EC115" s="140"/>
    </row>
    <row r="116" spans="126:133">
      <c r="DV116" s="140"/>
      <c r="DW116" s="140"/>
      <c r="DX116" s="140"/>
      <c r="DY116" s="140"/>
      <c r="DZ116" s="140"/>
      <c r="EA116" s="140"/>
      <c r="EB116" s="140"/>
      <c r="EC116" s="140"/>
    </row>
    <row r="117" spans="126:133">
      <c r="DV117" s="140"/>
      <c r="DW117" s="140"/>
      <c r="DX117" s="140"/>
      <c r="DY117" s="140"/>
      <c r="DZ117" s="140"/>
      <c r="EA117" s="140"/>
      <c r="EB117" s="140"/>
      <c r="EC117" s="140"/>
    </row>
    <row r="118" spans="126:133">
      <c r="DV118" s="140"/>
      <c r="DW118" s="140"/>
      <c r="DX118" s="140"/>
      <c r="DY118" s="140"/>
      <c r="DZ118" s="140"/>
      <c r="EA118" s="140"/>
      <c r="EB118" s="140"/>
      <c r="EC118" s="140"/>
    </row>
    <row r="119" spans="126:133">
      <c r="DV119" s="140"/>
      <c r="DW119" s="140"/>
      <c r="DX119" s="140"/>
      <c r="DY119" s="140"/>
      <c r="DZ119" s="140"/>
      <c r="EA119" s="140"/>
      <c r="EB119" s="140"/>
      <c r="EC119" s="140"/>
    </row>
    <row r="120" spans="126:133">
      <c r="DV120" s="140"/>
      <c r="DW120" s="140"/>
      <c r="DX120" s="140"/>
      <c r="DY120" s="140"/>
      <c r="DZ120" s="140"/>
      <c r="EA120" s="140"/>
      <c r="EB120" s="140"/>
      <c r="EC120" s="140"/>
    </row>
    <row r="121" spans="126:133">
      <c r="DV121" s="140"/>
      <c r="DW121" s="140"/>
      <c r="DX121" s="140"/>
      <c r="DY121" s="140"/>
      <c r="DZ121" s="140"/>
      <c r="EA121" s="140"/>
      <c r="EB121" s="140"/>
      <c r="EC121" s="140"/>
    </row>
    <row r="122" spans="126:133">
      <c r="DV122" s="140"/>
      <c r="DW122" s="140"/>
      <c r="DX122" s="140"/>
      <c r="DY122" s="140"/>
      <c r="DZ122" s="140"/>
      <c r="EA122" s="140"/>
      <c r="EB122" s="140"/>
      <c r="EC122" s="140"/>
    </row>
    <row r="123" spans="126:133">
      <c r="DV123" s="140"/>
      <c r="DW123" s="140"/>
      <c r="DX123" s="140"/>
      <c r="DY123" s="140"/>
      <c r="DZ123" s="140"/>
      <c r="EA123" s="140"/>
      <c r="EB123" s="140"/>
      <c r="EC123" s="140"/>
    </row>
    <row r="124" spans="126:133">
      <c r="DV124" s="140"/>
      <c r="DW124" s="140"/>
      <c r="DX124" s="140"/>
      <c r="DY124" s="140"/>
      <c r="DZ124" s="140"/>
      <c r="EA124" s="140"/>
      <c r="EB124" s="140"/>
      <c r="EC124" s="140"/>
    </row>
    <row r="125" spans="126:133">
      <c r="DV125" s="140"/>
      <c r="DW125" s="140"/>
      <c r="DX125" s="140"/>
      <c r="DY125" s="140"/>
      <c r="DZ125" s="140"/>
      <c r="EA125" s="140"/>
      <c r="EB125" s="140"/>
      <c r="EC125" s="140"/>
    </row>
    <row r="126" spans="126:133">
      <c r="DV126" s="140"/>
      <c r="DW126" s="140"/>
      <c r="DX126" s="140"/>
      <c r="DY126" s="140"/>
      <c r="DZ126" s="140"/>
      <c r="EA126" s="140"/>
      <c r="EB126" s="140"/>
      <c r="EC126" s="140"/>
    </row>
    <row r="127" spans="126:133">
      <c r="DV127" s="140"/>
      <c r="DW127" s="140"/>
      <c r="DX127" s="140"/>
      <c r="DY127" s="140"/>
      <c r="DZ127" s="140"/>
      <c r="EA127" s="140"/>
      <c r="EB127" s="140"/>
      <c r="EC127" s="140"/>
    </row>
    <row r="128" spans="126:133">
      <c r="DV128" s="140"/>
      <c r="DW128" s="140"/>
      <c r="DX128" s="140"/>
      <c r="DY128" s="140"/>
      <c r="DZ128" s="140"/>
      <c r="EA128" s="140"/>
      <c r="EB128" s="140"/>
      <c r="EC128" s="140"/>
    </row>
    <row r="129" spans="126:133">
      <c r="DV129" s="140"/>
      <c r="DW129" s="140"/>
      <c r="DX129" s="140"/>
      <c r="DY129" s="140"/>
      <c r="DZ129" s="140"/>
      <c r="EA129" s="140"/>
      <c r="EB129" s="140"/>
      <c r="EC129" s="140"/>
    </row>
    <row r="130" spans="126:133">
      <c r="DV130" s="140"/>
      <c r="DW130" s="140"/>
      <c r="DX130" s="140"/>
      <c r="DY130" s="140"/>
      <c r="DZ130" s="140"/>
      <c r="EA130" s="140"/>
      <c r="EB130" s="140"/>
      <c r="EC130" s="140"/>
    </row>
    <row r="131" spans="126:133">
      <c r="DV131" s="140"/>
      <c r="DW131" s="140"/>
      <c r="DX131" s="140"/>
      <c r="DY131" s="140"/>
      <c r="DZ131" s="140"/>
      <c r="EA131" s="140"/>
      <c r="EB131" s="140"/>
      <c r="EC131" s="140"/>
    </row>
    <row r="132" spans="126:133">
      <c r="DV132" s="140"/>
      <c r="DW132" s="140"/>
      <c r="DX132" s="140"/>
      <c r="DY132" s="140"/>
      <c r="DZ132" s="140"/>
      <c r="EA132" s="140"/>
      <c r="EB132" s="140"/>
      <c r="EC132" s="140"/>
    </row>
    <row r="133" spans="126:133">
      <c r="DV133" s="140"/>
      <c r="DW133" s="140"/>
      <c r="DX133" s="140"/>
      <c r="DY133" s="140"/>
      <c r="DZ133" s="140"/>
      <c r="EA133" s="140"/>
      <c r="EB133" s="140"/>
      <c r="EC133" s="140"/>
    </row>
    <row r="134" spans="126:133">
      <c r="DV134" s="140"/>
      <c r="DW134" s="140"/>
      <c r="DX134" s="140"/>
      <c r="DY134" s="140"/>
      <c r="DZ134" s="140"/>
      <c r="EA134" s="140"/>
      <c r="EB134" s="140"/>
      <c r="EC134" s="140"/>
    </row>
    <row r="135" spans="126:133">
      <c r="DV135" s="140"/>
      <c r="DW135" s="140"/>
      <c r="DX135" s="140"/>
      <c r="DY135" s="140"/>
      <c r="DZ135" s="140"/>
      <c r="EA135" s="140"/>
      <c r="EB135" s="140"/>
      <c r="EC135" s="140"/>
    </row>
    <row r="136" spans="126:133">
      <c r="DV136" s="140"/>
      <c r="DW136" s="140"/>
      <c r="DX136" s="140"/>
      <c r="DY136" s="140"/>
      <c r="DZ136" s="140"/>
      <c r="EA136" s="140"/>
      <c r="EB136" s="140"/>
      <c r="EC136" s="140"/>
    </row>
    <row r="137" spans="126:133">
      <c r="DV137" s="140"/>
      <c r="DW137" s="140"/>
      <c r="DX137" s="140"/>
      <c r="DY137" s="140"/>
      <c r="DZ137" s="140"/>
      <c r="EA137" s="140"/>
      <c r="EB137" s="140"/>
      <c r="EC137" s="140"/>
    </row>
    <row r="138" spans="126:133">
      <c r="DV138" s="140"/>
      <c r="DW138" s="140"/>
      <c r="DX138" s="140"/>
      <c r="DY138" s="140"/>
      <c r="DZ138" s="140"/>
      <c r="EA138" s="140"/>
      <c r="EB138" s="140"/>
      <c r="EC138" s="140"/>
    </row>
    <row r="139" spans="126:133">
      <c r="DV139" s="140"/>
      <c r="DW139" s="140"/>
      <c r="DX139" s="140"/>
      <c r="DY139" s="140"/>
      <c r="DZ139" s="140"/>
      <c r="EA139" s="140"/>
      <c r="EB139" s="140"/>
      <c r="EC139" s="140"/>
    </row>
    <row r="140" spans="126:133">
      <c r="DV140" s="140"/>
      <c r="DW140" s="140"/>
      <c r="DX140" s="140"/>
      <c r="DY140" s="140"/>
      <c r="DZ140" s="140"/>
      <c r="EA140" s="140"/>
      <c r="EB140" s="140"/>
      <c r="EC140" s="140"/>
    </row>
    <row r="141" spans="126:133">
      <c r="DV141" s="140"/>
      <c r="DW141" s="140"/>
      <c r="DX141" s="140"/>
      <c r="DY141" s="140"/>
      <c r="DZ141" s="140"/>
      <c r="EA141" s="140"/>
      <c r="EB141" s="140"/>
      <c r="EC141" s="140"/>
    </row>
    <row r="142" spans="126:133">
      <c r="DV142" s="140"/>
      <c r="DW142" s="140"/>
      <c r="DX142" s="140"/>
      <c r="DY142" s="140"/>
      <c r="DZ142" s="140"/>
      <c r="EA142" s="140"/>
      <c r="EB142" s="140"/>
      <c r="EC142" s="140"/>
    </row>
    <row r="143" spans="126:133">
      <c r="DV143" s="140"/>
      <c r="DW143" s="140"/>
      <c r="DX143" s="140"/>
      <c r="DY143" s="140"/>
      <c r="DZ143" s="140"/>
      <c r="EA143" s="140"/>
      <c r="EB143" s="140"/>
      <c r="EC143" s="140"/>
    </row>
    <row r="144" spans="126:133">
      <c r="DV144" s="140"/>
      <c r="DW144" s="140"/>
      <c r="DX144" s="140"/>
      <c r="DY144" s="140"/>
      <c r="DZ144" s="140"/>
      <c r="EA144" s="140"/>
      <c r="EB144" s="140"/>
      <c r="EC144" s="140"/>
    </row>
    <row r="145" spans="126:133">
      <c r="DV145" s="140"/>
      <c r="DW145" s="140"/>
      <c r="DX145" s="140"/>
      <c r="DY145" s="140"/>
      <c r="DZ145" s="140"/>
      <c r="EA145" s="140"/>
      <c r="EB145" s="140"/>
      <c r="EC145" s="140"/>
    </row>
    <row r="146" spans="126:133">
      <c r="DV146" s="140"/>
      <c r="DW146" s="140"/>
      <c r="DX146" s="140"/>
      <c r="DY146" s="140"/>
      <c r="DZ146" s="140"/>
      <c r="EA146" s="140"/>
      <c r="EB146" s="140"/>
      <c r="EC146" s="140"/>
    </row>
    <row r="147" spans="126:133">
      <c r="DV147" s="140"/>
      <c r="DW147" s="140"/>
      <c r="DX147" s="140"/>
      <c r="DY147" s="140"/>
      <c r="DZ147" s="140"/>
      <c r="EA147" s="140"/>
      <c r="EB147" s="140"/>
      <c r="EC147" s="140"/>
    </row>
    <row r="148" spans="126:133">
      <c r="DV148" s="140"/>
      <c r="DW148" s="140"/>
      <c r="DX148" s="140"/>
      <c r="DY148" s="140"/>
      <c r="DZ148" s="140"/>
      <c r="EA148" s="140"/>
      <c r="EB148" s="140"/>
      <c r="EC148" s="140"/>
    </row>
    <row r="149" spans="126:133">
      <c r="DV149" s="140"/>
      <c r="DW149" s="140"/>
      <c r="DX149" s="140"/>
      <c r="DY149" s="140"/>
      <c r="DZ149" s="140"/>
      <c r="EA149" s="140"/>
      <c r="EB149" s="140"/>
      <c r="EC149" s="140"/>
    </row>
    <row r="150" spans="126:133">
      <c r="DV150" s="140"/>
      <c r="DW150" s="140"/>
      <c r="DX150" s="140"/>
      <c r="DY150" s="140"/>
      <c r="DZ150" s="140"/>
      <c r="EA150" s="140"/>
      <c r="EB150" s="140"/>
      <c r="EC150" s="140"/>
    </row>
    <row r="151" spans="126:133">
      <c r="DV151" s="140"/>
      <c r="DW151" s="140"/>
      <c r="DX151" s="140"/>
      <c r="DY151" s="140"/>
      <c r="DZ151" s="140"/>
      <c r="EA151" s="140"/>
      <c r="EB151" s="140"/>
      <c r="EC151" s="140"/>
    </row>
    <row r="152" spans="126:133">
      <c r="DV152" s="140"/>
      <c r="DW152" s="140"/>
      <c r="DX152" s="140"/>
      <c r="DY152" s="140"/>
      <c r="DZ152" s="140"/>
      <c r="EA152" s="140"/>
      <c r="EB152" s="140"/>
      <c r="EC152" s="140"/>
    </row>
    <row r="153" spans="126:133">
      <c r="DV153" s="140"/>
      <c r="DW153" s="140"/>
      <c r="DX153" s="140"/>
      <c r="DY153" s="140"/>
      <c r="DZ153" s="140"/>
      <c r="EA153" s="140"/>
      <c r="EB153" s="140"/>
      <c r="EC153" s="140"/>
    </row>
    <row r="154" spans="126:133">
      <c r="DV154" s="140"/>
      <c r="DW154" s="140"/>
      <c r="DX154" s="140"/>
      <c r="DY154" s="140"/>
      <c r="DZ154" s="140"/>
      <c r="EA154" s="140"/>
      <c r="EB154" s="140"/>
      <c r="EC154" s="140"/>
    </row>
    <row r="155" spans="126:133">
      <c r="DV155" s="140"/>
      <c r="DW155" s="140"/>
      <c r="DX155" s="140"/>
      <c r="DY155" s="140"/>
      <c r="DZ155" s="140"/>
      <c r="EA155" s="140"/>
      <c r="EB155" s="140"/>
      <c r="EC155" s="140"/>
    </row>
    <row r="156" spans="126:133">
      <c r="DV156" s="140"/>
      <c r="DW156" s="140"/>
      <c r="DX156" s="140"/>
      <c r="DY156" s="140"/>
      <c r="DZ156" s="140"/>
      <c r="EA156" s="140"/>
      <c r="EB156" s="140"/>
      <c r="EC156" s="140"/>
    </row>
    <row r="157" spans="126:133">
      <c r="DV157" s="140"/>
      <c r="DW157" s="140"/>
      <c r="DX157" s="140"/>
      <c r="DY157" s="140"/>
      <c r="DZ157" s="140"/>
      <c r="EA157" s="140"/>
      <c r="EB157" s="140"/>
      <c r="EC157" s="140"/>
    </row>
    <row r="158" spans="126:133">
      <c r="DV158" s="140"/>
      <c r="DW158" s="140"/>
      <c r="DX158" s="140"/>
      <c r="DY158" s="140"/>
      <c r="DZ158" s="140"/>
      <c r="EA158" s="140"/>
      <c r="EB158" s="140"/>
      <c r="EC158" s="140"/>
    </row>
    <row r="159" spans="126:133">
      <c r="DV159" s="140"/>
      <c r="DW159" s="140"/>
      <c r="DX159" s="140"/>
      <c r="DY159" s="140"/>
      <c r="DZ159" s="140"/>
      <c r="EA159" s="140"/>
      <c r="EB159" s="140"/>
      <c r="EC159" s="140"/>
    </row>
    <row r="160" spans="126:133">
      <c r="DV160" s="140"/>
      <c r="DW160" s="140"/>
      <c r="DX160" s="140"/>
      <c r="DY160" s="140"/>
      <c r="DZ160" s="140"/>
      <c r="EA160" s="140"/>
      <c r="EB160" s="140"/>
      <c r="EC160" s="140"/>
    </row>
    <row r="161" spans="126:133">
      <c r="DV161" s="140"/>
      <c r="DW161" s="140"/>
      <c r="DX161" s="140"/>
      <c r="DY161" s="140"/>
      <c r="DZ161" s="140"/>
      <c r="EA161" s="140"/>
      <c r="EB161" s="140"/>
      <c r="EC161" s="140"/>
    </row>
    <row r="162" spans="126:133">
      <c r="DV162" s="140"/>
      <c r="DW162" s="140"/>
      <c r="DX162" s="140"/>
      <c r="DY162" s="140"/>
      <c r="DZ162" s="140"/>
      <c r="EA162" s="140"/>
      <c r="EB162" s="140"/>
      <c r="EC162" s="140"/>
    </row>
    <row r="163" spans="126:133">
      <c r="DV163" s="140"/>
      <c r="DW163" s="140"/>
      <c r="DX163" s="140"/>
      <c r="DY163" s="140"/>
      <c r="DZ163" s="140"/>
      <c r="EA163" s="140"/>
      <c r="EB163" s="140"/>
      <c r="EC163" s="140"/>
    </row>
    <row r="164" spans="126:133">
      <c r="DV164" s="140"/>
      <c r="DW164" s="140"/>
      <c r="DX164" s="140"/>
      <c r="DY164" s="140"/>
      <c r="DZ164" s="140"/>
      <c r="EA164" s="140"/>
      <c r="EB164" s="140"/>
      <c r="EC164" s="140"/>
    </row>
    <row r="165" spans="126:133">
      <c r="DV165" s="140"/>
      <c r="DW165" s="140"/>
      <c r="DX165" s="140"/>
      <c r="DY165" s="140"/>
      <c r="DZ165" s="140"/>
      <c r="EA165" s="140"/>
      <c r="EB165" s="140"/>
      <c r="EC165" s="140"/>
    </row>
    <row r="166" spans="126:133">
      <c r="DV166" s="140"/>
      <c r="DW166" s="140"/>
      <c r="DX166" s="140"/>
      <c r="DY166" s="140"/>
      <c r="DZ166" s="140"/>
      <c r="EA166" s="140"/>
      <c r="EB166" s="140"/>
      <c r="EC166" s="140"/>
    </row>
    <row r="167" spans="126:133">
      <c r="DV167" s="140"/>
      <c r="DW167" s="140"/>
      <c r="DX167" s="140"/>
      <c r="DY167" s="140"/>
      <c r="DZ167" s="140"/>
      <c r="EA167" s="140"/>
      <c r="EB167" s="140"/>
      <c r="EC167" s="140"/>
    </row>
    <row r="168" spans="126:133">
      <c r="DV168" s="140"/>
      <c r="DW168" s="140"/>
      <c r="DX168" s="140"/>
      <c r="DY168" s="140"/>
      <c r="DZ168" s="140"/>
      <c r="EA168" s="140"/>
      <c r="EB168" s="140"/>
      <c r="EC168" s="140"/>
    </row>
    <row r="169" spans="126:133">
      <c r="DV169" s="140"/>
      <c r="DW169" s="140"/>
      <c r="DX169" s="140"/>
      <c r="DY169" s="140"/>
      <c r="DZ169" s="140"/>
      <c r="EA169" s="140"/>
      <c r="EB169" s="140"/>
      <c r="EC169" s="140"/>
    </row>
    <row r="170" spans="126:133">
      <c r="DV170" s="140"/>
      <c r="DW170" s="140"/>
      <c r="DX170" s="140"/>
      <c r="DY170" s="140"/>
      <c r="DZ170" s="140"/>
      <c r="EA170" s="140"/>
      <c r="EB170" s="140"/>
      <c r="EC170" s="140"/>
    </row>
    <row r="171" spans="126:133">
      <c r="DV171" s="140"/>
      <c r="DW171" s="140"/>
      <c r="DX171" s="140"/>
      <c r="DY171" s="140"/>
      <c r="DZ171" s="140"/>
      <c r="EA171" s="140"/>
      <c r="EB171" s="140"/>
      <c r="EC171" s="140"/>
    </row>
    <row r="172" spans="126:133">
      <c r="DV172" s="140"/>
      <c r="DW172" s="140"/>
      <c r="DX172" s="140"/>
      <c r="DY172" s="140"/>
      <c r="DZ172" s="140"/>
      <c r="EA172" s="140"/>
      <c r="EB172" s="140"/>
      <c r="EC172" s="140"/>
    </row>
    <row r="173" spans="126:133">
      <c r="DV173" s="140"/>
      <c r="DW173" s="140"/>
      <c r="DX173" s="140"/>
      <c r="DY173" s="140"/>
      <c r="DZ173" s="140"/>
      <c r="EA173" s="140"/>
      <c r="EB173" s="140"/>
      <c r="EC173" s="140"/>
    </row>
    <row r="174" spans="126:133">
      <c r="DV174" s="140"/>
      <c r="DW174" s="140"/>
      <c r="DX174" s="140"/>
      <c r="DY174" s="140"/>
      <c r="DZ174" s="140"/>
      <c r="EA174" s="140"/>
      <c r="EB174" s="140"/>
      <c r="EC174" s="140"/>
    </row>
    <row r="175" spans="126:133">
      <c r="DV175" s="140"/>
      <c r="DW175" s="140"/>
      <c r="DX175" s="140"/>
      <c r="DY175" s="140"/>
      <c r="DZ175" s="140"/>
      <c r="EA175" s="140"/>
      <c r="EB175" s="140"/>
      <c r="EC175" s="140"/>
    </row>
    <row r="176" spans="126:133">
      <c r="DV176" s="140"/>
      <c r="DW176" s="140"/>
      <c r="DX176" s="140"/>
      <c r="DY176" s="140"/>
      <c r="DZ176" s="140"/>
      <c r="EA176" s="140"/>
      <c r="EB176" s="140"/>
      <c r="EC176" s="140"/>
    </row>
    <row r="177" spans="126:133">
      <c r="DV177" s="140"/>
      <c r="DW177" s="140"/>
      <c r="DX177" s="140"/>
      <c r="DY177" s="140"/>
      <c r="DZ177" s="140"/>
      <c r="EA177" s="140"/>
      <c r="EB177" s="140"/>
      <c r="EC177" s="140"/>
    </row>
    <row r="178" spans="126:133">
      <c r="DV178" s="140"/>
      <c r="DW178" s="140"/>
      <c r="DX178" s="140"/>
      <c r="DY178" s="140"/>
      <c r="DZ178" s="140"/>
      <c r="EA178" s="140"/>
      <c r="EB178" s="140"/>
      <c r="EC178" s="140"/>
    </row>
    <row r="179" spans="126:133">
      <c r="DV179" s="140"/>
      <c r="DW179" s="140"/>
      <c r="DX179" s="140"/>
      <c r="DY179" s="140"/>
      <c r="DZ179" s="140"/>
      <c r="EA179" s="140"/>
      <c r="EB179" s="140"/>
      <c r="EC179" s="140"/>
    </row>
    <row r="180" spans="126:133">
      <c r="DV180" s="140"/>
      <c r="DW180" s="140"/>
      <c r="DX180" s="140"/>
      <c r="DY180" s="140"/>
      <c r="DZ180" s="140"/>
      <c r="EA180" s="140"/>
      <c r="EB180" s="140"/>
      <c r="EC180" s="140"/>
    </row>
    <row r="181" spans="126:133">
      <c r="DV181" s="140"/>
      <c r="DW181" s="140"/>
      <c r="DX181" s="140"/>
      <c r="DY181" s="140"/>
      <c r="DZ181" s="140"/>
      <c r="EA181" s="140"/>
      <c r="EB181" s="140"/>
      <c r="EC181" s="140"/>
    </row>
    <row r="182" spans="126:133">
      <c r="DV182" s="140"/>
      <c r="DW182" s="140"/>
      <c r="DX182" s="140"/>
      <c r="DY182" s="140"/>
      <c r="DZ182" s="140"/>
      <c r="EA182" s="140"/>
      <c r="EB182" s="140"/>
      <c r="EC182" s="140"/>
    </row>
    <row r="183" spans="126:133">
      <c r="DV183" s="140"/>
      <c r="DW183" s="140"/>
      <c r="DX183" s="140"/>
      <c r="DY183" s="140"/>
      <c r="DZ183" s="140"/>
      <c r="EA183" s="140"/>
      <c r="EB183" s="140"/>
      <c r="EC183" s="140"/>
    </row>
    <row r="184" spans="126:133">
      <c r="DV184" s="140"/>
      <c r="DW184" s="140"/>
      <c r="DX184" s="140"/>
      <c r="DY184" s="140"/>
      <c r="DZ184" s="140"/>
      <c r="EA184" s="140"/>
      <c r="EB184" s="140"/>
      <c r="EC184" s="140"/>
    </row>
    <row r="185" spans="126:133">
      <c r="DV185" s="140"/>
      <c r="DW185" s="140"/>
      <c r="DX185" s="140"/>
      <c r="DY185" s="140"/>
      <c r="DZ185" s="140"/>
      <c r="EA185" s="140"/>
      <c r="EB185" s="140"/>
      <c r="EC185" s="140"/>
    </row>
    <row r="186" spans="126:133">
      <c r="DV186" s="140"/>
      <c r="DW186" s="140"/>
      <c r="DX186" s="140"/>
      <c r="DY186" s="140"/>
      <c r="DZ186" s="140"/>
      <c r="EA186" s="140"/>
      <c r="EB186" s="140"/>
      <c r="EC186" s="140"/>
    </row>
    <row r="187" spans="126:133">
      <c r="DV187" s="140"/>
      <c r="DW187" s="140"/>
      <c r="DX187" s="140"/>
      <c r="DY187" s="140"/>
      <c r="DZ187" s="140"/>
      <c r="EA187" s="140"/>
      <c r="EB187" s="140"/>
      <c r="EC187" s="140"/>
    </row>
    <row r="188" spans="126:133">
      <c r="DV188" s="140"/>
      <c r="DW188" s="140"/>
      <c r="DX188" s="140"/>
      <c r="DY188" s="140"/>
      <c r="DZ188" s="140"/>
      <c r="EA188" s="140"/>
      <c r="EB188" s="140"/>
      <c r="EC188" s="140"/>
    </row>
    <row r="189" spans="126:133">
      <c r="DV189" s="140"/>
      <c r="DW189" s="140"/>
      <c r="DX189" s="140"/>
      <c r="DY189" s="140"/>
      <c r="DZ189" s="140"/>
      <c r="EA189" s="140"/>
      <c r="EB189" s="140"/>
      <c r="EC189" s="140"/>
    </row>
    <row r="190" spans="126:133">
      <c r="DV190" s="140"/>
      <c r="DW190" s="140"/>
      <c r="DX190" s="140"/>
      <c r="DY190" s="140"/>
      <c r="DZ190" s="140"/>
      <c r="EA190" s="140"/>
      <c r="EB190" s="140"/>
      <c r="EC190" s="140"/>
    </row>
    <row r="191" spans="126:133">
      <c r="DV191" s="140"/>
      <c r="DW191" s="140"/>
      <c r="DX191" s="140"/>
      <c r="DY191" s="140"/>
      <c r="DZ191" s="140"/>
      <c r="EA191" s="140"/>
      <c r="EB191" s="140"/>
      <c r="EC191" s="140"/>
    </row>
    <row r="192" spans="126:133">
      <c r="DV192" s="140"/>
      <c r="DW192" s="140"/>
      <c r="DX192" s="140"/>
      <c r="DY192" s="140"/>
      <c r="DZ192" s="140"/>
      <c r="EA192" s="140"/>
      <c r="EB192" s="140"/>
      <c r="EC192" s="140"/>
    </row>
    <row r="193" spans="126:133">
      <c r="DV193" s="140"/>
      <c r="DW193" s="140"/>
      <c r="DX193" s="140"/>
      <c r="DY193" s="140"/>
      <c r="DZ193" s="140"/>
      <c r="EA193" s="140"/>
      <c r="EB193" s="140"/>
      <c r="EC193" s="140"/>
    </row>
    <row r="194" spans="126:133">
      <c r="DV194" s="140"/>
      <c r="DW194" s="140"/>
      <c r="DX194" s="140"/>
      <c r="DY194" s="140"/>
      <c r="DZ194" s="140"/>
      <c r="EA194" s="140"/>
      <c r="EB194" s="140"/>
      <c r="EC194" s="140"/>
    </row>
    <row r="195" spans="126:133">
      <c r="DV195" s="140"/>
      <c r="DW195" s="140"/>
      <c r="DX195" s="140"/>
      <c r="DY195" s="140"/>
      <c r="DZ195" s="140"/>
      <c r="EA195" s="140"/>
      <c r="EB195" s="140"/>
      <c r="EC195" s="140"/>
    </row>
    <row r="196" spans="126:133">
      <c r="DV196" s="140"/>
      <c r="DW196" s="140"/>
      <c r="DX196" s="140"/>
      <c r="DY196" s="140"/>
      <c r="DZ196" s="140"/>
      <c r="EA196" s="140"/>
      <c r="EB196" s="140"/>
      <c r="EC196" s="140"/>
    </row>
    <row r="197" spans="126:133">
      <c r="DV197" s="140"/>
      <c r="DW197" s="140"/>
      <c r="DX197" s="140"/>
      <c r="DY197" s="140"/>
      <c r="DZ197" s="140"/>
      <c r="EA197" s="140"/>
      <c r="EB197" s="140"/>
      <c r="EC197" s="140"/>
    </row>
    <row r="198" spans="126:133">
      <c r="DV198" s="140"/>
      <c r="DW198" s="140"/>
      <c r="DX198" s="140"/>
      <c r="DY198" s="140"/>
      <c r="DZ198" s="140"/>
      <c r="EA198" s="140"/>
      <c r="EB198" s="140"/>
      <c r="EC198" s="140"/>
    </row>
    <row r="199" spans="126:133">
      <c r="DV199" s="140"/>
      <c r="DW199" s="140"/>
      <c r="DX199" s="140"/>
      <c r="DY199" s="140"/>
      <c r="DZ199" s="140"/>
      <c r="EA199" s="140"/>
      <c r="EB199" s="140"/>
      <c r="EC199" s="140"/>
    </row>
    <row r="200" spans="126:133">
      <c r="DV200" s="140"/>
      <c r="DW200" s="140"/>
      <c r="DX200" s="140"/>
      <c r="DY200" s="140"/>
      <c r="DZ200" s="140"/>
      <c r="EA200" s="140"/>
      <c r="EB200" s="140"/>
      <c r="EC200" s="140"/>
    </row>
    <row r="201" spans="126:133">
      <c r="DV201" s="140"/>
      <c r="DW201" s="140"/>
      <c r="DX201" s="140"/>
      <c r="DY201" s="140"/>
      <c r="DZ201" s="140"/>
      <c r="EA201" s="140"/>
      <c r="EB201" s="140"/>
      <c r="EC201" s="140"/>
    </row>
    <row r="202" spans="126:133">
      <c r="DV202" s="140"/>
      <c r="DW202" s="140"/>
      <c r="DX202" s="140"/>
      <c r="DY202" s="140"/>
      <c r="DZ202" s="140"/>
      <c r="EA202" s="140"/>
      <c r="EB202" s="140"/>
      <c r="EC202" s="140"/>
    </row>
    <row r="203" spans="126:133">
      <c r="DV203" s="140"/>
      <c r="DW203" s="140"/>
      <c r="DX203" s="140"/>
      <c r="DY203" s="140"/>
      <c r="DZ203" s="140"/>
      <c r="EA203" s="140"/>
      <c r="EB203" s="140"/>
      <c r="EC203" s="140"/>
    </row>
    <row r="204" spans="126:133">
      <c r="DV204" s="140"/>
      <c r="DW204" s="140"/>
      <c r="DX204" s="140"/>
      <c r="DY204" s="140"/>
      <c r="DZ204" s="140"/>
      <c r="EA204" s="140"/>
      <c r="EB204" s="140"/>
      <c r="EC204" s="140"/>
    </row>
    <row r="205" spans="126:133">
      <c r="DV205" s="140"/>
      <c r="DW205" s="140"/>
      <c r="DX205" s="140"/>
      <c r="DY205" s="140"/>
      <c r="DZ205" s="140"/>
      <c r="EA205" s="140"/>
      <c r="EB205" s="140"/>
      <c r="EC205" s="140"/>
    </row>
    <row r="206" spans="126:133">
      <c r="DV206" s="140"/>
      <c r="DW206" s="140"/>
      <c r="DX206" s="140"/>
      <c r="DY206" s="140"/>
      <c r="DZ206" s="140"/>
      <c r="EA206" s="140"/>
      <c r="EB206" s="140"/>
      <c r="EC206" s="140"/>
    </row>
    <row r="207" spans="126:133">
      <c r="DV207" s="140"/>
      <c r="DW207" s="140"/>
      <c r="DX207" s="140"/>
      <c r="DY207" s="140"/>
      <c r="DZ207" s="140"/>
      <c r="EA207" s="140"/>
      <c r="EB207" s="140"/>
      <c r="EC207" s="140"/>
    </row>
    <row r="208" spans="126:133">
      <c r="DV208" s="140"/>
      <c r="DW208" s="140"/>
      <c r="DX208" s="140"/>
      <c r="DY208" s="140"/>
      <c r="DZ208" s="140"/>
      <c r="EA208" s="140"/>
      <c r="EB208" s="140"/>
      <c r="EC208" s="140"/>
    </row>
    <row r="209" spans="126:133">
      <c r="DV209" s="140"/>
      <c r="DW209" s="140"/>
      <c r="DX209" s="140"/>
      <c r="DY209" s="140"/>
      <c r="DZ209" s="140"/>
      <c r="EA209" s="140"/>
      <c r="EB209" s="140"/>
      <c r="EC209" s="140"/>
    </row>
    <row r="210" spans="126:133">
      <c r="DV210" s="140"/>
      <c r="DW210" s="140"/>
      <c r="DX210" s="140"/>
      <c r="DY210" s="140"/>
      <c r="DZ210" s="140"/>
      <c r="EA210" s="140"/>
      <c r="EB210" s="140"/>
      <c r="EC210" s="140"/>
    </row>
    <row r="211" spans="126:133">
      <c r="DV211" s="140"/>
      <c r="DW211" s="140"/>
      <c r="DX211" s="140"/>
      <c r="DY211" s="140"/>
      <c r="DZ211" s="140"/>
      <c r="EA211" s="140"/>
      <c r="EB211" s="140"/>
      <c r="EC211" s="140"/>
    </row>
    <row r="212" spans="126:133">
      <c r="DV212" s="140"/>
      <c r="DW212" s="140"/>
      <c r="DX212" s="140"/>
      <c r="DY212" s="140"/>
      <c r="DZ212" s="140"/>
      <c r="EA212" s="140"/>
      <c r="EB212" s="140"/>
      <c r="EC212" s="140"/>
    </row>
    <row r="213" spans="126:133">
      <c r="DV213" s="140"/>
      <c r="DW213" s="140"/>
      <c r="DX213" s="140"/>
      <c r="DY213" s="140"/>
      <c r="DZ213" s="140"/>
      <c r="EA213" s="140"/>
      <c r="EB213" s="140"/>
      <c r="EC213" s="140"/>
    </row>
    <row r="214" spans="126:133">
      <c r="DV214" s="140"/>
      <c r="DW214" s="140"/>
      <c r="DX214" s="140"/>
      <c r="DY214" s="140"/>
      <c r="DZ214" s="140"/>
      <c r="EA214" s="140"/>
      <c r="EB214" s="140"/>
      <c r="EC214" s="140"/>
    </row>
    <row r="215" spans="126:133">
      <c r="DV215" s="140"/>
      <c r="DW215" s="140"/>
      <c r="DX215" s="140"/>
      <c r="DY215" s="140"/>
      <c r="DZ215" s="140"/>
      <c r="EA215" s="140"/>
      <c r="EB215" s="140"/>
      <c r="EC215" s="140"/>
    </row>
    <row r="216" spans="126:133">
      <c r="DV216" s="140"/>
      <c r="DW216" s="140"/>
      <c r="DX216" s="140"/>
      <c r="DY216" s="140"/>
      <c r="DZ216" s="140"/>
      <c r="EA216" s="140"/>
      <c r="EB216" s="140"/>
      <c r="EC216" s="140"/>
    </row>
    <row r="217" spans="126:133">
      <c r="DV217" s="140"/>
      <c r="DW217" s="140"/>
      <c r="DX217" s="140"/>
      <c r="DY217" s="140"/>
      <c r="DZ217" s="140"/>
      <c r="EA217" s="140"/>
      <c r="EB217" s="140"/>
      <c r="EC217" s="140"/>
    </row>
    <row r="218" spans="126:133">
      <c r="DV218" s="140"/>
      <c r="DW218" s="140"/>
      <c r="DX218" s="140"/>
      <c r="DY218" s="140"/>
      <c r="DZ218" s="140"/>
      <c r="EA218" s="140"/>
      <c r="EB218" s="140"/>
      <c r="EC218" s="140"/>
    </row>
    <row r="219" spans="126:133">
      <c r="DV219" s="140"/>
      <c r="DW219" s="140"/>
      <c r="DX219" s="140"/>
      <c r="DY219" s="140"/>
      <c r="DZ219" s="140"/>
      <c r="EA219" s="140"/>
      <c r="EB219" s="140"/>
      <c r="EC219" s="140"/>
    </row>
    <row r="220" spans="126:133">
      <c r="DV220" s="140"/>
      <c r="DW220" s="140"/>
      <c r="DX220" s="140"/>
      <c r="DY220" s="140"/>
      <c r="DZ220" s="140"/>
      <c r="EA220" s="140"/>
      <c r="EB220" s="140"/>
      <c r="EC220" s="140"/>
    </row>
    <row r="221" spans="126:133">
      <c r="DV221" s="140"/>
      <c r="DW221" s="140"/>
      <c r="DX221" s="140"/>
      <c r="DY221" s="140"/>
      <c r="DZ221" s="140"/>
      <c r="EA221" s="140"/>
      <c r="EB221" s="140"/>
      <c r="EC221" s="140"/>
    </row>
    <row r="222" spans="126:133">
      <c r="DV222" s="140"/>
      <c r="DW222" s="140"/>
      <c r="DX222" s="140"/>
      <c r="DY222" s="140"/>
      <c r="DZ222" s="140"/>
      <c r="EA222" s="140"/>
      <c r="EB222" s="140"/>
      <c r="EC222" s="140"/>
    </row>
    <row r="223" spans="126:133">
      <c r="DV223" s="140"/>
      <c r="DW223" s="140"/>
      <c r="DX223" s="140"/>
      <c r="DY223" s="140"/>
      <c r="DZ223" s="140"/>
      <c r="EA223" s="140"/>
      <c r="EB223" s="140"/>
      <c r="EC223" s="140"/>
    </row>
    <row r="224" spans="126:133">
      <c r="DV224" s="140"/>
      <c r="DW224" s="140"/>
      <c r="DX224" s="140"/>
      <c r="DY224" s="140"/>
      <c r="DZ224" s="140"/>
      <c r="EA224" s="140"/>
      <c r="EB224" s="140"/>
      <c r="EC224" s="140"/>
    </row>
    <row r="225" spans="126:133">
      <c r="DV225" s="140"/>
      <c r="DW225" s="140"/>
      <c r="DX225" s="140"/>
      <c r="DY225" s="140"/>
      <c r="DZ225" s="140"/>
      <c r="EA225" s="140"/>
      <c r="EB225" s="140"/>
      <c r="EC225" s="140"/>
    </row>
    <row r="226" spans="126:133">
      <c r="DV226" s="140"/>
      <c r="DW226" s="140"/>
      <c r="DX226" s="140"/>
      <c r="DY226" s="140"/>
      <c r="DZ226" s="140"/>
      <c r="EA226" s="140"/>
      <c r="EB226" s="140"/>
      <c r="EC226" s="140"/>
    </row>
    <row r="227" spans="126:133">
      <c r="DV227" s="140"/>
      <c r="DW227" s="140"/>
      <c r="DX227" s="140"/>
      <c r="DY227" s="140"/>
      <c r="DZ227" s="140"/>
      <c r="EA227" s="140"/>
      <c r="EB227" s="140"/>
      <c r="EC227" s="140"/>
    </row>
    <row r="228" spans="126:133">
      <c r="DV228" s="140"/>
      <c r="DW228" s="140"/>
      <c r="DX228" s="140"/>
      <c r="DY228" s="140"/>
      <c r="DZ228" s="140"/>
      <c r="EA228" s="140"/>
      <c r="EB228" s="140"/>
      <c r="EC228" s="140"/>
    </row>
    <row r="229" spans="126:133">
      <c r="DV229" s="140"/>
      <c r="DW229" s="140"/>
      <c r="DX229" s="140"/>
      <c r="DY229" s="140"/>
      <c r="DZ229" s="140"/>
      <c r="EA229" s="140"/>
      <c r="EB229" s="140"/>
      <c r="EC229" s="140"/>
    </row>
    <row r="230" spans="126:133">
      <c r="DV230" s="140"/>
      <c r="DW230" s="140"/>
      <c r="DX230" s="140"/>
      <c r="DY230" s="140"/>
      <c r="DZ230" s="140"/>
      <c r="EA230" s="140"/>
      <c r="EB230" s="140"/>
      <c r="EC230" s="140"/>
    </row>
    <row r="231" spans="126:133">
      <c r="DV231" s="140"/>
      <c r="DW231" s="140"/>
      <c r="DX231" s="140"/>
      <c r="DY231" s="140"/>
      <c r="DZ231" s="140"/>
      <c r="EA231" s="140"/>
      <c r="EB231" s="140"/>
      <c r="EC231" s="140"/>
    </row>
    <row r="232" spans="126:133">
      <c r="DV232" s="140"/>
      <c r="DW232" s="140"/>
      <c r="DX232" s="140"/>
      <c r="DY232" s="140"/>
      <c r="DZ232" s="140"/>
      <c r="EA232" s="140"/>
      <c r="EB232" s="140"/>
      <c r="EC232" s="140"/>
    </row>
    <row r="233" spans="126:133">
      <c r="DV233" s="140"/>
      <c r="DW233" s="140"/>
      <c r="DX233" s="140"/>
      <c r="DY233" s="140"/>
      <c r="DZ233" s="140"/>
      <c r="EA233" s="140"/>
      <c r="EB233" s="140"/>
      <c r="EC233" s="140"/>
    </row>
    <row r="234" spans="126:133">
      <c r="DV234" s="140"/>
      <c r="DW234" s="140"/>
      <c r="DX234" s="140"/>
      <c r="DY234" s="140"/>
      <c r="DZ234" s="140"/>
      <c r="EA234" s="140"/>
      <c r="EB234" s="140"/>
      <c r="EC234" s="140"/>
    </row>
    <row r="235" spans="126:133">
      <c r="DV235" s="140"/>
      <c r="DW235" s="140"/>
      <c r="DX235" s="140"/>
      <c r="DY235" s="140"/>
      <c r="DZ235" s="140"/>
      <c r="EA235" s="140"/>
      <c r="EB235" s="140"/>
      <c r="EC235" s="140"/>
    </row>
    <row r="236" spans="126:133">
      <c r="DV236" s="140"/>
      <c r="DW236" s="140"/>
      <c r="DX236" s="140"/>
      <c r="DY236" s="140"/>
      <c r="DZ236" s="140"/>
      <c r="EA236" s="140"/>
      <c r="EB236" s="140"/>
      <c r="EC236" s="140"/>
    </row>
    <row r="237" spans="126:133">
      <c r="DV237" s="140"/>
      <c r="DW237" s="140"/>
      <c r="DX237" s="140"/>
      <c r="DY237" s="140"/>
      <c r="DZ237" s="140"/>
      <c r="EA237" s="140"/>
      <c r="EB237" s="140"/>
      <c r="EC237" s="140"/>
    </row>
    <row r="238" spans="126:133">
      <c r="DV238" s="140"/>
      <c r="DW238" s="140"/>
      <c r="DX238" s="140"/>
      <c r="DY238" s="140"/>
      <c r="DZ238" s="140"/>
      <c r="EA238" s="140"/>
      <c r="EB238" s="140"/>
      <c r="EC238" s="140"/>
    </row>
    <row r="239" spans="126:133">
      <c r="DV239" s="140"/>
      <c r="DW239" s="140"/>
      <c r="DX239" s="140"/>
      <c r="DY239" s="140"/>
      <c r="DZ239" s="140"/>
      <c r="EA239" s="140"/>
      <c r="EB239" s="140"/>
      <c r="EC239" s="140"/>
    </row>
    <row r="240" spans="126:133">
      <c r="DV240" s="140"/>
      <c r="DW240" s="140"/>
      <c r="DX240" s="140"/>
      <c r="DY240" s="140"/>
      <c r="DZ240" s="140"/>
      <c r="EA240" s="140"/>
      <c r="EB240" s="140"/>
      <c r="EC240" s="14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F68C-4EEC-4BC0-8922-CAD6F4192DB7}">
  <sheetPr>
    <tabColor theme="9" tint="-0.499984740745262"/>
  </sheetPr>
  <dimension ref="A1:V35"/>
  <sheetViews>
    <sheetView tabSelected="1" workbookViewId="0">
      <selection activeCell="J22" sqref="J22"/>
    </sheetView>
  </sheetViews>
  <sheetFormatPr baseColWidth="10" defaultColWidth="8.6640625" defaultRowHeight="15"/>
  <cols>
    <col min="1" max="2" width="8.6640625" style="155"/>
    <col min="3" max="3" width="13.33203125" style="155" bestFit="1" customWidth="1"/>
    <col min="4" max="4" width="11.83203125" style="155" bestFit="1" customWidth="1"/>
    <col min="5" max="5" width="13.5" style="155" bestFit="1" customWidth="1"/>
    <col min="6" max="6" width="22.6640625" style="155" bestFit="1" customWidth="1"/>
    <col min="7" max="7" width="23.33203125" style="155" bestFit="1" customWidth="1"/>
    <col min="8" max="9" width="8.6640625" style="155"/>
    <col min="10" max="10" width="32.83203125" style="155" customWidth="1"/>
    <col min="11" max="11" width="11.33203125" style="155" bestFit="1" customWidth="1"/>
    <col min="12" max="16384" width="8.6640625" style="155"/>
  </cols>
  <sheetData>
    <row r="1" spans="1:22" ht="16" thickBot="1">
      <c r="A1" s="374"/>
      <c r="B1" s="374"/>
      <c r="C1" s="374"/>
      <c r="D1" s="374"/>
      <c r="E1" s="374"/>
      <c r="F1" s="374"/>
      <c r="G1" s="374"/>
      <c r="H1" s="374"/>
      <c r="I1" s="374"/>
      <c r="J1" s="374"/>
      <c r="K1" s="374"/>
      <c r="L1" s="374"/>
      <c r="M1" s="374"/>
      <c r="N1" s="374"/>
      <c r="O1" s="374"/>
      <c r="P1" s="374"/>
      <c r="Q1" s="374"/>
      <c r="R1" s="374"/>
      <c r="S1" s="374"/>
      <c r="T1" s="374"/>
      <c r="U1" s="374"/>
      <c r="V1" s="374"/>
    </row>
    <row r="2" spans="1:22">
      <c r="A2" s="374"/>
      <c r="B2" s="362" t="s">
        <v>242</v>
      </c>
      <c r="C2" s="363" t="s">
        <v>243</v>
      </c>
      <c r="D2" s="363" t="s">
        <v>244</v>
      </c>
      <c r="E2" s="363" t="s">
        <v>245</v>
      </c>
      <c r="F2" s="363" t="s">
        <v>246</v>
      </c>
      <c r="G2" s="364" t="s">
        <v>247</v>
      </c>
      <c r="H2" s="374"/>
      <c r="I2" s="374"/>
      <c r="J2" s="376" t="s">
        <v>248</v>
      </c>
      <c r="K2" s="365">
        <v>100000</v>
      </c>
      <c r="L2" s="374"/>
      <c r="M2" s="374"/>
      <c r="N2" s="374"/>
      <c r="O2" s="374"/>
      <c r="P2" s="374"/>
      <c r="Q2" s="374"/>
      <c r="R2" s="374"/>
      <c r="S2" s="374"/>
      <c r="T2" s="374"/>
      <c r="U2" s="374"/>
      <c r="V2" s="374"/>
    </row>
    <row r="3" spans="1:22">
      <c r="A3" s="374"/>
      <c r="B3" s="355">
        <v>1</v>
      </c>
      <c r="C3" s="271">
        <v>43935</v>
      </c>
      <c r="D3" s="332">
        <f>'5.ΣΥΝΑΛΛΑΓΕΣ'!E30</f>
        <v>3.4415188789540571E-2</v>
      </c>
      <c r="E3" s="332">
        <f>'5.ΣΥΝΑΛΛΑΓΕΣ'!E29</f>
        <v>1.7600383613843442E-2</v>
      </c>
      <c r="F3" s="354">
        <f>D3</f>
        <v>3.4415188789540571E-2</v>
      </c>
      <c r="G3" s="356">
        <f>E3</f>
        <v>1.7600383613843442E-2</v>
      </c>
      <c r="H3" s="374"/>
      <c r="I3" s="374"/>
      <c r="J3" s="377" t="s">
        <v>249</v>
      </c>
      <c r="K3" s="366">
        <v>102054.6368866523</v>
      </c>
      <c r="L3" s="374"/>
      <c r="M3" s="374"/>
      <c r="N3" s="374"/>
      <c r="O3" s="374"/>
      <c r="P3" s="374"/>
      <c r="Q3" s="374"/>
      <c r="R3" s="374"/>
      <c r="S3" s="374"/>
      <c r="T3" s="374"/>
      <c r="U3" s="374"/>
      <c r="V3" s="374"/>
    </row>
    <row r="4" spans="1:22">
      <c r="A4" s="374"/>
      <c r="B4" s="355">
        <v>2</v>
      </c>
      <c r="C4" s="271">
        <v>43936</v>
      </c>
      <c r="D4" s="332">
        <f>'5.ΣΥΝΑΛΛΑΓΕΣ'!K30</f>
        <v>-3.2824463936070303E-2</v>
      </c>
      <c r="E4" s="332">
        <f>'5.ΣΥΝΑΛΛΑΓΕΣ'!K29</f>
        <v>4.1261138339994067E-3</v>
      </c>
      <c r="F4" s="354">
        <f t="shared" ref="F4:F26" si="0">D4+F3</f>
        <v>1.5907248534702684E-3</v>
      </c>
      <c r="G4" s="356">
        <f t="shared" ref="G4:G26" si="1">E4+G3</f>
        <v>2.172649744784285E-2</v>
      </c>
      <c r="H4" s="374"/>
      <c r="I4" s="374"/>
      <c r="J4" s="377" t="s">
        <v>250</v>
      </c>
      <c r="K4" s="367">
        <f>COUNT(C3:C26)</f>
        <v>24</v>
      </c>
      <c r="L4" s="374"/>
      <c r="M4" s="374"/>
      <c r="N4" s="374"/>
      <c r="O4" s="374"/>
      <c r="P4" s="374"/>
      <c r="Q4" s="374"/>
      <c r="R4" s="374"/>
      <c r="S4" s="374"/>
      <c r="T4" s="374"/>
      <c r="U4" s="374"/>
      <c r="V4" s="374"/>
    </row>
    <row r="5" spans="1:22">
      <c r="A5" s="374"/>
      <c r="B5" s="355">
        <v>3</v>
      </c>
      <c r="C5" s="271">
        <v>43937</v>
      </c>
      <c r="D5" s="332">
        <f>'5.ΣΥΝΑΛΛΑΓΕΣ'!Q30</f>
        <v>-1.3496387247560774E-3</v>
      </c>
      <c r="E5" s="332">
        <f>'5.ΣΥΝΑΛΛΑΓΕΣ'!Q29</f>
        <v>-4.9669388173540939E-4</v>
      </c>
      <c r="F5" s="354">
        <f t="shared" si="0"/>
        <v>2.4108612871419095E-4</v>
      </c>
      <c r="G5" s="356">
        <f t="shared" si="1"/>
        <v>2.1229803566107441E-2</v>
      </c>
      <c r="H5" s="374"/>
      <c r="I5" s="374"/>
      <c r="J5" s="377" t="s">
        <v>251</v>
      </c>
      <c r="K5" s="368">
        <f>(K3-K2)/K2</f>
        <v>2.054636886652297E-2</v>
      </c>
      <c r="L5" s="374"/>
      <c r="M5" s="374"/>
      <c r="N5" s="374"/>
      <c r="O5" s="374"/>
      <c r="P5" s="374"/>
      <c r="Q5" s="374"/>
      <c r="R5" s="374"/>
      <c r="S5" s="374"/>
      <c r="T5" s="374"/>
      <c r="U5" s="374"/>
      <c r="V5" s="374"/>
    </row>
    <row r="6" spans="1:22">
      <c r="A6" s="374"/>
      <c r="B6" s="355">
        <v>4</v>
      </c>
      <c r="C6" s="271">
        <v>43942</v>
      </c>
      <c r="D6" s="332">
        <f>'5.ΣΥΝΑΛΛΑΓΕΣ'!W30</f>
        <v>-2.592501030078289E-2</v>
      </c>
      <c r="E6" s="332">
        <f>'5.ΣΥΝΑΛΛΑΓΕΣ'!W29</f>
        <v>-8.0933899291626577E-3</v>
      </c>
      <c r="F6" s="354">
        <f t="shared" si="0"/>
        <v>-2.56839241720687E-2</v>
      </c>
      <c r="G6" s="356">
        <f t="shared" si="1"/>
        <v>1.3136413636944783E-2</v>
      </c>
      <c r="H6" s="374"/>
      <c r="I6" s="374"/>
      <c r="J6" s="377" t="s">
        <v>252</v>
      </c>
      <c r="K6" s="368">
        <f>('5.ΤΙΜΕΣ'!B46-'5.ΤΙΜΕΣ'!B21)/'5.ΤΙΜΕΣ'!B21</f>
        <v>2.3477646981561835E-3</v>
      </c>
      <c r="L6" s="374"/>
      <c r="M6" s="374"/>
      <c r="N6" s="374"/>
      <c r="O6" s="374"/>
      <c r="P6" s="374"/>
      <c r="Q6" s="374"/>
      <c r="R6" s="374"/>
      <c r="S6" s="374"/>
      <c r="T6" s="374"/>
      <c r="U6" s="374"/>
      <c r="V6" s="374"/>
    </row>
    <row r="7" spans="1:22">
      <c r="A7" s="374"/>
      <c r="B7" s="355">
        <v>5</v>
      </c>
      <c r="C7" s="271">
        <v>43943</v>
      </c>
      <c r="D7" s="332">
        <f>'5.ΣΥΝΑΛΛΑΓΕΣ'!AC30</f>
        <v>7.4278366214341083E-3</v>
      </c>
      <c r="E7" s="332">
        <f>'5.ΣΥΝΑΛΛΑΓΕΣ'!AC29</f>
        <v>6.788434378264355E-3</v>
      </c>
      <c r="F7" s="354">
        <f t="shared" si="0"/>
        <v>-1.8256087550634591E-2</v>
      </c>
      <c r="G7" s="356">
        <f t="shared" si="1"/>
        <v>1.9924848015209138E-2</v>
      </c>
      <c r="H7" s="374"/>
      <c r="I7" s="374"/>
      <c r="J7" s="377" t="s">
        <v>253</v>
      </c>
      <c r="K7" s="369">
        <f>K5-K6</f>
        <v>1.8198604168366786E-2</v>
      </c>
      <c r="L7" s="374"/>
      <c r="M7" s="374"/>
      <c r="N7" s="374"/>
      <c r="O7" s="374"/>
      <c r="P7" s="374"/>
      <c r="Q7" s="374"/>
      <c r="R7" s="374"/>
      <c r="S7" s="374"/>
      <c r="T7" s="374"/>
      <c r="U7" s="374"/>
      <c r="V7" s="374"/>
    </row>
    <row r="8" spans="1:22">
      <c r="A8" s="374"/>
      <c r="B8" s="355">
        <v>6</v>
      </c>
      <c r="C8" s="271">
        <v>43944</v>
      </c>
      <c r="D8" s="332">
        <f>'5.ΣΥΝΑΛΛΑΓΕΣ'!AI30</f>
        <v>2.5310290388135991E-2</v>
      </c>
      <c r="E8" s="332">
        <f>'5.ΣΥΝΑΛΛΑΓΕΣ'!AI29</f>
        <v>7.2460774305806259E-3</v>
      </c>
      <c r="F8" s="354">
        <f t="shared" si="0"/>
        <v>7.0542028375014006E-3</v>
      </c>
      <c r="G8" s="356">
        <f t="shared" si="1"/>
        <v>2.7170925445789765E-2</v>
      </c>
      <c r="H8" s="374"/>
      <c r="I8" s="374"/>
      <c r="J8" s="377" t="s">
        <v>254</v>
      </c>
      <c r="K8" s="370">
        <v>0.04</v>
      </c>
      <c r="L8" s="374"/>
      <c r="M8" s="374"/>
      <c r="N8" s="374"/>
      <c r="O8" s="374"/>
      <c r="P8" s="374"/>
      <c r="Q8" s="374"/>
      <c r="R8" s="374"/>
      <c r="S8" s="374"/>
      <c r="T8" s="374"/>
      <c r="U8" s="374"/>
      <c r="V8" s="374"/>
    </row>
    <row r="9" spans="1:22">
      <c r="A9" s="374"/>
      <c r="B9" s="355">
        <v>7</v>
      </c>
      <c r="C9" s="271">
        <v>43945</v>
      </c>
      <c r="D9" s="332">
        <f>'5.ΣΥΝΑΛΛΑΓΕΣ'!AO30</f>
        <v>-6.6668850740401811E-3</v>
      </c>
      <c r="E9" s="332">
        <f>'5.ΣΥΝΑΛΛΑΓΕΣ'!AO29</f>
        <v>1.3726890235496102E-2</v>
      </c>
      <c r="F9" s="354">
        <f t="shared" si="0"/>
        <v>3.8731776346121946E-4</v>
      </c>
      <c r="G9" s="356">
        <f t="shared" si="1"/>
        <v>4.0897815681285865E-2</v>
      </c>
      <c r="H9" s="374"/>
      <c r="I9" s="374"/>
      <c r="J9" s="377" t="s">
        <v>255</v>
      </c>
      <c r="K9" s="371">
        <f>STDEV(E3:E26)</f>
        <v>1.0647674221249936E-2</v>
      </c>
      <c r="L9" s="374"/>
      <c r="M9" s="374"/>
      <c r="N9" s="374"/>
      <c r="O9" s="374"/>
      <c r="P9" s="374"/>
      <c r="Q9" s="374"/>
      <c r="R9" s="374"/>
      <c r="S9" s="374"/>
      <c r="T9" s="374"/>
      <c r="U9" s="374"/>
      <c r="V9" s="374"/>
    </row>
    <row r="10" spans="1:22">
      <c r="A10" s="374"/>
      <c r="B10" s="355">
        <v>8</v>
      </c>
      <c r="C10" s="271">
        <v>43948</v>
      </c>
      <c r="D10" s="332">
        <f>'5.ΣΥΝΑΛΛΑΓΕΣ'!AU30</f>
        <v>3.2568724130538747E-2</v>
      </c>
      <c r="E10" s="332">
        <f>'5.ΣΥΝΑΛΛΑΓΕΣ'!AU29</f>
        <v>2.2236530921063095E-2</v>
      </c>
      <c r="F10" s="354">
        <f t="shared" si="0"/>
        <v>3.2956041893999963E-2</v>
      </c>
      <c r="G10" s="356">
        <f t="shared" si="1"/>
        <v>6.3134346602348956E-2</v>
      </c>
      <c r="H10" s="374"/>
      <c r="I10" s="374"/>
      <c r="J10" s="377" t="s">
        <v>256</v>
      </c>
      <c r="K10" s="371">
        <f>STDEV(D3:D26)</f>
        <v>1.9987499263123685E-2</v>
      </c>
      <c r="L10" s="374"/>
      <c r="M10" s="374"/>
      <c r="N10" s="374"/>
      <c r="O10" s="374"/>
      <c r="P10" s="374"/>
      <c r="Q10" s="374"/>
      <c r="R10" s="374"/>
      <c r="S10" s="374"/>
      <c r="T10" s="374"/>
      <c r="U10" s="374"/>
      <c r="V10" s="374"/>
    </row>
    <row r="11" spans="1:22">
      <c r="A11" s="374"/>
      <c r="B11" s="355">
        <v>9</v>
      </c>
      <c r="C11" s="271">
        <v>43949</v>
      </c>
      <c r="D11" s="332">
        <f>'5.ΣΥΝΑΛΛΑΓΕΣ'!BA30</f>
        <v>1.4053915932030262E-2</v>
      </c>
      <c r="E11" s="332">
        <f>'5.ΣΥΝΑΛΛΑΓΕΣ'!BA29</f>
        <v>3.145365122579824E-2</v>
      </c>
      <c r="F11" s="354">
        <f t="shared" si="0"/>
        <v>4.7009957826030221E-2</v>
      </c>
      <c r="G11" s="356">
        <f t="shared" si="1"/>
        <v>9.4587997828147197E-2</v>
      </c>
      <c r="H11" s="374"/>
      <c r="I11" s="374"/>
      <c r="J11" s="377" t="s">
        <v>257</v>
      </c>
      <c r="K11" s="372">
        <f>(K5-(4%*24/360))/K9</f>
        <v>1.6792119883019294</v>
      </c>
      <c r="L11" s="374"/>
      <c r="M11" s="374"/>
      <c r="N11" s="374"/>
      <c r="O11" s="374"/>
      <c r="P11" s="374"/>
      <c r="Q11" s="374"/>
      <c r="R11" s="374"/>
      <c r="S11" s="374"/>
      <c r="T11" s="374"/>
      <c r="U11" s="374"/>
      <c r="V11" s="374"/>
    </row>
    <row r="12" spans="1:22">
      <c r="A12" s="374"/>
      <c r="B12" s="355">
        <v>10</v>
      </c>
      <c r="C12" s="271">
        <v>43950</v>
      </c>
      <c r="D12" s="332">
        <f>'5.ΣΥΝΑΛΛΑΓΕΣ'!BG30</f>
        <v>1.0992818445256422E-2</v>
      </c>
      <c r="E12" s="332">
        <f>'5.ΣΥΝΑΛΛΑΓΕΣ'!BG29</f>
        <v>3.1823268158528664E-2</v>
      </c>
      <c r="F12" s="354">
        <f t="shared" si="0"/>
        <v>5.8002776271286645E-2</v>
      </c>
      <c r="G12" s="356">
        <f t="shared" si="1"/>
        <v>0.12641126598667585</v>
      </c>
      <c r="H12" s="374"/>
      <c r="I12" s="374"/>
      <c r="J12" s="377" t="s">
        <v>258</v>
      </c>
      <c r="K12" s="373">
        <f>K6/K10</f>
        <v>0.11746165276852499</v>
      </c>
      <c r="L12" s="374"/>
      <c r="M12" s="374"/>
      <c r="N12" s="374"/>
      <c r="O12" s="374"/>
      <c r="P12" s="374"/>
      <c r="Q12" s="374"/>
      <c r="R12" s="374"/>
      <c r="S12" s="374"/>
      <c r="T12" s="374"/>
      <c r="U12" s="374"/>
      <c r="V12" s="374"/>
    </row>
    <row r="13" spans="1:22">
      <c r="A13" s="374"/>
      <c r="B13" s="355">
        <v>11</v>
      </c>
      <c r="C13" s="271">
        <v>43951</v>
      </c>
      <c r="D13" s="332">
        <f>'5.ΣΥΝΑΛΛΑΓΕΣ'!BM30</f>
        <v>-2.1325980621241945E-2</v>
      </c>
      <c r="E13" s="332">
        <f>'5.ΣΥΝΑΛΛΑΓΕΣ'!BM29</f>
        <v>2.8179571427975315E-2</v>
      </c>
      <c r="F13" s="354">
        <f t="shared" si="0"/>
        <v>3.6676795650044697E-2</v>
      </c>
      <c r="G13" s="356">
        <f t="shared" si="1"/>
        <v>0.15459083741465116</v>
      </c>
      <c r="H13" s="374"/>
      <c r="I13" s="374"/>
      <c r="J13" s="377" t="s">
        <v>259</v>
      </c>
      <c r="K13" s="373">
        <f>SLOPE(E3:E26,D3:D26)</f>
        <v>0.19849263797664518</v>
      </c>
      <c r="L13" s="374"/>
      <c r="M13" s="374"/>
      <c r="N13" s="374"/>
      <c r="O13" s="374"/>
      <c r="P13" s="374"/>
      <c r="Q13" s="374"/>
      <c r="R13" s="374"/>
      <c r="S13" s="374"/>
      <c r="T13" s="374"/>
      <c r="U13" s="374"/>
      <c r="V13" s="374"/>
    </row>
    <row r="14" spans="1:22" ht="16" thickBot="1">
      <c r="A14" s="374"/>
      <c r="B14" s="355">
        <v>12</v>
      </c>
      <c r="C14" s="271">
        <v>43955</v>
      </c>
      <c r="D14" s="332">
        <f>'5.ΣΥΝΑΛΛΑΓΕΣ'!BS30</f>
        <v>-4.1209709510545145E-2</v>
      </c>
      <c r="E14" s="332">
        <f>'5.ΣΥΝΑΛΛΑΓΕΣ'!BS29</f>
        <v>1.4964714151368097E-2</v>
      </c>
      <c r="F14" s="354">
        <f t="shared" si="0"/>
        <v>-4.5329138605004482E-3</v>
      </c>
      <c r="G14" s="356">
        <f t="shared" si="1"/>
        <v>0.16955555156601926</v>
      </c>
      <c r="H14" s="374"/>
      <c r="I14" s="374"/>
      <c r="J14" s="378" t="s">
        <v>260</v>
      </c>
      <c r="K14" s="379" t="s">
        <v>299</v>
      </c>
      <c r="L14" s="374"/>
      <c r="M14" s="374"/>
      <c r="N14" s="374"/>
      <c r="O14" s="374"/>
      <c r="P14" s="374"/>
      <c r="Q14" s="374"/>
      <c r="R14" s="374"/>
      <c r="S14" s="374"/>
      <c r="T14" s="374"/>
      <c r="U14" s="374"/>
      <c r="V14" s="374"/>
    </row>
    <row r="15" spans="1:22">
      <c r="A15" s="374"/>
      <c r="B15" s="355">
        <v>13</v>
      </c>
      <c r="C15" s="271">
        <v>43956</v>
      </c>
      <c r="D15" s="332">
        <f>'5.ΣΥΝΑΛΛΑΓΕΣ'!BY30</f>
        <v>1.3330898466033556E-2</v>
      </c>
      <c r="E15" s="332">
        <f>'5.ΣΥΝΑΛΛΑΓΕΣ'!BY29</f>
        <v>9.2805419511397483E-3</v>
      </c>
      <c r="F15" s="354">
        <f t="shared" si="0"/>
        <v>8.797984605533108E-3</v>
      </c>
      <c r="G15" s="356">
        <f t="shared" si="1"/>
        <v>0.17883609351715901</v>
      </c>
      <c r="H15" s="374"/>
      <c r="I15" s="374"/>
      <c r="J15" s="374"/>
      <c r="K15" s="375"/>
      <c r="L15" s="374"/>
      <c r="M15" s="374"/>
      <c r="N15" s="374"/>
      <c r="O15" s="374"/>
      <c r="P15" s="374"/>
      <c r="Q15" s="374"/>
      <c r="R15" s="374"/>
      <c r="S15" s="374"/>
      <c r="T15" s="374"/>
      <c r="U15" s="374"/>
      <c r="V15" s="374"/>
    </row>
    <row r="16" spans="1:22">
      <c r="A16" s="374"/>
      <c r="B16" s="355">
        <v>14</v>
      </c>
      <c r="C16" s="271">
        <v>43957</v>
      </c>
      <c r="D16" s="332">
        <f>'5.ΣΥΝΑΛΛΑΓΕΣ'!CE30</f>
        <v>-1.5924245154737181E-2</v>
      </c>
      <c r="E16" s="332">
        <f>'5.ΣΥΝΑΛΛΑΓΕΣ'!CE29</f>
        <v>8.2209524368584974E-3</v>
      </c>
      <c r="F16" s="354">
        <f t="shared" si="0"/>
        <v>-7.1262605492040734E-3</v>
      </c>
      <c r="G16" s="356">
        <f t="shared" si="1"/>
        <v>0.18705704595401751</v>
      </c>
      <c r="H16" s="374"/>
      <c r="I16" s="374"/>
      <c r="J16" s="374"/>
      <c r="K16" s="375"/>
      <c r="L16" s="374"/>
      <c r="M16" s="374"/>
      <c r="N16" s="374"/>
      <c r="O16" s="374"/>
      <c r="P16" s="374"/>
      <c r="Q16" s="374"/>
      <c r="R16" s="374"/>
      <c r="S16" s="374"/>
      <c r="T16" s="374"/>
      <c r="U16" s="374"/>
      <c r="V16" s="374"/>
    </row>
    <row r="17" spans="1:22">
      <c r="A17" s="374"/>
      <c r="B17" s="355">
        <v>15</v>
      </c>
      <c r="C17" s="271">
        <v>43958</v>
      </c>
      <c r="D17" s="332">
        <f>'5.ΣΥΝΑΛΛΑΓΕΣ'!CK30</f>
        <v>2.9966537366608427E-3</v>
      </c>
      <c r="E17" s="332">
        <f>'5.ΣΥΝΑΛΛΑΓΕΣ'!CK29</f>
        <v>1.5449487014584302E-2</v>
      </c>
      <c r="F17" s="354">
        <f t="shared" si="0"/>
        <v>-4.1296068125432307E-3</v>
      </c>
      <c r="G17" s="356">
        <f t="shared" si="1"/>
        <v>0.2025065329686018</v>
      </c>
      <c r="H17" s="374"/>
      <c r="I17" s="374"/>
      <c r="J17" s="374"/>
      <c r="K17" s="374"/>
      <c r="L17" s="374"/>
      <c r="M17" s="374"/>
      <c r="N17" s="374"/>
      <c r="O17" s="374"/>
      <c r="P17" s="374"/>
      <c r="Q17" s="374"/>
      <c r="R17" s="374"/>
      <c r="S17" s="374"/>
      <c r="T17" s="374"/>
      <c r="U17" s="374"/>
      <c r="V17" s="374"/>
    </row>
    <row r="18" spans="1:22">
      <c r="A18" s="374"/>
      <c r="B18" s="355">
        <v>16</v>
      </c>
      <c r="C18" s="271">
        <v>43959</v>
      </c>
      <c r="D18" s="332">
        <f>'5.ΣΥΝΑΛΛΑΓΕΣ'!CQ30</f>
        <v>2.6225372217702578E-3</v>
      </c>
      <c r="E18" s="332">
        <f>'5.ΣΥΝΑΛΛΑΓΕΣ'!CQ29</f>
        <v>2.0099704091997701E-2</v>
      </c>
      <c r="F18" s="354">
        <f t="shared" si="0"/>
        <v>-1.5070695907729728E-3</v>
      </c>
      <c r="G18" s="356">
        <f t="shared" si="1"/>
        <v>0.22260623706059951</v>
      </c>
      <c r="H18" s="374"/>
      <c r="I18" s="374"/>
      <c r="J18" s="374"/>
      <c r="K18" s="374"/>
      <c r="L18" s="374"/>
      <c r="M18" s="374"/>
      <c r="N18" s="374"/>
      <c r="O18" s="374"/>
      <c r="P18" s="374"/>
      <c r="Q18" s="374"/>
      <c r="R18" s="374"/>
      <c r="S18" s="374"/>
      <c r="T18" s="374"/>
      <c r="U18" s="374"/>
      <c r="V18" s="374"/>
    </row>
    <row r="19" spans="1:22">
      <c r="A19" s="374"/>
      <c r="B19" s="355">
        <v>17</v>
      </c>
      <c r="C19" s="271">
        <v>43962</v>
      </c>
      <c r="D19" s="332">
        <f>'5.ΣΥΝΑΛΛΑΓΕΣ'!CW30</f>
        <v>-1.2763844052644522E-2</v>
      </c>
      <c r="E19" s="332">
        <f>'5.ΣΥΝΑΛΛΑΓΕΣ'!CW29</f>
        <v>1.1002304057920265E-2</v>
      </c>
      <c r="F19" s="354">
        <f t="shared" si="0"/>
        <v>-1.4270913643417496E-2</v>
      </c>
      <c r="G19" s="356">
        <f t="shared" si="1"/>
        <v>0.23360854111851978</v>
      </c>
      <c r="H19" s="374"/>
      <c r="I19" s="374"/>
      <c r="J19" s="374"/>
      <c r="K19" s="374"/>
      <c r="L19" s="374"/>
      <c r="M19" s="374"/>
      <c r="N19" s="374"/>
      <c r="O19" s="374"/>
      <c r="P19" s="374"/>
      <c r="Q19" s="374"/>
      <c r="R19" s="374"/>
      <c r="S19" s="374"/>
      <c r="T19" s="374"/>
      <c r="U19" s="374"/>
      <c r="V19" s="374"/>
    </row>
    <row r="20" spans="1:22">
      <c r="A20" s="374"/>
      <c r="B20" s="355">
        <v>18</v>
      </c>
      <c r="C20" s="271">
        <v>43963</v>
      </c>
      <c r="D20" s="332">
        <f>'5.ΣΥΝΑΛΛΑΓΕΣ'!DC30</f>
        <v>5.1983767649318416E-4</v>
      </c>
      <c r="E20" s="332">
        <f>'5.ΣΥΝΑΛΛΑΓΕΣ'!DC29</f>
        <v>8.6475809571973511E-3</v>
      </c>
      <c r="F20" s="354">
        <f t="shared" si="0"/>
        <v>-1.3751075966924311E-2</v>
      </c>
      <c r="G20" s="356">
        <f t="shared" si="1"/>
        <v>0.24225612207571712</v>
      </c>
      <c r="H20" s="374"/>
      <c r="I20" s="374"/>
      <c r="J20" s="374"/>
      <c r="K20" s="374"/>
      <c r="L20" s="374"/>
      <c r="M20" s="374"/>
      <c r="N20" s="374"/>
      <c r="O20" s="374"/>
      <c r="P20" s="374"/>
      <c r="Q20" s="374"/>
      <c r="R20" s="374"/>
      <c r="S20" s="374"/>
      <c r="T20" s="374"/>
      <c r="U20" s="374"/>
      <c r="V20" s="374"/>
    </row>
    <row r="21" spans="1:22">
      <c r="A21" s="374"/>
      <c r="B21" s="355">
        <v>19</v>
      </c>
      <c r="C21" s="271">
        <v>43964</v>
      </c>
      <c r="D21" s="332">
        <f>'5.ΣΥΝΑΛΛΑΓΕΣ'!DI30</f>
        <v>-9.7377021704515981E-3</v>
      </c>
      <c r="E21" s="332">
        <f>'5.ΣΥΝΑΛΛΑΓΕΣ'!DI29</f>
        <v>8.8425508769229052E-3</v>
      </c>
      <c r="F21" s="354">
        <f t="shared" si="0"/>
        <v>-2.3488778137375911E-2</v>
      </c>
      <c r="G21" s="356">
        <f t="shared" si="1"/>
        <v>0.25109867295264005</v>
      </c>
      <c r="H21" s="374"/>
      <c r="I21" s="374"/>
      <c r="J21" s="374"/>
      <c r="K21" s="374"/>
      <c r="L21" s="374"/>
      <c r="M21" s="374"/>
      <c r="N21" s="374"/>
      <c r="O21" s="374"/>
      <c r="P21" s="374"/>
      <c r="Q21" s="374"/>
      <c r="R21" s="374"/>
      <c r="S21" s="374"/>
      <c r="T21" s="374"/>
      <c r="U21" s="374"/>
      <c r="V21" s="374"/>
    </row>
    <row r="22" spans="1:22">
      <c r="A22" s="374"/>
      <c r="B22" s="355">
        <v>20</v>
      </c>
      <c r="C22" s="271">
        <v>43965</v>
      </c>
      <c r="D22" s="332">
        <f>'5.ΣΥΝΑΛΛΑΓΕΣ'!DO30</f>
        <v>-4.6036151919301794E-3</v>
      </c>
      <c r="E22" s="332">
        <f>'5.ΣΥΝΑΛΛΑΓΕΣ'!DO29</f>
        <v>-5.9867342264413306E-3</v>
      </c>
      <c r="F22" s="354">
        <f t="shared" si="0"/>
        <v>-2.809239332930609E-2</v>
      </c>
      <c r="G22" s="356">
        <f t="shared" si="1"/>
        <v>0.24511193872619871</v>
      </c>
      <c r="H22" s="374"/>
      <c r="I22" s="374"/>
      <c r="J22" s="374"/>
      <c r="K22" s="374"/>
      <c r="L22" s="374"/>
      <c r="M22" s="374"/>
      <c r="N22" s="374"/>
      <c r="O22" s="374"/>
      <c r="P22" s="374"/>
      <c r="Q22" s="374"/>
      <c r="R22" s="374"/>
      <c r="S22" s="374"/>
      <c r="T22" s="374"/>
      <c r="U22" s="374"/>
      <c r="V22" s="374"/>
    </row>
    <row r="23" spans="1:22">
      <c r="A23" s="374"/>
      <c r="B23" s="355">
        <v>21</v>
      </c>
      <c r="C23" s="271">
        <v>43966</v>
      </c>
      <c r="D23" s="332">
        <f>'5.ΣΥΝΑΛΛΑΓΕΣ'!DU30</f>
        <v>8.7397129837447907E-3</v>
      </c>
      <c r="E23" s="332">
        <f>'5.ΣΥΝΑΛΛΑΓΕΣ'!DU29</f>
        <v>9.7575388781791852E-3</v>
      </c>
      <c r="F23" s="354">
        <f t="shared" si="0"/>
        <v>-1.9352680345561299E-2</v>
      </c>
      <c r="G23" s="356">
        <f t="shared" si="1"/>
        <v>0.25486947760437789</v>
      </c>
      <c r="H23" s="374"/>
      <c r="I23" s="374"/>
      <c r="J23" s="374"/>
      <c r="K23" s="374"/>
      <c r="L23" s="374"/>
      <c r="M23" s="374"/>
      <c r="N23" s="374"/>
      <c r="O23" s="374"/>
      <c r="P23" s="374"/>
      <c r="Q23" s="374"/>
      <c r="R23" s="374"/>
      <c r="S23" s="374"/>
      <c r="T23" s="374"/>
      <c r="U23" s="374"/>
      <c r="V23" s="374"/>
    </row>
    <row r="24" spans="1:22">
      <c r="A24" s="374"/>
      <c r="B24" s="355">
        <v>22</v>
      </c>
      <c r="C24" s="271">
        <v>43969</v>
      </c>
      <c r="D24" s="332">
        <f>'5.ΣΥΝΑΛΛΑΓΕΣ'!EA30</f>
        <v>2.7407881873040472E-2</v>
      </c>
      <c r="E24" s="332">
        <f>'5.ΣΥΝΑΛΛΑΓΕΣ'!EA29</f>
        <v>2.7848777667014948E-2</v>
      </c>
      <c r="F24" s="354">
        <f t="shared" si="0"/>
        <v>8.0552015274791729E-3</v>
      </c>
      <c r="G24" s="356">
        <f t="shared" si="1"/>
        <v>0.28271825527139283</v>
      </c>
      <c r="H24" s="374"/>
      <c r="I24" s="374"/>
      <c r="J24" s="374"/>
      <c r="K24" s="374"/>
      <c r="L24" s="374"/>
      <c r="M24" s="374"/>
      <c r="N24" s="374"/>
      <c r="O24" s="374"/>
      <c r="P24" s="374"/>
      <c r="Q24" s="374"/>
      <c r="R24" s="374"/>
      <c r="S24" s="374"/>
      <c r="T24" s="374"/>
      <c r="U24" s="374"/>
      <c r="V24" s="374"/>
    </row>
    <row r="25" spans="1:22">
      <c r="A25" s="374"/>
      <c r="B25" s="355">
        <v>23</v>
      </c>
      <c r="C25" s="271">
        <v>43970</v>
      </c>
      <c r="D25" s="332">
        <f>'5.ΣΥΝΑΛΛΑΓΕΣ'!EG30</f>
        <v>-1.3715710723192043E-2</v>
      </c>
      <c r="E25" s="332">
        <f>'5.ΣΥΝΑΛΛΑΓΕΣ'!EG29</f>
        <v>1.6862966959870246E-2</v>
      </c>
      <c r="F25" s="354">
        <f t="shared" si="0"/>
        <v>-5.6605091957128706E-3</v>
      </c>
      <c r="G25" s="356">
        <f t="shared" si="1"/>
        <v>0.29958122223126304</v>
      </c>
      <c r="H25" s="374"/>
      <c r="I25" s="374"/>
      <c r="J25" s="374"/>
      <c r="K25" s="374"/>
      <c r="L25" s="374"/>
      <c r="M25" s="374"/>
      <c r="N25" s="374"/>
      <c r="O25" s="374"/>
      <c r="P25" s="374"/>
      <c r="Q25" s="374"/>
      <c r="R25" s="374"/>
      <c r="S25" s="374"/>
      <c r="T25" s="374"/>
      <c r="U25" s="374"/>
      <c r="V25" s="374"/>
    </row>
    <row r="26" spans="1:22" ht="16" thickBot="1">
      <c r="A26" s="374"/>
      <c r="B26" s="357">
        <v>24</v>
      </c>
      <c r="C26" s="358">
        <v>43971</v>
      </c>
      <c r="D26" s="359">
        <f>'5.ΣΥΝΑΛΛΑΓΕΣ'!EM31</f>
        <v>1.5569898196819506E-2</v>
      </c>
      <c r="E26" s="359">
        <f>'5.ΣΥΝΑΛΛΑΓΕΣ'!EM30</f>
        <v>2.054636886652297E-2</v>
      </c>
      <c r="F26" s="360">
        <f t="shared" si="0"/>
        <v>9.909389001106635E-3</v>
      </c>
      <c r="G26" s="361">
        <f t="shared" si="1"/>
        <v>0.32012759109778599</v>
      </c>
      <c r="H26" s="374"/>
      <c r="I26" s="374"/>
      <c r="J26" s="374"/>
      <c r="K26" s="374"/>
      <c r="L26" s="374"/>
      <c r="M26" s="374"/>
      <c r="N26" s="374"/>
      <c r="O26" s="374"/>
      <c r="P26" s="374"/>
      <c r="Q26" s="374"/>
      <c r="R26" s="374"/>
      <c r="S26" s="374"/>
      <c r="T26" s="374"/>
      <c r="U26" s="374"/>
      <c r="V26" s="374"/>
    </row>
    <row r="27" spans="1:22">
      <c r="A27" s="374"/>
      <c r="B27" s="374"/>
      <c r="C27" s="374"/>
      <c r="D27" s="374"/>
      <c r="E27" s="374"/>
      <c r="F27" s="374"/>
      <c r="G27" s="374"/>
      <c r="H27" s="374"/>
      <c r="I27" s="374"/>
      <c r="J27" s="374"/>
      <c r="K27" s="374"/>
      <c r="L27" s="374"/>
      <c r="M27" s="374"/>
      <c r="N27" s="374"/>
      <c r="O27" s="374"/>
      <c r="P27" s="374"/>
      <c r="Q27" s="374"/>
      <c r="R27" s="374"/>
      <c r="S27" s="374"/>
      <c r="T27" s="374"/>
      <c r="U27" s="374"/>
      <c r="V27" s="374"/>
    </row>
    <row r="28" spans="1:22">
      <c r="A28" s="374"/>
      <c r="B28" s="374"/>
      <c r="C28" s="374"/>
      <c r="D28" s="374"/>
      <c r="E28" s="374"/>
      <c r="F28" s="374"/>
      <c r="G28" s="374"/>
      <c r="H28" s="374"/>
      <c r="I28" s="374"/>
      <c r="J28" s="374"/>
      <c r="K28" s="374"/>
      <c r="L28" s="374"/>
      <c r="M28" s="374"/>
      <c r="N28" s="374"/>
      <c r="O28" s="374"/>
      <c r="P28" s="374"/>
      <c r="Q28" s="374"/>
      <c r="R28" s="374"/>
      <c r="S28" s="374"/>
      <c r="T28" s="374"/>
      <c r="U28" s="374"/>
      <c r="V28" s="374"/>
    </row>
    <row r="29" spans="1:22">
      <c r="A29" s="374"/>
      <c r="B29" s="374"/>
      <c r="C29" s="374"/>
      <c r="D29" s="374"/>
      <c r="E29" s="374"/>
      <c r="F29" s="374"/>
      <c r="G29" s="374"/>
      <c r="H29" s="374"/>
      <c r="I29" s="374"/>
      <c r="J29" s="374"/>
      <c r="K29" s="374"/>
      <c r="L29" s="374"/>
      <c r="M29" s="374"/>
      <c r="N29" s="374"/>
      <c r="O29" s="374"/>
      <c r="P29" s="374"/>
      <c r="Q29" s="374"/>
      <c r="R29" s="374"/>
      <c r="S29" s="374"/>
      <c r="T29" s="374"/>
      <c r="U29" s="374"/>
      <c r="V29" s="374"/>
    </row>
    <row r="30" spans="1:22">
      <c r="A30" s="374"/>
      <c r="B30" s="374"/>
      <c r="C30" s="374"/>
      <c r="D30" s="374"/>
      <c r="E30" s="374"/>
      <c r="F30" s="374"/>
      <c r="G30" s="374"/>
      <c r="H30" s="374"/>
      <c r="I30" s="374"/>
      <c r="J30" s="374"/>
      <c r="K30" s="374"/>
      <c r="L30" s="374"/>
      <c r="M30" s="374"/>
      <c r="N30" s="374"/>
      <c r="O30" s="374"/>
      <c r="P30" s="374"/>
      <c r="Q30" s="374"/>
      <c r="R30" s="374"/>
      <c r="S30" s="374"/>
      <c r="T30" s="374"/>
      <c r="U30" s="374"/>
      <c r="V30" s="374"/>
    </row>
    <row r="31" spans="1:22">
      <c r="A31" s="374"/>
      <c r="B31" s="374"/>
      <c r="C31" s="374"/>
      <c r="D31" s="374"/>
      <c r="E31" s="374"/>
      <c r="F31" s="374"/>
      <c r="G31" s="374"/>
      <c r="H31" s="374"/>
      <c r="I31" s="374"/>
      <c r="J31" s="374"/>
      <c r="K31" s="374"/>
      <c r="L31" s="374"/>
      <c r="M31" s="374"/>
      <c r="N31" s="374"/>
      <c r="O31" s="374"/>
      <c r="P31" s="374"/>
      <c r="Q31" s="374"/>
      <c r="R31" s="374"/>
      <c r="S31" s="374"/>
      <c r="T31" s="374"/>
      <c r="U31" s="374"/>
      <c r="V31" s="374"/>
    </row>
    <row r="32" spans="1:22">
      <c r="A32" s="374"/>
      <c r="B32" s="374"/>
      <c r="C32" s="374"/>
      <c r="D32" s="374"/>
      <c r="E32" s="374"/>
      <c r="F32" s="374"/>
      <c r="G32" s="374"/>
      <c r="H32" s="374"/>
      <c r="I32" s="374"/>
      <c r="J32" s="374"/>
      <c r="K32" s="374"/>
      <c r="L32" s="374"/>
      <c r="M32" s="374"/>
      <c r="N32" s="374"/>
      <c r="O32" s="374"/>
      <c r="P32" s="374"/>
      <c r="Q32" s="374"/>
      <c r="R32" s="374"/>
      <c r="S32" s="374"/>
      <c r="T32" s="374"/>
      <c r="U32" s="374"/>
      <c r="V32" s="374"/>
    </row>
    <row r="33" spans="1:22">
      <c r="A33" s="374"/>
      <c r="B33" s="374"/>
      <c r="C33" s="374"/>
      <c r="D33" s="374"/>
      <c r="E33" s="374"/>
      <c r="F33" s="374"/>
      <c r="G33" s="374"/>
      <c r="H33" s="374"/>
      <c r="I33" s="374"/>
      <c r="J33" s="374"/>
      <c r="K33" s="374"/>
      <c r="L33" s="374"/>
      <c r="M33" s="374"/>
      <c r="N33" s="374"/>
      <c r="O33" s="374"/>
      <c r="P33" s="374"/>
      <c r="Q33" s="374"/>
      <c r="R33" s="374"/>
      <c r="S33" s="374"/>
      <c r="T33" s="374"/>
      <c r="U33" s="374"/>
      <c r="V33" s="374"/>
    </row>
    <row r="34" spans="1:22">
      <c r="A34" s="374"/>
      <c r="B34" s="374"/>
      <c r="C34" s="374"/>
      <c r="D34" s="374"/>
      <c r="E34" s="374"/>
      <c r="F34" s="374"/>
      <c r="G34" s="374"/>
      <c r="H34" s="374"/>
      <c r="I34" s="374"/>
      <c r="J34" s="374"/>
      <c r="K34" s="374"/>
      <c r="L34" s="374"/>
      <c r="M34" s="374"/>
      <c r="N34" s="374"/>
      <c r="O34" s="374"/>
      <c r="P34" s="374"/>
      <c r="Q34" s="374"/>
      <c r="R34" s="374"/>
      <c r="S34" s="374"/>
      <c r="T34" s="374"/>
      <c r="U34" s="374"/>
      <c r="V34" s="374"/>
    </row>
    <row r="35" spans="1:22">
      <c r="A35" s="374"/>
      <c r="B35" s="374"/>
      <c r="C35" s="374"/>
      <c r="D35" s="374"/>
      <c r="E35" s="374"/>
      <c r="F35" s="374"/>
      <c r="G35" s="374"/>
      <c r="H35" s="374"/>
      <c r="I35" s="374"/>
      <c r="J35" s="374"/>
      <c r="K35" s="374"/>
      <c r="L35" s="374"/>
      <c r="M35" s="374"/>
      <c r="N35" s="374"/>
      <c r="O35" s="374"/>
      <c r="P35" s="374"/>
      <c r="Q35" s="374"/>
      <c r="R35" s="374"/>
      <c r="S35" s="374"/>
      <c r="T35" s="374"/>
      <c r="U35" s="374"/>
      <c r="V35" s="37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2.ΚΛΑΔΟΙ-ΚΕΦΑΛΑΙΟΠΟΙΗΣΗ</vt:lpstr>
      <vt:lpstr>2.ΤΙΜΕΣ ΚΛΕΙΣΙΜΑΤΟΣ</vt:lpstr>
      <vt:lpstr>2.ΑΠΟΔΟΣΕΙΣ</vt:lpstr>
      <vt:lpstr>2.ΣΥΣΧΕΤΙΣΗ</vt:lpstr>
      <vt:lpstr>3.ΕΙΣΑΓΩΓΗ</vt:lpstr>
      <vt:lpstr>3.ΚΕΦΑΛΑΙΟΠΟΙΗΣΗ</vt:lpstr>
      <vt:lpstr>3.BETA</vt:lpstr>
      <vt:lpstr>3.ΠΑΛΙΝΔΡΟΜΗΣΕΙΣ</vt:lpstr>
      <vt:lpstr>3.ΡΕΥΣΤΟΤΗΤΑ</vt:lpstr>
      <vt:lpstr>3.ΤΥΠΙΚΗ ΑΠΟΚΛΙΣΗ</vt:lpstr>
      <vt:lpstr>3.ΔΕΙΚΤΗΣ ΡΕΥΣΤΟΤΗΤΑΣ</vt:lpstr>
      <vt:lpstr>3.ΔΕΙΚΤΗΣ ΚΕΦΑΛΑΙΑΚΗΣ ΔΙΑΡΘ.</vt:lpstr>
      <vt:lpstr>3.SCORING</vt:lpstr>
      <vt:lpstr>4.ΣΥΝΘΕΣΗ ΧΑΡΤΟΦΥΛΑΚΙΟΥ</vt:lpstr>
      <vt:lpstr>4.ΤΕΛΙΚΗ ΣΥΝΘΕΣΗ ΧΑΡΤΟΦΥΛΑΚΙΟΥ</vt:lpstr>
      <vt:lpstr>5.ΤΙΜΕΣ</vt:lpstr>
      <vt:lpstr>5.ΠΑΡΑΚΟΛΟΥΘΗΣΗ</vt:lpstr>
      <vt:lpstr>5.ΣΥΝΑΛΛΑΓΕΣ</vt:lpstr>
      <vt:lpstr>6.ΑΠΟΤΕΛΕΣΜΑΤΑ</vt:lpstr>
      <vt:lpstr>'2.ΤΙΜΕΣ ΚΛΕΙΣΙΜΑΤΟΣ'!Extract</vt:lpstr>
      <vt:lpstr>'3.ΕΙΣΑΓΩΓΗ'!Extract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Βασιλική Δημητρού</dc:creator>
  <cp:lastModifiedBy>Microsoft Office User</cp:lastModifiedBy>
  <dcterms:created xsi:type="dcterms:W3CDTF">2020-04-06T18:04:35Z</dcterms:created>
  <dcterms:modified xsi:type="dcterms:W3CDTF">2021-04-05T07:38:39Z</dcterms:modified>
</cp:coreProperties>
</file>