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Nikos\Desktop\courses\Management Accounting_ISFM\2024-2025\"/>
    </mc:Choice>
  </mc:AlternateContent>
  <xr:revisionPtr revIDLastSave="0" documentId="13_ncr:1_{31F71C4A-D73F-460B-AB57-9D6C0B160AF1}" xr6:coauthVersionLast="47" xr6:coauthVersionMax="47" xr10:uidLastSave="{00000000-0000-0000-0000-000000000000}"/>
  <bookViews>
    <workbookView xWindow="-108" yWindow="-108" windowWidth="23256" windowHeight="12456" activeTab="12" xr2:uid="{9E70196F-B77E-4041-8DF8-02C9EA34239E}"/>
  </bookViews>
  <sheets>
    <sheet name="Ex1" sheetId="2" r:id="rId1"/>
    <sheet name="Ex2" sheetId="3" r:id="rId2"/>
    <sheet name="Ex3" sheetId="4" r:id="rId3"/>
    <sheet name="Ex4a" sheetId="5" r:id="rId4"/>
    <sheet name="Ex4b" sheetId="6" r:id="rId5"/>
    <sheet name="Ex5" sheetId="7" r:id="rId6"/>
    <sheet name="Ex6" sheetId="8" r:id="rId7"/>
    <sheet name="Ex7" sheetId="9" r:id="rId8"/>
    <sheet name="Ex8" sheetId="10" r:id="rId9"/>
    <sheet name="Ex9" sheetId="11" r:id="rId10"/>
    <sheet name="Ex10" sheetId="12" r:id="rId11"/>
    <sheet name="Ex11" sheetId="13" r:id="rId12"/>
    <sheet name="Ex13" sheetId="1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4" l="1"/>
  <c r="J29" i="14"/>
  <c r="H28" i="14"/>
  <c r="J27" i="14"/>
  <c r="H26" i="14"/>
  <c r="J25" i="14"/>
  <c r="J24" i="14"/>
  <c r="H24" i="14"/>
  <c r="H23" i="14"/>
  <c r="J21" i="14"/>
  <c r="H20" i="14"/>
  <c r="H21" i="14" s="1"/>
  <c r="J19" i="14"/>
  <c r="J20" i="14" s="1"/>
  <c r="H17" i="14"/>
  <c r="J14" i="14"/>
  <c r="J11" i="14"/>
  <c r="J9" i="14"/>
  <c r="J7" i="14"/>
  <c r="H7" i="14"/>
  <c r="J6" i="14"/>
  <c r="J8" i="14" s="1"/>
  <c r="J3" i="14"/>
  <c r="H3" i="14"/>
  <c r="H6" i="14" s="1"/>
  <c r="I11" i="13"/>
  <c r="I10" i="13"/>
  <c r="I9" i="13"/>
  <c r="H5" i="13"/>
  <c r="J5" i="13" s="1"/>
  <c r="H4" i="13"/>
  <c r="H10" i="13" s="1"/>
  <c r="J10" i="13" s="1"/>
  <c r="H3" i="13"/>
  <c r="H9" i="13" s="1"/>
  <c r="J11" i="12"/>
  <c r="H2" i="12"/>
  <c r="H5" i="12" s="1"/>
  <c r="H3" i="12"/>
  <c r="H4" i="12" s="1"/>
  <c r="H13" i="12" s="1"/>
  <c r="I10" i="12"/>
  <c r="J10" i="12" s="1"/>
  <c r="H12" i="12"/>
  <c r="H6" i="11"/>
  <c r="H8" i="11"/>
  <c r="H9" i="11"/>
  <c r="H10" i="11"/>
  <c r="H11" i="11"/>
  <c r="H15" i="11"/>
  <c r="H16" i="11"/>
  <c r="E3" i="10"/>
  <c r="F3" i="10"/>
  <c r="G3" i="10" s="1"/>
  <c r="E4" i="10"/>
  <c r="F4" i="10"/>
  <c r="G4" i="10" s="1"/>
  <c r="F5" i="10"/>
  <c r="G5" i="10" s="1"/>
  <c r="F6" i="10"/>
  <c r="F11" i="10"/>
  <c r="H11" i="10" s="1"/>
  <c r="G11" i="10"/>
  <c r="H13" i="10"/>
  <c r="F14" i="10"/>
  <c r="H16" i="10"/>
  <c r="H17" i="10"/>
  <c r="F20" i="10"/>
  <c r="G20" i="10"/>
  <c r="J4" i="9"/>
  <c r="L4" i="9"/>
  <c r="N4" i="9"/>
  <c r="H5" i="9"/>
  <c r="L5" i="9" s="1"/>
  <c r="I5" i="9"/>
  <c r="J5" i="9" s="1"/>
  <c r="G6" i="9"/>
  <c r="J6" i="9" s="1"/>
  <c r="G8" i="9"/>
  <c r="J8" i="9" s="1"/>
  <c r="H8" i="9"/>
  <c r="G9" i="9"/>
  <c r="J9" i="9" s="1"/>
  <c r="H9" i="9"/>
  <c r="N9" i="9" s="1"/>
  <c r="G10" i="9"/>
  <c r="J10" i="9" s="1"/>
  <c r="H10" i="9"/>
  <c r="I11" i="9"/>
  <c r="G15" i="9"/>
  <c r="G16" i="9"/>
  <c r="F19" i="9"/>
  <c r="G21" i="9"/>
  <c r="I96" i="8"/>
  <c r="I88" i="8"/>
  <c r="I67" i="8"/>
  <c r="I69" i="8" s="1"/>
  <c r="I71" i="8" s="1"/>
  <c r="H67" i="8"/>
  <c r="I51" i="8"/>
  <c r="I46" i="8"/>
  <c r="I45" i="8"/>
  <c r="H36" i="8"/>
  <c r="H30" i="8"/>
  <c r="H16" i="8"/>
  <c r="I12" i="8"/>
  <c r="I11" i="8"/>
  <c r="H11" i="8"/>
  <c r="I4" i="8"/>
  <c r="I91" i="8" s="1"/>
  <c r="D13" i="7"/>
  <c r="E13" i="7" s="1"/>
  <c r="D12" i="7"/>
  <c r="E12" i="7" s="1"/>
  <c r="D11" i="7"/>
  <c r="E11" i="7" s="1"/>
  <c r="G35" i="6"/>
  <c r="B35" i="6"/>
  <c r="G34" i="6"/>
  <c r="B34" i="6"/>
  <c r="G33" i="6"/>
  <c r="B33" i="6"/>
  <c r="G32" i="6"/>
  <c r="B32" i="6"/>
  <c r="G31" i="6"/>
  <c r="B31" i="6"/>
  <c r="G30" i="6"/>
  <c r="B30" i="6"/>
  <c r="G29" i="6"/>
  <c r="B29" i="6"/>
  <c r="G28" i="6"/>
  <c r="B28" i="6"/>
  <c r="G27" i="6"/>
  <c r="B27" i="6"/>
  <c r="G26" i="6"/>
  <c r="B26" i="6"/>
  <c r="G25" i="6"/>
  <c r="B25" i="6"/>
  <c r="G24" i="6"/>
  <c r="B24" i="6"/>
  <c r="G23" i="6"/>
  <c r="B23" i="6"/>
  <c r="G22" i="6"/>
  <c r="B22" i="6"/>
  <c r="G21" i="6"/>
  <c r="B21" i="6"/>
  <c r="G20" i="6"/>
  <c r="B20" i="6"/>
  <c r="G19" i="6"/>
  <c r="B19" i="6"/>
  <c r="G18" i="6"/>
  <c r="B18" i="6"/>
  <c r="G17" i="6"/>
  <c r="B17" i="6"/>
  <c r="G16" i="6"/>
  <c r="B16" i="6"/>
  <c r="G15" i="6"/>
  <c r="B15" i="6"/>
  <c r="L14" i="6"/>
  <c r="K14" i="6"/>
  <c r="G14" i="6"/>
  <c r="B14" i="6"/>
  <c r="G13" i="6"/>
  <c r="B13" i="6"/>
  <c r="G12" i="6"/>
  <c r="B12" i="6"/>
  <c r="G11" i="6"/>
  <c r="B11" i="6"/>
  <c r="G10" i="6"/>
  <c r="B10" i="6"/>
  <c r="G9" i="6"/>
  <c r="B9" i="6"/>
  <c r="G8" i="6"/>
  <c r="B8" i="6"/>
  <c r="G7" i="6"/>
  <c r="B7" i="6"/>
  <c r="G6" i="6"/>
  <c r="B6" i="6"/>
  <c r="G5" i="6"/>
  <c r="B5" i="6"/>
  <c r="C4" i="6"/>
  <c r="K2" i="6"/>
  <c r="F35" i="5"/>
  <c r="B35" i="5"/>
  <c r="C35" i="5" s="1"/>
  <c r="D35" i="5" s="1"/>
  <c r="G35" i="5" s="1"/>
  <c r="F34" i="5"/>
  <c r="B34" i="5"/>
  <c r="C34" i="5" s="1"/>
  <c r="D34" i="5" s="1"/>
  <c r="G34" i="5" s="1"/>
  <c r="F33" i="5"/>
  <c r="B33" i="5"/>
  <c r="C33" i="5" s="1"/>
  <c r="D33" i="5" s="1"/>
  <c r="G33" i="5" s="1"/>
  <c r="F32" i="5"/>
  <c r="B32" i="5"/>
  <c r="C32" i="5" s="1"/>
  <c r="D32" i="5" s="1"/>
  <c r="G32" i="5" s="1"/>
  <c r="F31" i="5"/>
  <c r="B31" i="5"/>
  <c r="C31" i="5" s="1"/>
  <c r="D31" i="5" s="1"/>
  <c r="G31" i="5" s="1"/>
  <c r="F30" i="5"/>
  <c r="B30" i="5"/>
  <c r="C30" i="5" s="1"/>
  <c r="D30" i="5" s="1"/>
  <c r="G30" i="5" s="1"/>
  <c r="F29" i="5"/>
  <c r="B29" i="5"/>
  <c r="C29" i="5" s="1"/>
  <c r="D29" i="5" s="1"/>
  <c r="G29" i="5" s="1"/>
  <c r="F28" i="5"/>
  <c r="B28" i="5"/>
  <c r="C28" i="5" s="1"/>
  <c r="D28" i="5" s="1"/>
  <c r="G28" i="5" s="1"/>
  <c r="F27" i="5"/>
  <c r="B27" i="5"/>
  <c r="C27" i="5" s="1"/>
  <c r="D27" i="5" s="1"/>
  <c r="G27" i="5" s="1"/>
  <c r="F26" i="5"/>
  <c r="B26" i="5"/>
  <c r="C26" i="5" s="1"/>
  <c r="D26" i="5" s="1"/>
  <c r="G26" i="5" s="1"/>
  <c r="F25" i="5"/>
  <c r="B25" i="5"/>
  <c r="C25" i="5" s="1"/>
  <c r="D25" i="5" s="1"/>
  <c r="G25" i="5" s="1"/>
  <c r="F24" i="5"/>
  <c r="B24" i="5"/>
  <c r="C24" i="5" s="1"/>
  <c r="D24" i="5" s="1"/>
  <c r="G24" i="5" s="1"/>
  <c r="F23" i="5"/>
  <c r="B23" i="5"/>
  <c r="C23" i="5" s="1"/>
  <c r="D23" i="5" s="1"/>
  <c r="G23" i="5" s="1"/>
  <c r="F22" i="5"/>
  <c r="B22" i="5"/>
  <c r="C22" i="5" s="1"/>
  <c r="D22" i="5" s="1"/>
  <c r="G22" i="5" s="1"/>
  <c r="F21" i="5"/>
  <c r="B21" i="5"/>
  <c r="C21" i="5" s="1"/>
  <c r="D21" i="5" s="1"/>
  <c r="G21" i="5" s="1"/>
  <c r="F20" i="5"/>
  <c r="B20" i="5"/>
  <c r="C20" i="5" s="1"/>
  <c r="D20" i="5" s="1"/>
  <c r="G20" i="5" s="1"/>
  <c r="F19" i="5"/>
  <c r="B19" i="5"/>
  <c r="C19" i="5" s="1"/>
  <c r="D19" i="5" s="1"/>
  <c r="G19" i="5" s="1"/>
  <c r="F18" i="5"/>
  <c r="B18" i="5"/>
  <c r="C18" i="5" s="1"/>
  <c r="D18" i="5" s="1"/>
  <c r="G18" i="5" s="1"/>
  <c r="F17" i="5"/>
  <c r="B17" i="5"/>
  <c r="C17" i="5" s="1"/>
  <c r="D17" i="5" s="1"/>
  <c r="G17" i="5" s="1"/>
  <c r="K16" i="5"/>
  <c r="J16" i="5"/>
  <c r="F16" i="5"/>
  <c r="B16" i="5"/>
  <c r="C16" i="5" s="1"/>
  <c r="D16" i="5" s="1"/>
  <c r="G16" i="5" s="1"/>
  <c r="F15" i="5"/>
  <c r="B15" i="5"/>
  <c r="C15" i="5" s="1"/>
  <c r="D15" i="5" s="1"/>
  <c r="G15" i="5" s="1"/>
  <c r="F14" i="5"/>
  <c r="B14" i="5"/>
  <c r="C14" i="5" s="1"/>
  <c r="D14" i="5" s="1"/>
  <c r="G14" i="5" s="1"/>
  <c r="F13" i="5"/>
  <c r="B13" i="5"/>
  <c r="C13" i="5" s="1"/>
  <c r="D13" i="5" s="1"/>
  <c r="G13" i="5" s="1"/>
  <c r="F12" i="5"/>
  <c r="B12" i="5"/>
  <c r="C12" i="5" s="1"/>
  <c r="D12" i="5" s="1"/>
  <c r="G12" i="5" s="1"/>
  <c r="F11" i="5"/>
  <c r="B11" i="5"/>
  <c r="C11" i="5" s="1"/>
  <c r="D11" i="5" s="1"/>
  <c r="G11" i="5" s="1"/>
  <c r="F10" i="5"/>
  <c r="B10" i="5"/>
  <c r="C10" i="5" s="1"/>
  <c r="D10" i="5" s="1"/>
  <c r="G10" i="5" s="1"/>
  <c r="F9" i="5"/>
  <c r="B9" i="5"/>
  <c r="C9" i="5" s="1"/>
  <c r="D9" i="5" s="1"/>
  <c r="G9" i="5" s="1"/>
  <c r="K8" i="5"/>
  <c r="F8" i="5"/>
  <c r="B8" i="5"/>
  <c r="C8" i="5" s="1"/>
  <c r="D8" i="5" s="1"/>
  <c r="G8" i="5" s="1"/>
  <c r="F7" i="5"/>
  <c r="B7" i="5"/>
  <c r="C7" i="5" s="1"/>
  <c r="D7" i="5" s="1"/>
  <c r="G7" i="5" s="1"/>
  <c r="F6" i="5"/>
  <c r="B6" i="5"/>
  <c r="C6" i="5" s="1"/>
  <c r="D6" i="5" s="1"/>
  <c r="G6" i="5" s="1"/>
  <c r="F5" i="5"/>
  <c r="B5" i="5"/>
  <c r="C5" i="5" s="1"/>
  <c r="D5" i="5" s="1"/>
  <c r="G5" i="5" s="1"/>
  <c r="F4" i="5"/>
  <c r="C4" i="5"/>
  <c r="D4" i="5" s="1"/>
  <c r="G4" i="5" s="1"/>
  <c r="M27" i="4"/>
  <c r="D19" i="4"/>
  <c r="D20" i="4" s="1"/>
  <c r="C19" i="4"/>
  <c r="C20" i="4" s="1"/>
  <c r="G18" i="4"/>
  <c r="F18" i="4"/>
  <c r="E18" i="4"/>
  <c r="G17" i="4"/>
  <c r="F17" i="4"/>
  <c r="E17" i="4"/>
  <c r="G16" i="4"/>
  <c r="F16" i="4"/>
  <c r="E16" i="4"/>
  <c r="G15" i="4"/>
  <c r="F15" i="4"/>
  <c r="E15" i="4"/>
  <c r="G14" i="4"/>
  <c r="F14" i="4"/>
  <c r="E14" i="4"/>
  <c r="G13" i="4"/>
  <c r="F13" i="4"/>
  <c r="E13" i="4"/>
  <c r="G12" i="4"/>
  <c r="F12" i="4"/>
  <c r="E12" i="4"/>
  <c r="N10" i="4"/>
  <c r="N11" i="4" s="1"/>
  <c r="N24" i="4" s="1"/>
  <c r="H17" i="11" l="1"/>
  <c r="K8" i="11" s="1"/>
  <c r="K10" i="11" s="1"/>
  <c r="H14" i="12"/>
  <c r="J10" i="14"/>
  <c r="L10" i="9"/>
  <c r="J9" i="13"/>
  <c r="J26" i="14"/>
  <c r="J28" i="14" s="1"/>
  <c r="J30" i="14" s="1"/>
  <c r="N5" i="9"/>
  <c r="J22" i="14"/>
  <c r="J31" i="14" s="1"/>
  <c r="I12" i="13"/>
  <c r="H11" i="13"/>
  <c r="J11" i="13" s="1"/>
  <c r="H25" i="14"/>
  <c r="H27" i="14" s="1"/>
  <c r="H29" i="14" s="1"/>
  <c r="H30" i="14" s="1"/>
  <c r="J12" i="14"/>
  <c r="J13" i="14" s="1"/>
  <c r="H9" i="14"/>
  <c r="H11" i="14" s="1"/>
  <c r="J3" i="13"/>
  <c r="J4" i="13"/>
  <c r="H6" i="13"/>
  <c r="I12" i="12"/>
  <c r="J12" i="12" s="1"/>
  <c r="I14" i="8"/>
  <c r="I16" i="8" s="1"/>
  <c r="I18" i="8" s="1"/>
  <c r="I56" i="8" s="1"/>
  <c r="H12" i="11"/>
  <c r="K6" i="11" s="1"/>
  <c r="K7" i="11" s="1"/>
  <c r="K11" i="11" s="1"/>
  <c r="K12" i="11" s="1"/>
  <c r="L8" i="9"/>
  <c r="C5" i="6"/>
  <c r="C6" i="6" s="1"/>
  <c r="P4" i="9"/>
  <c r="I7" i="8"/>
  <c r="I8" i="8" s="1"/>
  <c r="I74" i="8" s="1"/>
  <c r="P5" i="9"/>
  <c r="F13" i="7"/>
  <c r="G13" i="7" s="1"/>
  <c r="H13" i="7" s="1"/>
  <c r="G17" i="9"/>
  <c r="G18" i="9" s="1"/>
  <c r="E19" i="4"/>
  <c r="F19" i="4"/>
  <c r="J13" i="12"/>
  <c r="G19" i="4"/>
  <c r="H12" i="10"/>
  <c r="H14" i="10" s="1"/>
  <c r="H18" i="10" s="1"/>
  <c r="G21" i="10" s="1"/>
  <c r="G8" i="10"/>
  <c r="G22" i="10" s="1"/>
  <c r="I12" i="9"/>
  <c r="H6" i="9"/>
  <c r="N10" i="9"/>
  <c r="L9" i="9"/>
  <c r="P9" i="9" s="1"/>
  <c r="F8" i="10"/>
  <c r="N8" i="9"/>
  <c r="H11" i="9"/>
  <c r="G11" i="9"/>
  <c r="G12" i="9" s="1"/>
  <c r="G19" i="9" s="1"/>
  <c r="F12" i="7"/>
  <c r="G12" i="7" s="1"/>
  <c r="I94" i="8"/>
  <c r="I79" i="8"/>
  <c r="J14" i="4"/>
  <c r="J16" i="4"/>
  <c r="J13" i="4"/>
  <c r="J15" i="4"/>
  <c r="J18" i="4"/>
  <c r="J12" i="4"/>
  <c r="J17" i="4"/>
  <c r="I9" i="8"/>
  <c r="D4" i="6"/>
  <c r="H11" i="7"/>
  <c r="P10" i="9" l="1"/>
  <c r="D5" i="6"/>
  <c r="I14" i="12"/>
  <c r="J14" i="12" s="1"/>
  <c r="P8" i="9"/>
  <c r="H13" i="11"/>
  <c r="H18" i="11" s="1"/>
  <c r="H21" i="11" s="1"/>
  <c r="H22" i="11" s="1"/>
  <c r="I30" i="8"/>
  <c r="I32" i="8" s="1"/>
  <c r="I36" i="8" s="1"/>
  <c r="I41" i="8" s="1"/>
  <c r="J6" i="13"/>
  <c r="H12" i="13"/>
  <c r="J12" i="13" s="1"/>
  <c r="I21" i="8"/>
  <c r="I23" i="8" s="1"/>
  <c r="I28" i="8" s="1"/>
  <c r="N16" i="4"/>
  <c r="N17" i="4" s="1"/>
  <c r="H12" i="4" s="1"/>
  <c r="I34" i="8"/>
  <c r="I77" i="8" s="1"/>
  <c r="G20" i="9"/>
  <c r="G22" i="9" s="1"/>
  <c r="J12" i="9"/>
  <c r="F12" i="10"/>
  <c r="F13" i="10" s="1"/>
  <c r="F15" i="10" s="1"/>
  <c r="F21" i="10" s="1"/>
  <c r="H21" i="10" s="1"/>
  <c r="F22" i="10"/>
  <c r="H22" i="10" s="1"/>
  <c r="N6" i="9"/>
  <c r="H12" i="9"/>
  <c r="L12" i="9" s="1"/>
  <c r="L6" i="9"/>
  <c r="L11" i="9"/>
  <c r="J11" i="9"/>
  <c r="N11" i="9"/>
  <c r="D6" i="6"/>
  <c r="F6" i="6" s="1"/>
  <c r="C7" i="6"/>
  <c r="H12" i="7"/>
  <c r="F5" i="6"/>
  <c r="J19" i="4"/>
  <c r="I26" i="8" l="1"/>
  <c r="I27" i="8" s="1"/>
  <c r="I76" i="8" s="1"/>
  <c r="I57" i="8"/>
  <c r="H15" i="4"/>
  <c r="I15" i="4" s="1"/>
  <c r="H13" i="4"/>
  <c r="I13" i="4" s="1"/>
  <c r="H14" i="4"/>
  <c r="I14" i="4" s="1"/>
  <c r="I38" i="8"/>
  <c r="I40" i="8" s="1"/>
  <c r="H18" i="4"/>
  <c r="I18" i="4" s="1"/>
  <c r="H16" i="4"/>
  <c r="I16" i="4" s="1"/>
  <c r="N27" i="4"/>
  <c r="H17" i="4"/>
  <c r="I17" i="4" s="1"/>
  <c r="P6" i="9"/>
  <c r="P11" i="9"/>
  <c r="N12" i="9"/>
  <c r="P12" i="9" s="1"/>
  <c r="I42" i="8"/>
  <c r="I47" i="8" s="1"/>
  <c r="I48" i="8" s="1"/>
  <c r="I50" i="8" s="1"/>
  <c r="I64" i="8" s="1"/>
  <c r="I78" i="8"/>
  <c r="I82" i="8" s="1"/>
  <c r="I83" i="8" s="1"/>
  <c r="I89" i="8" s="1"/>
  <c r="I58" i="8"/>
  <c r="I60" i="8" s="1"/>
  <c r="I63" i="8" s="1"/>
  <c r="D7" i="6"/>
  <c r="F7" i="6" s="1"/>
  <c r="C8" i="6"/>
  <c r="I12" i="4"/>
  <c r="H19" i="4" l="1"/>
  <c r="I65" i="8"/>
  <c r="I92" i="8" s="1"/>
  <c r="I93" i="8" s="1"/>
  <c r="I95" i="8" s="1"/>
  <c r="I97" i="8" s="1"/>
  <c r="I19" i="4"/>
  <c r="N20" i="4" s="1"/>
  <c r="D8" i="6"/>
  <c r="F8" i="6" s="1"/>
  <c r="C9" i="6"/>
  <c r="D9" i="6" l="1"/>
  <c r="F9" i="6" s="1"/>
  <c r="C10" i="6"/>
  <c r="C11" i="6" l="1"/>
  <c r="D10" i="6"/>
  <c r="F10" i="6" s="1"/>
  <c r="C12" i="6" l="1"/>
  <c r="D11" i="6"/>
  <c r="F11" i="6" s="1"/>
  <c r="C13" i="6" l="1"/>
  <c r="D12" i="6"/>
  <c r="F12" i="6" s="1"/>
  <c r="C14" i="6" l="1"/>
  <c r="D13" i="6"/>
  <c r="F13" i="6" s="1"/>
  <c r="D14" i="6" l="1"/>
  <c r="F14" i="6" s="1"/>
  <c r="C15" i="6"/>
  <c r="C16" i="6" l="1"/>
  <c r="D15" i="6"/>
  <c r="F15" i="6" s="1"/>
  <c r="C17" i="6" l="1"/>
  <c r="D16" i="6"/>
  <c r="F16" i="6" s="1"/>
  <c r="C18" i="6" l="1"/>
  <c r="D17" i="6"/>
  <c r="F17" i="6" s="1"/>
  <c r="C19" i="6" l="1"/>
  <c r="D18" i="6"/>
  <c r="F18" i="6" s="1"/>
  <c r="D19" i="6" l="1"/>
  <c r="F19" i="6" s="1"/>
  <c r="C20" i="6"/>
  <c r="C21" i="6" l="1"/>
  <c r="D20" i="6"/>
  <c r="F20" i="6" s="1"/>
  <c r="D21" i="6" l="1"/>
  <c r="F21" i="6" s="1"/>
  <c r="C22" i="6"/>
  <c r="D22" i="6" l="1"/>
  <c r="F22" i="6" s="1"/>
  <c r="C23" i="6"/>
  <c r="C24" i="6" l="1"/>
  <c r="D23" i="6"/>
  <c r="F23" i="6" s="1"/>
  <c r="D24" i="6" l="1"/>
  <c r="F24" i="6" s="1"/>
  <c r="C25" i="6"/>
  <c r="C26" i="6" l="1"/>
  <c r="D25" i="6"/>
  <c r="F25" i="6" s="1"/>
  <c r="D26" i="6" l="1"/>
  <c r="F26" i="6" s="1"/>
  <c r="C27" i="6"/>
  <c r="D27" i="6" l="1"/>
  <c r="F27" i="6" s="1"/>
  <c r="C28" i="6"/>
  <c r="C29" i="6" l="1"/>
  <c r="D28" i="6"/>
  <c r="F28" i="6" s="1"/>
  <c r="D29" i="6" l="1"/>
  <c r="F29" i="6" s="1"/>
  <c r="C30" i="6"/>
  <c r="D30" i="6" l="1"/>
  <c r="F30" i="6" s="1"/>
  <c r="C31" i="6"/>
  <c r="C32" i="6" l="1"/>
  <c r="D31" i="6"/>
  <c r="F31" i="6" s="1"/>
  <c r="C33" i="6" l="1"/>
  <c r="D32" i="6"/>
  <c r="F32" i="6" s="1"/>
  <c r="C34" i="6" l="1"/>
  <c r="D33" i="6"/>
  <c r="F33" i="6" s="1"/>
  <c r="C35" i="6" l="1"/>
  <c r="D35" i="6" s="1"/>
  <c r="D34" i="6"/>
  <c r="F34" i="6" s="1"/>
  <c r="F35" i="6" l="1"/>
  <c r="G39" i="3" l="1"/>
  <c r="F39" i="3"/>
  <c r="G37" i="3"/>
  <c r="F37" i="3"/>
  <c r="G35" i="3"/>
  <c r="F35" i="3"/>
  <c r="G34" i="3"/>
  <c r="F34" i="3"/>
  <c r="F32" i="3"/>
  <c r="G31" i="3"/>
  <c r="F31" i="3"/>
  <c r="G27" i="3"/>
  <c r="F27" i="3"/>
  <c r="F26" i="3"/>
  <c r="G25" i="3"/>
  <c r="F25" i="3"/>
  <c r="I21" i="3"/>
  <c r="F21" i="3"/>
  <c r="G20" i="3"/>
  <c r="F20" i="3"/>
  <c r="G19" i="3"/>
  <c r="F19" i="3"/>
  <c r="G18" i="3"/>
  <c r="F18" i="3"/>
  <c r="G17" i="3"/>
  <c r="F17" i="3"/>
  <c r="G16" i="3"/>
  <c r="F16" i="3"/>
  <c r="G15" i="3"/>
  <c r="F15" i="3"/>
  <c r="G14" i="3"/>
  <c r="F14" i="3"/>
  <c r="H12" i="3"/>
  <c r="F12" i="3"/>
  <c r="F11" i="3"/>
  <c r="F9" i="3"/>
  <c r="G6" i="3"/>
  <c r="H11" i="3" s="1"/>
  <c r="F5" i="3"/>
  <c r="F4" i="3"/>
  <c r="F3" i="3"/>
  <c r="J32" i="2"/>
  <c r="H32" i="2"/>
  <c r="J30" i="2"/>
  <c r="H30" i="2"/>
  <c r="I28" i="2"/>
  <c r="H28" i="2"/>
  <c r="I27" i="2"/>
  <c r="J28" i="2" s="1"/>
  <c r="H27" i="2"/>
  <c r="J20" i="2"/>
  <c r="H20" i="2"/>
  <c r="J19" i="2"/>
  <c r="H19" i="2"/>
  <c r="I14" i="2"/>
  <c r="L14" i="2" s="1"/>
  <c r="H14" i="2"/>
  <c r="I13" i="2"/>
  <c r="J13" i="2" s="1"/>
  <c r="H13" i="2"/>
  <c r="I12" i="2"/>
  <c r="K12" i="2" s="1"/>
  <c r="H12" i="2"/>
  <c r="I11" i="2"/>
  <c r="L11" i="2" s="1"/>
  <c r="H11" i="2"/>
  <c r="I10" i="2"/>
  <c r="K10" i="2" s="1"/>
  <c r="H10" i="2"/>
  <c r="I9" i="2"/>
  <c r="K9" i="2" s="1"/>
  <c r="H9" i="2"/>
  <c r="I8" i="2"/>
  <c r="J8" i="2" s="1"/>
  <c r="H8" i="2"/>
  <c r="I7" i="2"/>
  <c r="J7" i="2" s="1"/>
  <c r="H7" i="2"/>
  <c r="I6" i="2"/>
  <c r="H6" i="2"/>
  <c r="I5" i="2"/>
  <c r="J5" i="2" s="1"/>
  <c r="H5" i="2"/>
  <c r="L13" i="2" l="1"/>
  <c r="K13" i="2"/>
  <c r="J9" i="2"/>
  <c r="I15" i="2"/>
  <c r="H20" i="3"/>
  <c r="I20" i="3" s="1"/>
  <c r="I22" i="3" s="1"/>
  <c r="G26" i="3" s="1"/>
  <c r="G28" i="3" s="1"/>
  <c r="G32" i="3" s="1"/>
  <c r="G33" i="3" s="1"/>
  <c r="G36" i="3" s="1"/>
  <c r="G38" i="3" s="1"/>
  <c r="G40" i="3" s="1"/>
  <c r="J14" i="2"/>
  <c r="K14" i="2"/>
  <c r="K15" i="2" s="1"/>
  <c r="I23" i="2" s="1"/>
  <c r="L9" i="2"/>
  <c r="L15" i="2" s="1"/>
  <c r="I24" i="2" s="1"/>
  <c r="J6" i="2"/>
  <c r="J15" i="2" s="1"/>
  <c r="J21" i="2" s="1"/>
  <c r="J22" i="2" s="1"/>
  <c r="J24" i="2" l="1"/>
  <c r="J25" i="2"/>
  <c r="J31" i="2" s="1"/>
  <c r="J33" i="2" s="1"/>
</calcChain>
</file>

<file path=xl/sharedStrings.xml><?xml version="1.0" encoding="utf-8"?>
<sst xmlns="http://schemas.openxmlformats.org/spreadsheetml/2006/main" count="701" uniqueCount="508">
  <si>
    <t xml:space="preserve">XYZ is a shipping firm. Its main activity is to ship goods with its own vessels and hiring out vessels to charter firms. On December 31st, 2020, it presents the following information: </t>
  </si>
  <si>
    <t>Solution</t>
  </si>
  <si>
    <t>Allocation table</t>
  </si>
  <si>
    <t>in 000s of  €</t>
  </si>
  <si>
    <t>Activity:</t>
  </si>
  <si>
    <t>Production</t>
  </si>
  <si>
    <t>Aministration</t>
  </si>
  <si>
    <t>Selling</t>
  </si>
  <si>
    <t>Revenues and gains</t>
  </si>
  <si>
    <t>Operating Cost</t>
  </si>
  <si>
    <t>Total</t>
  </si>
  <si>
    <t>Transportation revenues</t>
  </si>
  <si>
    <t>Charter revenues</t>
  </si>
  <si>
    <t>Interest revenue</t>
  </si>
  <si>
    <t>Expenses and losses</t>
  </si>
  <si>
    <t>Vessel repair expense</t>
  </si>
  <si>
    <t>Vessel depreciation</t>
  </si>
  <si>
    <t>Vessel fuel expense</t>
  </si>
  <si>
    <t>Crew salaries</t>
  </si>
  <si>
    <t>Insurance expense</t>
  </si>
  <si>
    <t>Salaries of administrative staff</t>
  </si>
  <si>
    <t>Salaries of selling staff</t>
  </si>
  <si>
    <t>Loss from sale of vessels</t>
  </si>
  <si>
    <t>Management fees</t>
  </si>
  <si>
    <t>ΧΥΖ, Maritime Firm</t>
  </si>
  <si>
    <t>Electricity expense</t>
  </si>
  <si>
    <t>Income Statement 1/1-31/12/2020</t>
  </si>
  <si>
    <t>Telecommunication expense</t>
  </si>
  <si>
    <t>Interest expense</t>
  </si>
  <si>
    <t>Tax expense</t>
  </si>
  <si>
    <t>Less:</t>
  </si>
  <si>
    <t>Cost of services provided</t>
  </si>
  <si>
    <t>Additional information</t>
  </si>
  <si>
    <t>Gross Profit</t>
  </si>
  <si>
    <t>Expenses that are direct to vessels are charged to the production activity exclusively. Salaries of administrative and selling staff are exclusively charged to the administration and selling activity, respectively. Management fees are exclusively charged to administration activity. Rest operating expenses are allocated to the three activities with the following rates: Production: 50%, Administration: 30%, Selling: 20%.</t>
  </si>
  <si>
    <t>Administrative expenses</t>
  </si>
  <si>
    <t>Selling expenses</t>
  </si>
  <si>
    <t>Operating income</t>
  </si>
  <si>
    <t>Plus/Less:</t>
  </si>
  <si>
    <t>Financial results</t>
  </si>
  <si>
    <t>Prepare an income statement with operating expenses classified in activities.</t>
  </si>
  <si>
    <t>Non-operating results</t>
  </si>
  <si>
    <t>Net income before taxes</t>
  </si>
  <si>
    <t>Net income</t>
  </si>
  <si>
    <r>
      <t xml:space="preserve">ABC is a manufacturing firm. At the end of the fiscal year 2022, it presents the following data (amounts in </t>
    </r>
    <r>
      <rPr>
        <i/>
        <sz val="11"/>
        <color theme="1"/>
        <rFont val="Times New Roman"/>
        <family val="1"/>
        <charset val="161"/>
      </rPr>
      <t>000€</t>
    </r>
    <r>
      <rPr>
        <sz val="11"/>
        <color theme="1"/>
        <rFont val="Times New Roman"/>
        <family val="1"/>
        <charset val="161"/>
      </rPr>
      <t>).</t>
    </r>
  </si>
  <si>
    <t>DIRECT MATERIALS</t>
  </si>
  <si>
    <t xml:space="preserve">Raw materials – Beginning Inventory: </t>
  </si>
  <si>
    <t xml:space="preserve">Raw materials – Purchases: </t>
  </si>
  <si>
    <t>Plus:</t>
  </si>
  <si>
    <t>Raw materials – Ending Inventory:</t>
  </si>
  <si>
    <t>Semi-finished goods (work-in-progress) – Beginning Inventory:</t>
  </si>
  <si>
    <t>Direct Materials</t>
  </si>
  <si>
    <t>Semi-finished goods (work-in-progress) – Ending Inventory:</t>
  </si>
  <si>
    <t>Finished goods – Beginning Inventory:</t>
  </si>
  <si>
    <t>WORK IN PROGRESS</t>
  </si>
  <si>
    <t>Finished goods – Ending Inventory:</t>
  </si>
  <si>
    <t>Direct labor for production:</t>
  </si>
  <si>
    <t>Production Cost</t>
  </si>
  <si>
    <t>Indirect labor for production:</t>
  </si>
  <si>
    <t>Indirect raw materials for production:</t>
  </si>
  <si>
    <t>Electricity for the production process:</t>
  </si>
  <si>
    <t>Manufacturing OH</t>
  </si>
  <si>
    <t>Administration expenses:</t>
  </si>
  <si>
    <t>Rent costs for the production department:</t>
  </si>
  <si>
    <t>Maintenance costs for production machines:</t>
  </si>
  <si>
    <t>Selling expenses:</t>
  </si>
  <si>
    <t>Depreciation for production machines:</t>
  </si>
  <si>
    <t>Fuel costs for production machines:</t>
  </si>
  <si>
    <t>Μείον:</t>
  </si>
  <si>
    <t>Sales revenue:</t>
  </si>
  <si>
    <t>Cost of Goods Produced</t>
  </si>
  <si>
    <r>
      <t>Required:</t>
    </r>
    <r>
      <rPr>
        <sz val="11"/>
        <color theme="1"/>
        <rFont val="Times New Roman"/>
        <family val="1"/>
        <charset val="161"/>
      </rPr>
      <t xml:space="preserve"> Calculate the gross profit and net income before taxes for ABC.</t>
    </r>
  </si>
  <si>
    <t>FINISHED PRODUCTS</t>
  </si>
  <si>
    <t>Πλέον:</t>
  </si>
  <si>
    <t>Cost of Goods Sold</t>
  </si>
  <si>
    <t>Income Statement 1/1-31/12/2022</t>
  </si>
  <si>
    <t>Operating Income</t>
  </si>
  <si>
    <t>Net Income Before Taxes</t>
  </si>
  <si>
    <t>Net Income</t>
  </si>
  <si>
    <t>You are provided with some data for ABC firm. The data refer to the electricity cost and the machine hours (MH) for January to July. ABC assumes that MH are the cost driver for the electricity cost.</t>
  </si>
  <si>
    <t>Required:</t>
  </si>
  <si>
    <r>
      <t>1.</t>
    </r>
    <r>
      <rPr>
        <sz val="7"/>
        <color theme="1"/>
        <rFont val="Times New Roman"/>
        <family val="1"/>
        <charset val="161"/>
      </rPr>
      <t xml:space="preserve">      </t>
    </r>
    <r>
      <rPr>
        <sz val="11"/>
        <color theme="1"/>
        <rFont val="Times New Roman"/>
        <family val="1"/>
        <charset val="161"/>
      </rPr>
      <t>Estimate the electricity cost function with the high-low method.</t>
    </r>
  </si>
  <si>
    <r>
      <t>2.</t>
    </r>
    <r>
      <rPr>
        <sz val="7"/>
        <color theme="1"/>
        <rFont val="Times New Roman"/>
        <family val="1"/>
        <charset val="161"/>
      </rPr>
      <t xml:space="preserve">      </t>
    </r>
    <r>
      <rPr>
        <sz val="11"/>
        <color theme="1"/>
        <rFont val="Times New Roman"/>
        <family val="1"/>
        <charset val="161"/>
      </rPr>
      <t>Estimate the electricity cost function with OLS regression.</t>
    </r>
  </si>
  <si>
    <r>
      <t>3.</t>
    </r>
    <r>
      <rPr>
        <sz val="7"/>
        <color theme="1"/>
        <rFont val="Times New Roman"/>
        <family val="1"/>
        <charset val="161"/>
      </rPr>
      <t xml:space="preserve">      </t>
    </r>
    <r>
      <rPr>
        <sz val="11"/>
        <color theme="1"/>
        <rFont val="Times New Roman"/>
        <family val="1"/>
        <charset val="161"/>
      </rPr>
      <t>The last 3 columns tabulate the residuals and their squares after the regression, and the variance of electricity cost. Calculate R</t>
    </r>
    <r>
      <rPr>
        <vertAlign val="superscript"/>
        <sz val="11"/>
        <color theme="1"/>
        <rFont val="Times New Roman"/>
        <family val="1"/>
        <charset val="161"/>
      </rPr>
      <t>2</t>
    </r>
    <r>
      <rPr>
        <sz val="11"/>
        <color theme="1"/>
        <rFont val="Times New Roman"/>
        <family val="1"/>
        <charset val="161"/>
      </rPr>
      <t>.</t>
    </r>
  </si>
  <si>
    <r>
      <t>4.</t>
    </r>
    <r>
      <rPr>
        <sz val="7"/>
        <color theme="1"/>
        <rFont val="Times New Roman"/>
        <family val="1"/>
        <charset val="161"/>
      </rPr>
      <t xml:space="preserve">      </t>
    </r>
    <r>
      <rPr>
        <sz val="11"/>
        <color theme="1"/>
        <rFont val="Times New Roman"/>
        <family val="1"/>
        <charset val="161"/>
      </rPr>
      <t xml:space="preserve">Suppose that the estimated activity for the next month is 90MH. What is the forecasted electricity cost with each method? What are potential caveats in these forecasts? </t>
    </r>
  </si>
  <si>
    <t>You are given that:</t>
  </si>
  <si>
    <t xml:space="preserve"> , </t>
  </si>
  <si>
    <t>Solution*</t>
  </si>
  <si>
    <t>Month</t>
  </si>
  <si>
    <t>Activity in MH (X)</t>
  </si>
  <si>
    <t>Electricity Cost (Υ)</t>
  </si>
  <si>
    <r>
      <t>Χ</t>
    </r>
    <r>
      <rPr>
        <b/>
        <vertAlign val="superscript"/>
        <sz val="11"/>
        <color rgb="FF000000"/>
        <rFont val="Times New Roman"/>
        <family val="1"/>
        <charset val="161"/>
      </rPr>
      <t>2</t>
    </r>
  </si>
  <si>
    <r>
      <t>Υ</t>
    </r>
    <r>
      <rPr>
        <b/>
        <vertAlign val="superscript"/>
        <sz val="11"/>
        <color rgb="FF000000"/>
        <rFont val="Times New Roman"/>
        <family val="1"/>
        <charset val="161"/>
      </rPr>
      <t>2</t>
    </r>
  </si>
  <si>
    <t>Χ*Υ</t>
  </si>
  <si>
    <t>e</t>
  </si>
  <si>
    <r>
      <t>e</t>
    </r>
    <r>
      <rPr>
        <b/>
        <vertAlign val="superscript"/>
        <sz val="11"/>
        <color rgb="FF000000"/>
        <rFont val="Times New Roman"/>
        <family val="1"/>
        <charset val="161"/>
      </rPr>
      <t>2</t>
    </r>
  </si>
  <si>
    <t>VarY</t>
  </si>
  <si>
    <t>1. High-Low method</t>
  </si>
  <si>
    <t>Variable  cost</t>
  </si>
  <si>
    <t>Fixed Cost</t>
  </si>
  <si>
    <t>January</t>
  </si>
  <si>
    <t>Υ = 34+0,8Χ</t>
  </si>
  <si>
    <t>February</t>
  </si>
  <si>
    <t>March</t>
  </si>
  <si>
    <t>2. OLS regression</t>
  </si>
  <si>
    <t>April</t>
  </si>
  <si>
    <t>May</t>
  </si>
  <si>
    <t>b</t>
  </si>
  <si>
    <t>June</t>
  </si>
  <si>
    <t>a</t>
  </si>
  <si>
    <t>July</t>
  </si>
  <si>
    <t>Y = 34,31+0,76X</t>
  </si>
  <si>
    <t>Mean (ΣΧ/n; ΣΥ/n)</t>
  </si>
  <si>
    <r>
      <t>3. R</t>
    </r>
    <r>
      <rPr>
        <b/>
        <vertAlign val="superscript"/>
        <sz val="11"/>
        <color theme="1"/>
        <rFont val="Times New Roman"/>
        <family val="1"/>
        <charset val="161"/>
      </rPr>
      <t>2</t>
    </r>
  </si>
  <si>
    <t>4. Forecasts</t>
  </si>
  <si>
    <t>High-Low method</t>
  </si>
  <si>
    <t>Forecasted cost:</t>
  </si>
  <si>
    <t>OLS Regression</t>
  </si>
  <si>
    <t>Caveats:</t>
  </si>
  <si>
    <t>In the High-low method we have considered only two observations that can be outliers. In the OLS, the model explains 89.64%. Moreover, the 90MH are beyond the sample range.</t>
  </si>
  <si>
    <t>*any discrepancies to my solution on the whiteboard in the class are due to roundings.</t>
  </si>
  <si>
    <t>Cumulative average-time learnings model</t>
  </si>
  <si>
    <t>Assume that cost per hour is 10euros</t>
  </si>
  <si>
    <t>ln(2) has been used because we assume that the learning effect takes full place when the output doubles.</t>
  </si>
  <si>
    <t>(1)</t>
  </si>
  <si>
    <t>(2) = pX^q</t>
  </si>
  <si>
    <t>(3) = (1)*(2)</t>
  </si>
  <si>
    <t>(4)=(3)*10</t>
  </si>
  <si>
    <t>Proof of the formula:</t>
  </si>
  <si>
    <t>Cumulative number of units (x)</t>
  </si>
  <si>
    <t>Cumulative average time per unit (z): DLH</t>
  </si>
  <si>
    <t>Cumulate total DLH</t>
  </si>
  <si>
    <t>Total Cost (y)=DLH*10</t>
  </si>
  <si>
    <t>ln(x)</t>
  </si>
  <si>
    <t>ln(y)</t>
  </si>
  <si>
    <t>Initial relationship:</t>
  </si>
  <si>
    <t>z=p*lr^log(X, base2)</t>
  </si>
  <si>
    <t>however, it holds that:</t>
  </si>
  <si>
    <t>z^log(x, base2) = x^log(y, base2)</t>
  </si>
  <si>
    <t>Therefore:</t>
  </si>
  <si>
    <t>z=p*X^log(lr,base2)</t>
  </si>
  <si>
    <t xml:space="preserve">and changing the base of the log </t>
  </si>
  <si>
    <t>=p*x^[ln(lr)/ln(2)]</t>
  </si>
  <si>
    <t>=p*x^q</t>
  </si>
  <si>
    <t>In our example, q=</t>
  </si>
  <si>
    <t xml:space="preserve">Estimation </t>
  </si>
  <si>
    <t>Initial equation:</t>
  </si>
  <si>
    <t>y=p*x^[ln(lr)/ln(2)]*x = p*x^[1+q]</t>
  </si>
  <si>
    <t>This is not linear, but we can convert it to linear by taking the logs and using the log properties:</t>
  </si>
  <si>
    <t>ln(y)=ln(cp)+(1+q)lnx = a +bX</t>
  </si>
  <si>
    <t>Therefore, exp(a) will equal to cp and b-1 will equal to q</t>
  </si>
  <si>
    <t>Verification from the summary output:</t>
  </si>
  <si>
    <t>It works!</t>
  </si>
  <si>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</si>
  <si>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</si>
  <si>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</si>
  <si>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</si>
  <si>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</si>
  <si>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</si>
  <si>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</si>
  <si>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</si>
  <si>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</si>
  <si>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</si>
  <si>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</si>
  <si>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</si>
  <si>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</si>
  <si>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</si>
  <si>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</si>
  <si>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Coefficients</t>
  </si>
  <si>
    <t>t Stat</t>
  </si>
  <si>
    <t>P-value</t>
  </si>
  <si>
    <t>Lower 95%</t>
  </si>
  <si>
    <t>Upper 95%</t>
  </si>
  <si>
    <t>Lower 095%</t>
  </si>
  <si>
    <t>Upper 095%</t>
  </si>
  <si>
    <t>Intercept</t>
  </si>
  <si>
    <t>X Variable 1</t>
  </si>
  <si>
    <t>Incremental unit-time learning model</t>
  </si>
  <si>
    <t>(2)=pX^q</t>
  </si>
  <si>
    <t>(3)=(2)+lag(2)</t>
  </si>
  <si>
    <t>(4)=10*(3)</t>
  </si>
  <si>
    <t>Individual time per unit DLH</t>
  </si>
  <si>
    <t>Total Cost (y): DLH*10</t>
  </si>
  <si>
    <t>ln(Δy)</t>
  </si>
  <si>
    <t>-</t>
  </si>
  <si>
    <t>Estimation</t>
  </si>
  <si>
    <t>In this model, we cannot use (4) as depdendent variable because it is based on lag values, e.g. DLH Cost for n units = (time for the 1st + time for the 2nd +...+ time for the nth)*cost per hour</t>
  </si>
  <si>
    <t>However, we can take the first difference of (4):</t>
  </si>
  <si>
    <t>Δy=cpX^q</t>
  </si>
  <si>
    <t>Then, we take the logs to covert it into a linear relationship:</t>
  </si>
  <si>
    <t>ln(Δy) = ln(cp) + qln(X) = a +bX</t>
  </si>
  <si>
    <t>Therefore, exp(a) will equal to cp and b will equal to q</t>
  </si>
  <si>
    <t>You study a cost that has a fixed component of €10,000 and a variable component of €5/unit. The current activity level is 2,200 units but the next two years (Year 2 and Year 3, respectively) the activity level changes as follows.</t>
  </si>
  <si>
    <t>Year</t>
  </si>
  <si>
    <t>Units</t>
  </si>
  <si>
    <t>1 (current year)</t>
  </si>
  <si>
    <t xml:space="preserve">The cost is considered as “sticky” by 20% (in changes – not log changes). </t>
  </si>
  <si>
    <r>
      <t>Required</t>
    </r>
    <r>
      <rPr>
        <sz val="11"/>
        <color theme="1"/>
        <rFont val="Times New Roman"/>
        <family val="1"/>
        <charset val="161"/>
      </rPr>
      <t>: Find the total forecasted cost for Year 2 and Year 3.</t>
    </r>
  </si>
  <si>
    <t>Period</t>
  </si>
  <si>
    <t>Variable Cost</t>
  </si>
  <si>
    <t>Estimated Total Cost</t>
  </si>
  <si>
    <t>Estimated Change without stickiness effect</t>
  </si>
  <si>
    <t>Stickiness Effect</t>
  </si>
  <si>
    <t>Final Cost</t>
  </si>
  <si>
    <t>Υπόλοιπο</t>
  </si>
  <si>
    <t>Σύνολο</t>
  </si>
  <si>
    <t>Manufacturing firm ABC produces the product X. ABC has the following data for the next year 20X1:</t>
  </si>
  <si>
    <t>Sales Budget</t>
  </si>
  <si>
    <t>Year:</t>
  </si>
  <si>
    <t>20X1</t>
  </si>
  <si>
    <t>Forecasted Sales in units</t>
  </si>
  <si>
    <t>Forecasted Sales (in units)</t>
  </si>
  <si>
    <t>xSelling Price</t>
  </si>
  <si>
    <t>The selling price of X is €40. The credit policy of ABC is as follows: 60% of sales revenues is collected in cash in the year that sales took place. The remaining 40% is collected next year. Accounts Receivable on the Balance Sheet of 31/12/20Χ0 was equal to €1,800,000.</t>
  </si>
  <si>
    <t>Sales Revenues</t>
  </si>
  <si>
    <t>Cash Receipts Schedule</t>
  </si>
  <si>
    <t>Cash Receipts from sales of the previous year</t>
  </si>
  <si>
    <t>Cash receipts from sales of the current year</t>
  </si>
  <si>
    <t>Required: Prepare a Sales Budget and a Cash Receipts Schedule.</t>
  </si>
  <si>
    <t>Total cash receipts in 20X1</t>
  </si>
  <si>
    <t>At the end of each year, ABC would like the ending inventory of finished products being equal to 20% of the sales (in units) of the next year. The forecasted sales (in units) for 20X2 is 150,000. At the end of 20X0, the finished products were 24,000 units.</t>
  </si>
  <si>
    <t>Accounts Receivable 31/12/20Χ1</t>
  </si>
  <si>
    <t>Production Budget</t>
  </si>
  <si>
    <t>Plus: Required Ending Inventory</t>
  </si>
  <si>
    <t>Required: Prepare a Production Budget</t>
  </si>
  <si>
    <t>Less: Beginning Inventory</t>
  </si>
  <si>
    <t xml:space="preserve">To produce X, ABC uses a raw material called Y. Production requirements suggest that 1 unit of X requires 5 units of Y. Moreover, ABC wants an ending inventory of raw materials equal to 50,000 units. The beginning inventory of Y is 20,000 units. 
The price of Y is €2 per unit. ABC pays 50% of the purchase cost in cash and 50% in the year following. At the end of 20X0, “Accounts Payable” had a balance of €500,000. </t>
  </si>
  <si>
    <t>Units to be produced</t>
  </si>
  <si>
    <t>Raw Materials Budget</t>
  </si>
  <si>
    <t>xRequired raw material units per product unit</t>
  </si>
  <si>
    <t>Required raw material units for production</t>
  </si>
  <si>
    <t>Required: Prepare a Raw Materials Budget and Cash Payment Schedule for raw materials purchases.</t>
  </si>
  <si>
    <t>Raw material units to be purchased</t>
  </si>
  <si>
    <t>x Cost per unit Y</t>
  </si>
  <si>
    <t>Cost of raw materials purchased</t>
  </si>
  <si>
    <t>Cash Payment Schedule</t>
  </si>
  <si>
    <t>Cash payments for purchases of the previous year</t>
  </si>
  <si>
    <t>Cash payments for purchases of the current year</t>
  </si>
  <si>
    <t xml:space="preserve">ABC has estimated that 1 unit of X requires 0.5 direct labor hours (DLH). The cost of each hour is €16. </t>
  </si>
  <si>
    <t>Account Payable 31/12/20X1</t>
  </si>
  <si>
    <t>Direct Labor budget</t>
  </si>
  <si>
    <t>Required: Prepare a Direct Labor Budget.</t>
  </si>
  <si>
    <t>x Required DLH per unit</t>
  </si>
  <si>
    <t>Total required DLH</t>
  </si>
  <si>
    <t>x Cost of each DLH</t>
  </si>
  <si>
    <t xml:space="preserve">General Manufacturing Overheads are a mixed cost. For the variable part, ABC uses an overhead rate equal to €5/DLH. The fixed part is estimated to €819,000 per year. </t>
  </si>
  <si>
    <t>DL Cost</t>
  </si>
  <si>
    <t>Manufacturing OH Budget</t>
  </si>
  <si>
    <t>Required: Prepare a manufacturing overheads budget and calculate the manufacturing OH per DLH.</t>
  </si>
  <si>
    <t>xVariable MOH rate</t>
  </si>
  <si>
    <t>Variable MOH</t>
  </si>
  <si>
    <t>Plus: Fixed MOH</t>
  </si>
  <si>
    <t>Total MOH</t>
  </si>
  <si>
    <t>Total DLH</t>
  </si>
  <si>
    <t xml:space="preserve">A standard policy of ABC is to retain zero beginning and ending inventories of work in progress. </t>
  </si>
  <si>
    <t>Manufacturing OH rate per DLH</t>
  </si>
  <si>
    <t>Ending Inventory Budget</t>
  </si>
  <si>
    <t>Required: Prepare an ending inventory budget.</t>
  </si>
  <si>
    <t>Production cost per unit</t>
  </si>
  <si>
    <t>Direct Materials (5*2)</t>
  </si>
  <si>
    <t>Direct Labor (0.5*16)</t>
  </si>
  <si>
    <t>Manufacturing OH (0.5*18)</t>
  </si>
  <si>
    <t>Total production cost per unit</t>
  </si>
  <si>
    <t xml:space="preserve">Ending Inventory of Finished Goods </t>
  </si>
  <si>
    <t>Ending Inventory of Raw Materials</t>
  </si>
  <si>
    <t>Ending Inventory of Work in Progress</t>
  </si>
  <si>
    <t>Cost of Goods Produced Budget</t>
  </si>
  <si>
    <t>At the end of 20X0, the value of finished products were equal to €592,000.</t>
  </si>
  <si>
    <t>Beginning Inventory of Work in Progress</t>
  </si>
  <si>
    <t>Required: Prepare a Cost of Goods Produced Budget and a Cost of Goods Sold Budget.</t>
  </si>
  <si>
    <t>Plus: Production Cost</t>
  </si>
  <si>
    <t xml:space="preserve">Direct Materials </t>
  </si>
  <si>
    <t>Direct Labor</t>
  </si>
  <si>
    <t>Less: Ending Inventory of Work in Progress</t>
  </si>
  <si>
    <t>Cost of Goods Sold Budget</t>
  </si>
  <si>
    <t>Beginning Inventory of Finished Goods</t>
  </si>
  <si>
    <t>Plus: Cost of Goods Produced</t>
  </si>
  <si>
    <t>Less: Ending Inventory of Finished Goods</t>
  </si>
  <si>
    <t>Cost of  Goods Sold</t>
  </si>
  <si>
    <t>SGA Budget</t>
  </si>
  <si>
    <t>SGA Expenses consist of variable and fixed costs. The variable part is estimated as €1,80/unit. The fixed cost is €400,000 per year.</t>
  </si>
  <si>
    <t>xVariable SGA per unit</t>
  </si>
  <si>
    <t>Variable SGA</t>
  </si>
  <si>
    <t>Required: Prepare an SGA Budget.</t>
  </si>
  <si>
    <t>Plus: Fixed SGA</t>
  </si>
  <si>
    <t>Total SGA costs</t>
  </si>
  <si>
    <t>The following information is available for ABC: 
	Beginning cash balance was €770,000,
	Direct labor cost is paid in cash. Manufacturing OH are paid in cash but they include €80,000 depreciation costs. SGA expenses are paid in cash but they include €60,000 depreciation costs.
	The firm will acquire an equipment of €260,000 and the cash payments for the current year will be €140,000. 
	A cash dividend of €32,000 will be distributed. 
	The ending cash balance of the year should be at least €2,000,000.
	ABC has an agreement with a local bank to receive loans that are multiples of €100,000 (e.g., €100,000, 200,000, 300,000, etc.) at the beginning of each year. The annual interest rate is 10%. The borrowed capital and the accrued interest will be paid in the next year.</t>
  </si>
  <si>
    <t>Cash Budget</t>
  </si>
  <si>
    <t>Beginning Cash Balance</t>
  </si>
  <si>
    <t>Plus: Cash Receipts</t>
  </si>
  <si>
    <t>Less: Cash Payments</t>
  </si>
  <si>
    <t>SGA</t>
  </si>
  <si>
    <t>Equipment</t>
  </si>
  <si>
    <t>Dividends</t>
  </si>
  <si>
    <t>Total Cash  Payments</t>
  </si>
  <si>
    <t>Excess (Deficiency) Cash</t>
  </si>
  <si>
    <t>Financing</t>
  </si>
  <si>
    <t>Borrowing</t>
  </si>
  <si>
    <t>Capital repayment</t>
  </si>
  <si>
    <t>Interest repayment</t>
  </si>
  <si>
    <t>Total Financing</t>
  </si>
  <si>
    <t>Required: Prepare a Cash Budget and a Pro-forma Income Statement (in simplified form).</t>
  </si>
  <si>
    <t>Ending Cash Balance</t>
  </si>
  <si>
    <t>Pro-forma Income Statement</t>
  </si>
  <si>
    <t>Less: CGS</t>
  </si>
  <si>
    <t>Less: SGA</t>
  </si>
  <si>
    <t>Less: Interest Expense</t>
  </si>
  <si>
    <t>Income Before Taxes</t>
  </si>
  <si>
    <t>Operating Income  - Flexible Budget</t>
  </si>
  <si>
    <r>
      <t>5.</t>
    </r>
    <r>
      <rPr>
        <sz val="7"/>
        <color theme="1"/>
        <rFont val="Times New Roman"/>
        <family val="1"/>
        <charset val="161"/>
      </rPr>
      <t xml:space="preserve">      </t>
    </r>
    <r>
      <rPr>
        <sz val="11"/>
        <color theme="1"/>
        <rFont val="Times New Roman"/>
        <family val="1"/>
        <charset val="161"/>
      </rPr>
      <t>Use the operating leverage formula to verify the operating income of the flexible budget.</t>
    </r>
  </si>
  <si>
    <t>%Δvolume</t>
  </si>
  <si>
    <t>Operating Leverage</t>
  </si>
  <si>
    <r>
      <t>4.</t>
    </r>
    <r>
      <rPr>
        <sz val="7"/>
        <color theme="1"/>
        <rFont val="Times New Roman"/>
        <family val="1"/>
        <charset val="161"/>
      </rPr>
      <t xml:space="preserve">      </t>
    </r>
    <r>
      <rPr>
        <sz val="11"/>
        <color theme="1"/>
        <rFont val="Times New Roman"/>
        <family val="1"/>
        <charset val="161"/>
      </rPr>
      <t>Calculate the volume variances and the selling price/expenditure variances.</t>
    </r>
  </si>
  <si>
    <r>
      <t>3.</t>
    </r>
    <r>
      <rPr>
        <sz val="7"/>
        <color theme="1"/>
        <rFont val="Times New Roman"/>
        <family val="1"/>
        <charset val="161"/>
      </rPr>
      <t xml:space="preserve">      </t>
    </r>
    <r>
      <rPr>
        <sz val="11"/>
        <color theme="1"/>
        <rFont val="Times New Roman"/>
        <family val="1"/>
        <charset val="161"/>
      </rPr>
      <t>Prepare the flexible budget.</t>
    </r>
  </si>
  <si>
    <t>Total Contribution Margin</t>
  </si>
  <si>
    <r>
      <t>2.</t>
    </r>
    <r>
      <rPr>
        <sz val="7"/>
        <color theme="1"/>
        <rFont val="Times New Roman"/>
        <family val="1"/>
        <charset val="161"/>
      </rPr>
      <t xml:space="preserve">      </t>
    </r>
    <r>
      <rPr>
        <sz val="11"/>
        <color theme="1"/>
        <rFont val="Times New Roman"/>
        <family val="1"/>
        <charset val="161"/>
      </rPr>
      <t>Calculate total variances.</t>
    </r>
  </si>
  <si>
    <t>Contribution Margin per unit</t>
  </si>
  <si>
    <r>
      <t>1.</t>
    </r>
    <r>
      <rPr>
        <sz val="7"/>
        <color theme="1"/>
        <rFont val="Times New Roman"/>
        <family val="1"/>
        <charset val="161"/>
      </rPr>
      <t xml:space="preserve">      </t>
    </r>
    <r>
      <rPr>
        <sz val="11"/>
        <color theme="1"/>
        <rFont val="Times New Roman"/>
        <family val="1"/>
        <charset val="161"/>
      </rPr>
      <t>Prepare a static budget of the operating income.</t>
    </r>
  </si>
  <si>
    <t>Price</t>
  </si>
  <si>
    <t>Question 5</t>
  </si>
  <si>
    <t>Total Cost</t>
  </si>
  <si>
    <t>General Expenses</t>
  </si>
  <si>
    <t>U</t>
  </si>
  <si>
    <t>Food &amp; Beverage</t>
  </si>
  <si>
    <t>Total Costs</t>
  </si>
  <si>
    <t>Payroll</t>
  </si>
  <si>
    <t>General Expense (80,000+13q)</t>
  </si>
  <si>
    <t>Costs</t>
  </si>
  <si>
    <t>Food &amp; Beverage (12q)</t>
  </si>
  <si>
    <t>Revenues</t>
  </si>
  <si>
    <t>Payroll (2,000,000+2q)</t>
  </si>
  <si>
    <t>Overnight stays</t>
  </si>
  <si>
    <t xml:space="preserve">At the end of 20X4, the actual results were as follows: </t>
  </si>
  <si>
    <t>Revenues (p*q)</t>
  </si>
  <si>
    <t>80,000+13q</t>
  </si>
  <si>
    <t>Price (p)</t>
  </si>
  <si>
    <t>12q</t>
  </si>
  <si>
    <t>Volume of activity - Payroll (q)</t>
  </si>
  <si>
    <t>2,000,000+2q</t>
  </si>
  <si>
    <t>Verification</t>
  </si>
  <si>
    <t>Price and Spending Var.</t>
  </si>
  <si>
    <t>Volume Var.</t>
  </si>
  <si>
    <t>Total Variance</t>
  </si>
  <si>
    <t>Real</t>
  </si>
  <si>
    <t>Flexible</t>
  </si>
  <si>
    <t>Static</t>
  </si>
  <si>
    <t>(5)=(3)-(2)</t>
  </si>
  <si>
    <t>(4)=(2)-(1)</t>
  </si>
  <si>
    <t>=(3)-(1)</t>
  </si>
  <si>
    <t>(3)</t>
  </si>
  <si>
    <t>(2)</t>
  </si>
  <si>
    <t>Column:</t>
  </si>
  <si>
    <t>A hotel business has forecasted that the next year (i.e., 20X4) it will have 130,000 overnight stays (q).
The price per staying is €60. The accounting department has estimated that the operating cost can be calculated as follows.</t>
  </si>
  <si>
    <t>The difference is due to the capitalization of FOH in Full Absorption Costing</t>
  </si>
  <si>
    <t>Ending Inventory</t>
  </si>
  <si>
    <t>Difference</t>
  </si>
  <si>
    <t>Fixed SGA</t>
  </si>
  <si>
    <t>Fixed MOH</t>
  </si>
  <si>
    <t>Less: Fixed Costs</t>
  </si>
  <si>
    <t xml:space="preserve">Required: 
1.	Calculate the product cost according to the absorption and the marginal costing. Assume that there are not beginning or ending inventories of work in progress. 
2.	Prepare and Income Statement with absorption costing and an Income Statement with marginal costing. 
</t>
  </si>
  <si>
    <t>Contribution Margin</t>
  </si>
  <si>
    <t>Less: SGA Expenses</t>
  </si>
  <si>
    <t>Selling price per unit</t>
  </si>
  <si>
    <t>Units Sold</t>
  </si>
  <si>
    <t>Less: Variable CGS</t>
  </si>
  <si>
    <t>Units Produced</t>
  </si>
  <si>
    <t>Beginning Inventory of Finished Goods (units)</t>
  </si>
  <si>
    <t>IS Variable Costing</t>
  </si>
  <si>
    <t>IS Full Absorption Costing</t>
  </si>
  <si>
    <t>Further Information</t>
  </si>
  <si>
    <t>SGA Costs</t>
  </si>
  <si>
    <t>(180,000/12,000)</t>
  </si>
  <si>
    <t>Fixed Costs</t>
  </si>
  <si>
    <t>Fixed OH</t>
  </si>
  <si>
    <t>SGA Costs per unit sold</t>
  </si>
  <si>
    <t>VOH</t>
  </si>
  <si>
    <t>Variable Costing</t>
  </si>
  <si>
    <t>Full Absorprion Costing</t>
  </si>
  <si>
    <t>Product Cost</t>
  </si>
  <si>
    <t>Variable Cost per unit</t>
  </si>
  <si>
    <t>ABC firm has the following data for product X:</t>
  </si>
  <si>
    <t>Profit</t>
  </si>
  <si>
    <t>Excess Quantity</t>
  </si>
  <si>
    <r>
      <t>2.</t>
    </r>
    <r>
      <rPr>
        <sz val="7"/>
        <color theme="1"/>
        <rFont val="Times New Roman"/>
        <family val="1"/>
        <charset val="161"/>
      </rPr>
      <t xml:space="preserve">      </t>
    </r>
    <r>
      <rPr>
        <sz val="11"/>
        <color theme="1"/>
        <rFont val="Times New Roman"/>
        <family val="1"/>
        <charset val="161"/>
      </rPr>
      <t>Market research indicates that changing the design of X will boost sales. The new selling price will be €12.5 while the variable cost will increase by €1.50 per unit. Assuming that the rest data remain the same which is the necessary sales volume to give a profit of €200,000?</t>
    </r>
  </si>
  <si>
    <t>BEP Quantity</t>
  </si>
  <si>
    <t>Total Fixed Cost</t>
  </si>
  <si>
    <r>
      <t>1.</t>
    </r>
    <r>
      <rPr>
        <sz val="7"/>
        <color theme="1"/>
        <rFont val="Times New Roman"/>
        <family val="1"/>
        <charset val="161"/>
      </rPr>
      <t xml:space="preserve">      </t>
    </r>
    <r>
      <rPr>
        <sz val="11"/>
        <color theme="1"/>
        <rFont val="Times New Roman"/>
        <family val="1"/>
        <charset val="161"/>
      </rPr>
      <t>Calculate the contribution margin per unit and the break-even point quantity. Verify the profit presented in the P/L statement above.</t>
    </r>
  </si>
  <si>
    <t>FSGA</t>
  </si>
  <si>
    <t>FOH</t>
  </si>
  <si>
    <t>CM per unit</t>
  </si>
  <si>
    <t>Fixed SGA Expenses</t>
  </si>
  <si>
    <t>Required Sales Revenues</t>
  </si>
  <si>
    <t>Total Variable Cost</t>
  </si>
  <si>
    <t>Variable SGA Expenses</t>
  </si>
  <si>
    <t>Required Quantity</t>
  </si>
  <si>
    <t>VSGA</t>
  </si>
  <si>
    <t>SGA Expenses</t>
  </si>
  <si>
    <t>Total Threshold</t>
  </si>
  <si>
    <t>Required Profit</t>
  </si>
  <si>
    <t>DL</t>
  </si>
  <si>
    <t>Variable OH</t>
  </si>
  <si>
    <t>DM</t>
  </si>
  <si>
    <t>Direct labor</t>
  </si>
  <si>
    <t>New CM per unit</t>
  </si>
  <si>
    <t>Direct materials</t>
  </si>
  <si>
    <t>New Variable Cost</t>
  </si>
  <si>
    <t>Selling Price</t>
  </si>
  <si>
    <t>Manufacturing Expenses</t>
  </si>
  <si>
    <t>New Selling Price</t>
  </si>
  <si>
    <t>Activity in units</t>
  </si>
  <si>
    <t>Sales revenues (100,000 units × €10)</t>
  </si>
  <si>
    <t>(€)</t>
  </si>
  <si>
    <t>1/1-31/12/2022</t>
  </si>
  <si>
    <t>ABC firm manufactures product X. The following information are available for the last year, 2022.</t>
  </si>
  <si>
    <t>Remark: If you do not have traceable fixed costs or implicit economic costs, the contribution margin of the decision is sufficient. Otherwise, make a full differential analysis.</t>
  </si>
  <si>
    <r>
      <t>Required:</t>
    </r>
    <r>
      <rPr>
        <sz val="11"/>
        <color theme="1"/>
        <rFont val="Times New Roman"/>
        <family val="1"/>
        <charset val="161"/>
      </rPr>
      <t xml:space="preserve"> Should ABC terminate the operation of Department C?</t>
    </r>
  </si>
  <si>
    <t xml:space="preserve">If Department C is terminated, ABC estimates that the fixed administration expenses will decrease by 20% while the fixed advertising expenses will decrease by 10%. </t>
  </si>
  <si>
    <t>ABC should retain Dep. C. If it terminates its operations profits will be lower. Note that the decrease in CM does not give the exact answer since we have traceable fixed cost.</t>
  </si>
  <si>
    <t>Advertising Expenses</t>
  </si>
  <si>
    <t>Administration Expenses</t>
  </si>
  <si>
    <t>Depreciation</t>
  </si>
  <si>
    <t>Rent expenses</t>
  </si>
  <si>
    <t>Differential</t>
  </si>
  <si>
    <t>Retaining</t>
  </si>
  <si>
    <t>Termination</t>
  </si>
  <si>
    <t>Decision:</t>
  </si>
  <si>
    <t>The fixed cost of the firm equals €138,000 and is allocated equally across the departments. The fixed cost composition is as follows:</t>
  </si>
  <si>
    <t>Differential Analysis</t>
  </si>
  <si>
    <t>Profit (Loss)</t>
  </si>
  <si>
    <t>Expenses</t>
  </si>
  <si>
    <t>Sales Revenue</t>
  </si>
  <si>
    <t>Variable cost for Dep. C</t>
  </si>
  <si>
    <t>Department C</t>
  </si>
  <si>
    <t>Department B</t>
  </si>
  <si>
    <t>Department A</t>
  </si>
  <si>
    <t>Fixed cost after termination</t>
  </si>
  <si>
    <t>Departments</t>
  </si>
  <si>
    <t>Change in Fixed Cost if termination</t>
  </si>
  <si>
    <t>Fixed cost allocated to each Department</t>
  </si>
  <si>
    <t xml:space="preserve">ABC is a merchandise firm. The firm has 3 departments, department A, B and C. The department C presents operating loss and the firm considers its termination. The following information is available for the departments: </t>
  </si>
  <si>
    <t>ABC firm produces the product X with the following data:</t>
  </si>
  <si>
    <t>Normal price (€)</t>
  </si>
  <si>
    <t>1. No opportunity cost</t>
  </si>
  <si>
    <t>Acceptance</t>
  </si>
  <si>
    <t>Not Acceptance</t>
  </si>
  <si>
    <t>Annual volume (units)</t>
  </si>
  <si>
    <t>Sales revenues (500*45)</t>
  </si>
  <si>
    <t xml:space="preserve">Manufacturing cost: </t>
  </si>
  <si>
    <t>Manufacturing VC (500*20)</t>
  </si>
  <si>
    <t>Variable per unit (€)</t>
  </si>
  <si>
    <t>SGA VC (500*4)</t>
  </si>
  <si>
    <t>Fixed (annual) (€)</t>
  </si>
  <si>
    <t>Contribution margin</t>
  </si>
  <si>
    <t>Variable per unit (sales commissions) (€)</t>
  </si>
  <si>
    <t>2. With opportunity cost</t>
  </si>
  <si>
    <t>Sales revenues (500*45;500*50)</t>
  </si>
  <si>
    <t>The firm receives a special order for 500 units. The price that the customer is willing to pay is €45. The manufacturing variable cost will be unchanged while sales commissions will be lower by 1/3. Fixed cost will be the same. The normal production level will not be affected because the firm has excess capacity.</t>
  </si>
  <si>
    <t>SGA VC (500*4; 500*6)</t>
  </si>
  <si>
    <t>Required</t>
  </si>
  <si>
    <r>
      <t>1.</t>
    </r>
    <r>
      <rPr>
        <sz val="7"/>
        <color theme="1"/>
        <rFont val="Times New Roman"/>
        <family val="1"/>
        <charset val="161"/>
      </rPr>
      <t xml:space="preserve">      </t>
    </r>
    <r>
      <rPr>
        <sz val="11"/>
        <color theme="1"/>
        <rFont val="Times New Roman"/>
        <family val="1"/>
        <charset val="161"/>
      </rPr>
      <t>Should the firm accept the special order?</t>
    </r>
  </si>
  <si>
    <r>
      <t>2.</t>
    </r>
    <r>
      <rPr>
        <sz val="7"/>
        <color theme="1"/>
        <rFont val="Times New Roman"/>
        <family val="1"/>
        <charset val="161"/>
      </rPr>
      <t xml:space="preserve">      </t>
    </r>
    <r>
      <rPr>
        <sz val="11"/>
        <color theme="1"/>
        <rFont val="Times New Roman"/>
        <family val="1"/>
        <charset val="161"/>
      </rPr>
      <t xml:space="preserve">How would you change your answer if the firm operates at full capacity? </t>
    </r>
  </si>
  <si>
    <t>In the following 4 cases assume that Department A produces a product that may be sold either to Department B of the same entity or to external customers. The managers of the two departments can decide whether they will make the internal transfer and negotiate the transfer price. Each case is independent to the others.</t>
  </si>
  <si>
    <t>Case 1</t>
  </si>
  <si>
    <t>Case 2</t>
  </si>
  <si>
    <t>VC in internal sales</t>
  </si>
  <si>
    <t>Case:</t>
  </si>
  <si>
    <t>Traceable FC</t>
  </si>
  <si>
    <t>Department Α</t>
  </si>
  <si>
    <t>Opportunity cost</t>
  </si>
  <si>
    <t>Opportunity Cost</t>
  </si>
  <si>
    <t>Maximum capacity (in units)</t>
  </si>
  <si>
    <t>Minimum TP</t>
  </si>
  <si>
    <t>Selling price to external sales</t>
  </si>
  <si>
    <t>Units that are sold to external customers</t>
  </si>
  <si>
    <t>Maximum TP</t>
  </si>
  <si>
    <t>VC to external sales</t>
  </si>
  <si>
    <t>Selling price to external customers (€)</t>
  </si>
  <si>
    <t>Total loss</t>
  </si>
  <si>
    <t>Variable manufacturing cost per unit (€)</t>
  </si>
  <si>
    <t>Differential Cost</t>
  </si>
  <si>
    <t>Sacrificed units</t>
  </si>
  <si>
    <t>SGA variable cost per unit if the product is sold to external customers (€)</t>
  </si>
  <si>
    <t>Transferred units</t>
  </si>
  <si>
    <t>Total OC</t>
  </si>
  <si>
    <t xml:space="preserve">Fixed cost (manufacturing and SGA) per unit. The allocation has been made to the current production volume. </t>
  </si>
  <si>
    <t>Additional design cost (Case 3) (€)</t>
  </si>
  <si>
    <t>OC/transferred unit</t>
  </si>
  <si>
    <t>Department Β</t>
  </si>
  <si>
    <t>Required units</t>
  </si>
  <si>
    <t>Purchase price from external supplier (€)</t>
  </si>
  <si>
    <t>n/a</t>
  </si>
  <si>
    <t>Variable cost per unit (further process) (€)</t>
  </si>
  <si>
    <t>Case 3</t>
  </si>
  <si>
    <t>Case 4</t>
  </si>
  <si>
    <t>Fixed cost per unit (allocated) (€)</t>
  </si>
  <si>
    <t>VC</t>
  </si>
  <si>
    <r>
      <t>Required:</t>
    </r>
    <r>
      <rPr>
        <sz val="11"/>
        <color theme="1"/>
        <rFont val="Times New Roman"/>
        <family val="1"/>
        <charset val="161"/>
      </rPr>
      <t xml:space="preserve"> For each of the following independent cases, determine the range of the acceptable transfer price.</t>
    </r>
  </si>
  <si>
    <t>Total FC</t>
  </si>
  <si>
    <t>Case 1: Department B asks for 10,000 units of the current type of product. If the negotiation is not fruitful, what is the total loss for the entity?</t>
  </si>
  <si>
    <t>Traceable FC (1,250,000*20%)</t>
  </si>
  <si>
    <t>Traceable FC/unit</t>
  </si>
  <si>
    <t>Case 2: Department B asks for 15,000 units of the current type of product.</t>
  </si>
  <si>
    <t>OC</t>
  </si>
  <si>
    <t>Traceable FC per transferred unit</t>
  </si>
  <si>
    <t>Case 3: Department B asks for 15,000 units of the current product with a slight modification in its design. The modification cost equals 18,000 (fixed).</t>
  </si>
  <si>
    <t>Case 4: Department B asks for 10,000 units of a new product type. Department A has estimated that this new product type has a variable manufacturing cost 80 per unit and entail an increase in the fixed cost by 20%. Moreover, current sales to external customers will decrease by 15% due to capacity constrains.</t>
  </si>
  <si>
    <t>CM</t>
  </si>
  <si>
    <t>OC per transferred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</si>
</sst>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
    <numFmt numFmtId="166" formatCode="0.000"/>
    <numFmt numFmtId="167" formatCode="#,##0;\(#,###\)"/>
    <numFmt numFmtId="168" formatCode="#,##0.00;\(#,##0.00\)"/>
    <numFmt numFmtId="169" formatCode="#,##0.000;\(#,##0.000\)"/>
  </numFmts>
  <fonts count="19" x14ac:knownFonts="1">
    <font>
      <sz val="11"/>
      <color theme="1"/>
      <name val="Times New Roman"/>
      <family val="2"/>
      <charset val="161"/>
    </font>
    <font>
      <sz val="11"/>
      <color theme="1"/>
      <name val="Aptos Narrow"/>
      <family val="2"/>
      <charset val="161"/>
      <scheme val="minor"/>
    </font>
    <font>
      <sz val="11"/>
      <color theme="1"/>
      <name val="Times New Roman"/>
      <family val="1"/>
      <charset val="161"/>
    </font>
    <font>
      <b/>
      <sz val="11"/>
      <color theme="1"/>
      <name val="Times New Roman"/>
      <family val="1"/>
      <charset val="161"/>
    </font>
    <font>
      <u/>
      <sz val="11"/>
      <color theme="1"/>
      <name val="Times New Roman"/>
      <family val="1"/>
      <charset val="161"/>
    </font>
    <font>
      <i/>
      <sz val="11"/>
      <color theme="1"/>
      <name val="Times New Roman"/>
      <family val="1"/>
      <charset val="161"/>
    </font>
    <font>
      <sz val="11"/>
      <color rgb="FF000000"/>
      <name val="Times New Roman"/>
      <family val="1"/>
      <charset val="161"/>
    </font>
    <font>
      <i/>
      <u/>
      <sz val="11"/>
      <color theme="1"/>
      <name val="Times New Roman"/>
      <family val="1"/>
      <charset val="161"/>
    </font>
    <font>
      <sz val="7"/>
      <color theme="1"/>
      <name val="Times New Roman"/>
      <family val="1"/>
      <charset val="161"/>
    </font>
    <font>
      <vertAlign val="superscript"/>
      <sz val="11"/>
      <color theme="1"/>
      <name val="Times New Roman"/>
      <family val="1"/>
      <charset val="161"/>
    </font>
    <font>
      <b/>
      <sz val="11"/>
      <color rgb="FF000000"/>
      <name val="Times New Roman"/>
      <family val="1"/>
      <charset val="161"/>
    </font>
    <font>
      <b/>
      <vertAlign val="superscript"/>
      <sz val="11"/>
      <color rgb="FF000000"/>
      <name val="Times New Roman"/>
      <family val="1"/>
      <charset val="161"/>
    </font>
    <font>
      <u/>
      <sz val="11"/>
      <color rgb="FF000000"/>
      <name val="Times New Roman"/>
      <family val="1"/>
      <charset val="161"/>
    </font>
    <font>
      <b/>
      <vertAlign val="superscript"/>
      <sz val="11"/>
      <color theme="1"/>
      <name val="Times New Roman"/>
      <family val="1"/>
      <charset val="161"/>
    </font>
    <font>
      <i/>
      <sz val="11"/>
      <color theme="1"/>
      <name val="Aptos Narrow"/>
      <family val="2"/>
      <charset val="161"/>
      <scheme val="minor"/>
    </font>
    <font>
      <sz val="11"/>
      <color theme="1"/>
      <name val="Times New Roman"/>
      <family val="2"/>
      <charset val="161"/>
    </font>
    <font>
      <b/>
      <i/>
      <sz val="11"/>
      <color theme="1"/>
      <name val="Times New Roman"/>
      <family val="1"/>
      <charset val="161"/>
    </font>
    <font>
      <u/>
      <sz val="11"/>
      <color theme="1"/>
      <name val="Times New Roman"/>
      <family val="2"/>
      <charset val="161"/>
    </font>
    <font>
      <b/>
      <u/>
      <sz val="11"/>
      <color rgb="FF000000"/>
      <name val="Times New Roman"/>
      <family val="1"/>
      <charset val="161"/>
    </font>
  </fonts>
  <fills count="9">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D9D9D9"/>
        <bgColor indexed="64"/>
      </patternFill>
    </fill>
    <fill>
      <patternFill patternType="solid">
        <fgColor theme="8" tint="0.79998168889431442"/>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double">
        <color indexed="64"/>
      </bottom>
      <diagonal/>
    </border>
  </borders>
  <cellStyleXfs count="4">
    <xf numFmtId="0" fontId="0" fillId="0" borderId="0"/>
    <xf numFmtId="0" fontId="1" fillId="0" borderId="0"/>
    <xf numFmtId="9" fontId="1" fillId="0" borderId="0" applyFont="0" applyFill="0" applyBorder="0" applyAlignment="0" applyProtection="0"/>
    <xf numFmtId="9" fontId="15" fillId="0" borderId="0" applyFont="0" applyFill="0" applyBorder="0" applyAlignment="0" applyProtection="0"/>
  </cellStyleXfs>
  <cellXfs count="261">
    <xf numFmtId="0" fontId="0" fillId="0" borderId="0" xfId="0"/>
    <xf numFmtId="0" fontId="2" fillId="0" borderId="0" xfId="1" applyFont="1" applyAlignment="1">
      <alignment wrapText="1"/>
    </xf>
    <xf numFmtId="0" fontId="2" fillId="0" borderId="0" xfId="1" applyFont="1"/>
    <xf numFmtId="0" fontId="3" fillId="0" borderId="0" xfId="1" applyFont="1"/>
    <xf numFmtId="0" fontId="2" fillId="0" borderId="1" xfId="1" applyFont="1" applyBorder="1"/>
    <xf numFmtId="9" fontId="2" fillId="0" borderId="1" xfId="1" applyNumberFormat="1" applyFont="1" applyBorder="1" applyAlignment="1">
      <alignment horizontal="right"/>
    </xf>
    <xf numFmtId="0" fontId="2" fillId="0" borderId="1" xfId="1" applyFont="1" applyBorder="1" applyAlignment="1">
      <alignment horizontal="right"/>
    </xf>
    <xf numFmtId="0" fontId="4" fillId="0" borderId="0" xfId="1" applyFont="1"/>
    <xf numFmtId="3" fontId="2" fillId="0" borderId="0" xfId="1" applyNumberFormat="1" applyFont="1"/>
    <xf numFmtId="3" fontId="2" fillId="0" borderId="1" xfId="1" applyNumberFormat="1" applyFont="1" applyBorder="1"/>
    <xf numFmtId="164" fontId="2" fillId="0" borderId="0" xfId="1" applyNumberFormat="1" applyFont="1"/>
    <xf numFmtId="164" fontId="4" fillId="0" borderId="0" xfId="1" applyNumberFormat="1" applyFont="1"/>
    <xf numFmtId="164" fontId="3" fillId="0" borderId="0" xfId="1" applyNumberFormat="1" applyFont="1"/>
    <xf numFmtId="165" fontId="2" fillId="0" borderId="0" xfId="1" applyNumberFormat="1" applyFont="1"/>
    <xf numFmtId="0" fontId="6" fillId="0" borderId="0" xfId="1" applyFont="1" applyAlignment="1">
      <alignment horizontal="justify" vertical="center"/>
    </xf>
    <xf numFmtId="0" fontId="6" fillId="0" borderId="0" xfId="1" applyFont="1" applyAlignment="1">
      <alignment horizontal="right" vertical="center"/>
    </xf>
    <xf numFmtId="3" fontId="6" fillId="0" borderId="0" xfId="1" applyNumberFormat="1" applyFont="1" applyAlignment="1">
      <alignment horizontal="right" vertical="center"/>
    </xf>
    <xf numFmtId="0" fontId="2" fillId="0" borderId="0" xfId="1" applyFont="1" applyAlignment="1">
      <alignment horizontal="right"/>
    </xf>
    <xf numFmtId="165" fontId="4" fillId="0" borderId="0" xfId="1" applyNumberFormat="1" applyFont="1"/>
    <xf numFmtId="165" fontId="6" fillId="0" borderId="0" xfId="1" applyNumberFormat="1" applyFont="1" applyAlignment="1">
      <alignment horizontal="right" vertical="center"/>
    </xf>
    <xf numFmtId="0" fontId="5" fillId="0" borderId="0" xfId="1" applyFont="1"/>
    <xf numFmtId="165" fontId="5" fillId="0" borderId="0" xfId="1" applyNumberFormat="1" applyFont="1"/>
    <xf numFmtId="165" fontId="7" fillId="0" borderId="0" xfId="1" applyNumberFormat="1" applyFont="1"/>
    <xf numFmtId="0" fontId="3" fillId="0" borderId="0" xfId="1" applyFont="1" applyAlignment="1">
      <alignment horizontal="center" vertical="center"/>
    </xf>
    <xf numFmtId="0" fontId="2" fillId="0" borderId="0" xfId="1" applyFont="1" applyAlignment="1">
      <alignment horizontal="justify" vertical="center"/>
    </xf>
    <xf numFmtId="0" fontId="10" fillId="0" borderId="0" xfId="1" applyFont="1" applyAlignment="1">
      <alignment horizontal="center" vertical="center"/>
    </xf>
    <xf numFmtId="0" fontId="10"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3" fontId="6" fillId="0" borderId="0" xfId="1" applyNumberFormat="1" applyFont="1" applyAlignment="1">
      <alignment horizontal="center" vertical="center"/>
    </xf>
    <xf numFmtId="2" fontId="6" fillId="0" borderId="0" xfId="1" applyNumberFormat="1" applyFont="1" applyAlignment="1">
      <alignment horizontal="center" vertical="center"/>
    </xf>
    <xf numFmtId="1" fontId="6" fillId="0" borderId="0" xfId="1" applyNumberFormat="1" applyFont="1" applyAlignment="1">
      <alignment horizontal="center" vertical="center"/>
    </xf>
    <xf numFmtId="2" fontId="2" fillId="0" borderId="0" xfId="1" applyNumberFormat="1" applyFont="1"/>
    <xf numFmtId="0" fontId="12" fillId="0" borderId="0" xfId="1" applyFont="1" applyAlignment="1">
      <alignment horizontal="center" vertical="center"/>
    </xf>
    <xf numFmtId="3" fontId="12" fillId="0" borderId="0" xfId="1" applyNumberFormat="1" applyFont="1" applyAlignment="1">
      <alignment horizontal="center" vertical="center"/>
    </xf>
    <xf numFmtId="2" fontId="12" fillId="0" borderId="0" xfId="1" applyNumberFormat="1" applyFont="1" applyAlignment="1">
      <alignment horizontal="center" vertical="center"/>
    </xf>
    <xf numFmtId="1" fontId="12" fillId="0" borderId="0" xfId="1" applyNumberFormat="1" applyFont="1" applyAlignment="1">
      <alignment horizontal="center" vertical="center"/>
    </xf>
    <xf numFmtId="3" fontId="10" fillId="0" borderId="0" xfId="1" applyNumberFormat="1" applyFont="1" applyAlignment="1">
      <alignment horizontal="center" vertical="center" wrapText="1"/>
    </xf>
    <xf numFmtId="4" fontId="10" fillId="0" borderId="0" xfId="1" applyNumberFormat="1" applyFont="1" applyAlignment="1">
      <alignment horizontal="center" vertical="center" wrapText="1"/>
    </xf>
    <xf numFmtId="2" fontId="10" fillId="0" borderId="0" xfId="1" applyNumberFormat="1" applyFont="1" applyAlignment="1">
      <alignment horizontal="center" vertical="center" wrapText="1"/>
    </xf>
    <xf numFmtId="1" fontId="10" fillId="0" borderId="0" xfId="1" applyNumberFormat="1" applyFont="1" applyAlignment="1">
      <alignment horizontal="center" vertical="center" wrapText="1"/>
    </xf>
    <xf numFmtId="2" fontId="10" fillId="0" borderId="2" xfId="1" applyNumberFormat="1" applyFont="1" applyBorder="1" applyAlignment="1">
      <alignment horizontal="center" vertical="center" wrapText="1"/>
    </xf>
    <xf numFmtId="10" fontId="2" fillId="0" borderId="0" xfId="2" applyNumberFormat="1" applyFont="1"/>
    <xf numFmtId="0" fontId="5" fillId="0" borderId="0" xfId="1" applyFont="1" applyAlignment="1">
      <alignment horizontal="center" wrapText="1"/>
    </xf>
    <xf numFmtId="0" fontId="2" fillId="0" borderId="0" xfId="1" applyFont="1" applyAlignment="1">
      <alignment horizontal="center" wrapText="1"/>
    </xf>
    <xf numFmtId="49" fontId="3" fillId="0" borderId="0" xfId="1" applyNumberFormat="1" applyFont="1" applyAlignment="1">
      <alignment horizontal="center"/>
    </xf>
    <xf numFmtId="49" fontId="3" fillId="0" borderId="0" xfId="1" applyNumberFormat="1" applyFont="1" applyAlignment="1">
      <alignment horizontal="center" wrapText="1"/>
    </xf>
    <xf numFmtId="49" fontId="2" fillId="0" borderId="0" xfId="1" applyNumberFormat="1" applyFont="1" applyAlignment="1">
      <alignment horizontal="center" wrapText="1"/>
    </xf>
    <xf numFmtId="49" fontId="2" fillId="0" borderId="0" xfId="1" applyNumberFormat="1" applyFont="1"/>
    <xf numFmtId="0" fontId="2" fillId="3" borderId="0" xfId="1" applyFont="1" applyFill="1"/>
    <xf numFmtId="0" fontId="3" fillId="0" borderId="0" xfId="1" applyFont="1" applyAlignment="1">
      <alignment horizontal="center" wrapText="1"/>
    </xf>
    <xf numFmtId="0" fontId="2" fillId="0" borderId="0" xfId="1" applyFont="1" applyAlignment="1">
      <alignment horizontal="center"/>
    </xf>
    <xf numFmtId="2" fontId="2" fillId="0" borderId="0" xfId="1" applyNumberFormat="1" applyFont="1" applyAlignment="1">
      <alignment horizontal="center"/>
    </xf>
    <xf numFmtId="4" fontId="2" fillId="0" borderId="0" xfId="1" applyNumberFormat="1" applyFont="1" applyAlignment="1">
      <alignment horizontal="center"/>
    </xf>
    <xf numFmtId="0" fontId="2" fillId="4" borderId="0" xfId="1" applyFont="1" applyFill="1" applyAlignment="1">
      <alignment horizontal="center"/>
    </xf>
    <xf numFmtId="2" fontId="2" fillId="4" borderId="0" xfId="1" applyNumberFormat="1" applyFont="1" applyFill="1" applyAlignment="1">
      <alignment horizontal="center"/>
    </xf>
    <xf numFmtId="0" fontId="5" fillId="0" borderId="0" xfId="1" applyFont="1" applyAlignment="1">
      <alignment horizontal="centerContinuous"/>
    </xf>
    <xf numFmtId="0" fontId="2" fillId="5" borderId="0" xfId="1" applyFont="1" applyFill="1"/>
    <xf numFmtId="0" fontId="5" fillId="0" borderId="4" xfId="1" applyFont="1" applyBorder="1" applyAlignment="1">
      <alignment horizontal="centerContinuous"/>
    </xf>
    <xf numFmtId="0" fontId="2" fillId="0" borderId="5" xfId="1" applyFont="1" applyBorder="1"/>
    <xf numFmtId="0" fontId="5" fillId="0" borderId="4" xfId="1" applyFont="1" applyBorder="1" applyAlignment="1">
      <alignment horizontal="center"/>
    </xf>
    <xf numFmtId="166" fontId="2" fillId="0" borderId="0" xfId="1" applyNumberFormat="1" applyFont="1" applyAlignment="1">
      <alignment horizontal="center"/>
    </xf>
    <xf numFmtId="0" fontId="1" fillId="0" borderId="0" xfId="1"/>
    <xf numFmtId="0" fontId="14" fillId="0" borderId="4" xfId="1" applyFont="1" applyBorder="1" applyAlignment="1">
      <alignment horizontal="centerContinuous"/>
    </xf>
    <xf numFmtId="0" fontId="1" fillId="0" borderId="5" xfId="1" applyBorder="1"/>
    <xf numFmtId="0" fontId="14" fillId="0" borderId="4" xfId="1" applyFont="1" applyBorder="1" applyAlignment="1">
      <alignment horizontal="center"/>
    </xf>
    <xf numFmtId="0" fontId="2" fillId="0" borderId="0" xfId="0" applyFont="1" applyAlignment="1">
      <alignment horizontal="left" vertical="center" wrapText="1"/>
    </xf>
    <xf numFmtId="0" fontId="10" fillId="0" borderId="1" xfId="0" applyFont="1" applyBorder="1" applyAlignment="1">
      <alignment horizontal="center" vertical="center"/>
    </xf>
    <xf numFmtId="0" fontId="6" fillId="6" borderId="1" xfId="0" applyFont="1" applyFill="1" applyBorder="1" applyAlignment="1">
      <alignment horizontal="center" vertical="center"/>
    </xf>
    <xf numFmtId="3" fontId="6" fillId="6" borderId="1" xfId="0" applyNumberFormat="1" applyFont="1" applyFill="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3" fontId="3" fillId="0" borderId="0" xfId="1" applyNumberFormat="1" applyFont="1"/>
    <xf numFmtId="0" fontId="2" fillId="7" borderId="0" xfId="1" applyFont="1" applyFill="1"/>
    <xf numFmtId="0" fontId="3" fillId="0" borderId="1" xfId="1" applyFont="1" applyBorder="1" applyAlignment="1">
      <alignment horizontal="center"/>
    </xf>
    <xf numFmtId="3" fontId="3" fillId="0" borderId="1" xfId="1" applyNumberFormat="1" applyFont="1" applyBorder="1" applyAlignment="1">
      <alignment horizontal="center"/>
    </xf>
    <xf numFmtId="0" fontId="3" fillId="0" borderId="1" xfId="1" applyFont="1" applyBorder="1" applyAlignment="1">
      <alignment horizontal="center" wrapText="1"/>
    </xf>
    <xf numFmtId="0" fontId="2" fillId="0" borderId="1" xfId="1" applyFont="1" applyBorder="1" applyAlignment="1">
      <alignment horizontal="center"/>
    </xf>
    <xf numFmtId="3" fontId="2" fillId="0" borderId="1" xfId="1" applyNumberFormat="1" applyFont="1" applyBorder="1" applyAlignment="1">
      <alignment horizontal="center"/>
    </xf>
    <xf numFmtId="0" fontId="2" fillId="7" borderId="5" xfId="1" applyFont="1" applyFill="1" applyBorder="1"/>
    <xf numFmtId="0" fontId="3" fillId="4" borderId="0" xfId="1" applyFont="1" applyFill="1" applyAlignment="1">
      <alignment wrapText="1"/>
    </xf>
    <xf numFmtId="0" fontId="3" fillId="4" borderId="0" xfId="1" applyFont="1" applyFill="1" applyAlignment="1">
      <alignment horizontal="right"/>
    </xf>
    <xf numFmtId="3" fontId="2" fillId="0" borderId="0" xfId="1" applyNumberFormat="1" applyFont="1" applyAlignment="1">
      <alignment horizontal="right"/>
    </xf>
    <xf numFmtId="0" fontId="4" fillId="0" borderId="0" xfId="1" applyFont="1" applyAlignment="1">
      <alignment horizontal="right"/>
    </xf>
    <xf numFmtId="164" fontId="2" fillId="0" borderId="0" xfId="1" applyNumberFormat="1" applyFont="1" applyAlignment="1">
      <alignment horizontal="right"/>
    </xf>
    <xf numFmtId="164" fontId="4" fillId="0" borderId="0" xfId="1" applyNumberFormat="1" applyFont="1" applyAlignment="1">
      <alignment horizontal="right"/>
    </xf>
    <xf numFmtId="0" fontId="3" fillId="4" borderId="0" xfId="1" applyFont="1" applyFill="1"/>
    <xf numFmtId="167" fontId="2" fillId="0" borderId="0" xfId="1" applyNumberFormat="1" applyFont="1" applyAlignment="1">
      <alignment horizontal="right"/>
    </xf>
    <xf numFmtId="168" fontId="4" fillId="0" borderId="0" xfId="1" applyNumberFormat="1" applyFont="1" applyAlignment="1">
      <alignment horizontal="right"/>
    </xf>
    <xf numFmtId="3" fontId="4" fillId="0" borderId="0" xfId="1" applyNumberFormat="1" applyFont="1" applyAlignment="1">
      <alignment horizontal="right"/>
    </xf>
    <xf numFmtId="169" fontId="2" fillId="0" borderId="0" xfId="1" applyNumberFormat="1" applyFont="1" applyAlignment="1">
      <alignment horizontal="right"/>
    </xf>
    <xf numFmtId="3" fontId="2" fillId="4" borderId="0" xfId="1" applyNumberFormat="1" applyFont="1" applyFill="1" applyAlignment="1">
      <alignment horizontal="right"/>
    </xf>
    <xf numFmtId="164" fontId="2" fillId="4" borderId="0" xfId="1" applyNumberFormat="1" applyFont="1" applyFill="1" applyAlignment="1">
      <alignment horizontal="right"/>
    </xf>
    <xf numFmtId="0" fontId="2" fillId="4" borderId="0" xfId="1" applyFont="1" applyFill="1" applyAlignment="1">
      <alignment horizontal="right"/>
    </xf>
    <xf numFmtId="167" fontId="4" fillId="0" borderId="0" xfId="1" applyNumberFormat="1" applyFont="1" applyAlignment="1">
      <alignment horizontal="right"/>
    </xf>
    <xf numFmtId="0" fontId="2" fillId="0" borderId="0" xfId="0" applyFont="1"/>
    <xf numFmtId="164" fontId="2" fillId="4" borderId="0" xfId="0" applyNumberFormat="1" applyFont="1" applyFill="1"/>
    <xf numFmtId="0" fontId="2" fillId="0" borderId="0" xfId="0" applyFont="1" applyAlignment="1">
      <alignment horizontal="left"/>
    </xf>
    <xf numFmtId="0" fontId="2" fillId="0" borderId="0" xfId="0" applyFont="1" applyAlignment="1">
      <alignment vertical="center" wrapText="1"/>
    </xf>
    <xf numFmtId="3" fontId="2" fillId="0" borderId="0" xfId="0" applyNumberFormat="1" applyFont="1"/>
    <xf numFmtId="9" fontId="2" fillId="0" borderId="0" xfId="3" applyFont="1" applyFill="1" applyBorder="1"/>
    <xf numFmtId="164" fontId="2" fillId="0" borderId="0" xfId="0" applyNumberFormat="1" applyFont="1"/>
    <xf numFmtId="0" fontId="2" fillId="0" borderId="0" xfId="0" applyFont="1" applyAlignment="1">
      <alignment wrapText="1"/>
    </xf>
    <xf numFmtId="164" fontId="2" fillId="0" borderId="0" xfId="0" applyNumberFormat="1" applyFont="1" applyAlignment="1">
      <alignment horizontal="right"/>
    </xf>
    <xf numFmtId="0" fontId="2" fillId="0" borderId="0" xfId="0" applyFont="1" applyAlignment="1">
      <alignment horizontal="left" vertical="center"/>
    </xf>
    <xf numFmtId="3" fontId="6" fillId="0" borderId="6" xfId="0" applyNumberFormat="1" applyFont="1" applyBorder="1" applyAlignment="1">
      <alignment horizontal="right" vertical="center"/>
    </xf>
    <xf numFmtId="0" fontId="6" fillId="0" borderId="7" xfId="0" applyFont="1" applyBorder="1" applyAlignment="1">
      <alignment vertical="center"/>
    </xf>
    <xf numFmtId="0" fontId="3" fillId="0" borderId="0" xfId="0" applyFont="1"/>
    <xf numFmtId="3" fontId="6" fillId="0" borderId="8" xfId="0" applyNumberFormat="1" applyFont="1" applyBorder="1" applyAlignment="1">
      <alignment horizontal="right" vertical="center"/>
    </xf>
    <xf numFmtId="0" fontId="6" fillId="0" borderId="9" xfId="0" applyFont="1" applyBorder="1" applyAlignment="1">
      <alignment vertical="center"/>
    </xf>
    <xf numFmtId="3" fontId="12" fillId="0" borderId="8" xfId="0" applyNumberFormat="1" applyFont="1" applyBorder="1" applyAlignment="1">
      <alignment horizontal="right" vertical="center"/>
    </xf>
    <xf numFmtId="3" fontId="2"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164" fontId="4" fillId="0" borderId="0" xfId="0" applyNumberFormat="1" applyFont="1" applyAlignment="1">
      <alignment horizontal="center"/>
    </xf>
    <xf numFmtId="3" fontId="6" fillId="0" borderId="10" xfId="0" applyNumberFormat="1" applyFont="1" applyBorder="1" applyAlignment="1">
      <alignment horizontal="right" vertical="center"/>
    </xf>
    <xf numFmtId="0" fontId="6" fillId="0" borderId="11" xfId="0" applyFont="1" applyBorder="1" applyAlignment="1">
      <alignment vertical="center"/>
    </xf>
    <xf numFmtId="3" fontId="4" fillId="0" borderId="0" xfId="0" applyNumberFormat="1" applyFont="1" applyAlignment="1">
      <alignment horizontal="center"/>
    </xf>
    <xf numFmtId="0" fontId="6" fillId="0" borderId="6"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49" fontId="3" fillId="0" borderId="0" xfId="0" applyNumberFormat="1" applyFont="1"/>
    <xf numFmtId="3" fontId="3" fillId="0" borderId="0" xfId="0" applyNumberFormat="1" applyFont="1" applyAlignment="1">
      <alignment horizontal="center" wrapText="1"/>
    </xf>
    <xf numFmtId="3" fontId="3" fillId="0" borderId="0" xfId="0" applyNumberFormat="1" applyFont="1" applyAlignment="1">
      <alignment horizontal="center"/>
    </xf>
    <xf numFmtId="49" fontId="3" fillId="0" borderId="0" xfId="0" applyNumberFormat="1" applyFont="1" applyAlignment="1">
      <alignment horizontal="center"/>
    </xf>
    <xf numFmtId="0" fontId="3" fillId="0" borderId="0" xfId="0" applyFont="1" applyAlignment="1">
      <alignment horizontal="right"/>
    </xf>
    <xf numFmtId="165" fontId="2" fillId="0" borderId="1" xfId="0" applyNumberFormat="1" applyFont="1" applyBorder="1" applyAlignment="1">
      <alignment horizontal="center"/>
    </xf>
    <xf numFmtId="0" fontId="2" fillId="0" borderId="1" xfId="0" applyFont="1" applyBorder="1" applyAlignment="1">
      <alignment horizontal="left"/>
    </xf>
    <xf numFmtId="165" fontId="3" fillId="0" borderId="1" xfId="0" applyNumberFormat="1" applyFont="1" applyBorder="1" applyAlignment="1">
      <alignment horizontal="center"/>
    </xf>
    <xf numFmtId="0" fontId="16" fillId="0" borderId="1" xfId="0" applyFont="1" applyBorder="1" applyAlignment="1">
      <alignment horizontal="center"/>
    </xf>
    <xf numFmtId="165" fontId="2" fillId="0" borderId="0" xfId="0" applyNumberFormat="1" applyFont="1" applyAlignment="1">
      <alignment horizontal="center"/>
    </xf>
    <xf numFmtId="165" fontId="2" fillId="0" borderId="0" xfId="0" applyNumberFormat="1" applyFont="1"/>
    <xf numFmtId="165" fontId="2" fillId="0" borderId="0" xfId="0" applyNumberFormat="1" applyFont="1" applyAlignment="1">
      <alignment horizontal="left"/>
    </xf>
    <xf numFmtId="165" fontId="4" fillId="0" borderId="0" xfId="0" applyNumberFormat="1" applyFont="1"/>
    <xf numFmtId="165" fontId="4" fillId="0" borderId="0" xfId="0" applyNumberFormat="1" applyFont="1" applyAlignment="1">
      <alignment horizontal="left"/>
    </xf>
    <xf numFmtId="165" fontId="4" fillId="0" borderId="0" xfId="0" applyNumberFormat="1" applyFont="1" applyAlignment="1">
      <alignment horizontal="center"/>
    </xf>
    <xf numFmtId="0" fontId="6" fillId="0" borderId="0" xfId="0" applyFont="1" applyAlignment="1">
      <alignment horizontal="justify" vertical="center"/>
    </xf>
    <xf numFmtId="3" fontId="6" fillId="0" borderId="0" xfId="0" applyNumberFormat="1" applyFont="1" applyAlignment="1">
      <alignment horizontal="justify" vertical="center"/>
    </xf>
    <xf numFmtId="165" fontId="3" fillId="0" borderId="0" xfId="0" applyNumberFormat="1" applyFont="1" applyAlignment="1">
      <alignment horizontal="center"/>
    </xf>
    <xf numFmtId="0" fontId="3" fillId="0" borderId="0" xfId="0" applyFont="1" applyAlignment="1">
      <alignment horizontal="center"/>
    </xf>
    <xf numFmtId="0" fontId="12" fillId="0" borderId="0" xfId="0" applyFont="1" applyAlignment="1">
      <alignment horizontal="justify" vertical="center"/>
    </xf>
    <xf numFmtId="167" fontId="5" fillId="0" borderId="0" xfId="0" applyNumberFormat="1" applyFont="1"/>
    <xf numFmtId="0" fontId="5" fillId="0" borderId="0" xfId="0" applyFont="1"/>
    <xf numFmtId="3" fontId="5" fillId="0" borderId="0" xfId="0" applyNumberFormat="1" applyFont="1"/>
    <xf numFmtId="167" fontId="3" fillId="0" borderId="0" xfId="0" applyNumberFormat="1" applyFont="1"/>
    <xf numFmtId="3" fontId="3" fillId="0" borderId="0" xfId="0" applyNumberFormat="1" applyFont="1"/>
    <xf numFmtId="3" fontId="17" fillId="0" borderId="0" xfId="0" applyNumberFormat="1" applyFont="1"/>
    <xf numFmtId="3" fontId="0" fillId="0" borderId="0" xfId="0" applyNumberFormat="1"/>
    <xf numFmtId="3" fontId="10" fillId="0" borderId="16" xfId="0" applyNumberFormat="1" applyFont="1" applyBorder="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justify" vertical="center" wrapText="1"/>
    </xf>
    <xf numFmtId="3" fontId="12" fillId="0" borderId="0" xfId="0" applyNumberFormat="1" applyFont="1" applyAlignment="1">
      <alignment horizontal="right" vertical="center" wrapText="1"/>
    </xf>
    <xf numFmtId="0" fontId="6" fillId="0" borderId="0" xfId="0" applyFont="1" applyAlignment="1">
      <alignment horizontal="justify" vertical="center" wrapText="1"/>
    </xf>
    <xf numFmtId="167" fontId="0" fillId="0" borderId="0" xfId="0" applyNumberFormat="1"/>
    <xf numFmtId="3" fontId="6" fillId="0" borderId="0" xfId="0" applyNumberFormat="1" applyFont="1" applyAlignment="1">
      <alignment horizontal="right" vertical="center" wrapText="1"/>
    </xf>
    <xf numFmtId="0" fontId="12" fillId="0" borderId="0" xfId="0" applyFont="1" applyAlignment="1">
      <alignment horizontal="justify" vertical="center" wrapText="1"/>
    </xf>
    <xf numFmtId="0" fontId="17" fillId="0" borderId="0" xfId="0" applyFont="1"/>
    <xf numFmtId="0" fontId="0" fillId="0" borderId="0" xfId="0" applyAlignment="1">
      <alignment horizontal="center"/>
    </xf>
    <xf numFmtId="0" fontId="10" fillId="0" borderId="0" xfId="0" applyFont="1" applyAlignment="1">
      <alignment horizontal="center" vertical="center" wrapText="1"/>
    </xf>
    <xf numFmtId="0" fontId="6" fillId="0" borderId="0" xfId="0" applyFont="1" applyAlignment="1">
      <alignment horizontal="left" vertical="center" wrapText="1"/>
    </xf>
    <xf numFmtId="3" fontId="6" fillId="0" borderId="0" xfId="0" applyNumberFormat="1" applyFont="1" applyAlignment="1">
      <alignment horizontal="right" vertical="center"/>
    </xf>
    <xf numFmtId="3" fontId="12" fillId="0" borderId="0" xfId="0" applyNumberFormat="1" applyFont="1" applyAlignment="1">
      <alignment horizontal="right" vertical="center"/>
    </xf>
    <xf numFmtId="167" fontId="0" fillId="0" borderId="0" xfId="0" applyNumberFormat="1" applyAlignment="1">
      <alignment horizontal="center"/>
    </xf>
    <xf numFmtId="0" fontId="18" fillId="0" borderId="0" xfId="0" applyFont="1" applyAlignment="1">
      <alignment horizontal="left" vertical="center"/>
    </xf>
    <xf numFmtId="167" fontId="6" fillId="0" borderId="6" xfId="0" applyNumberFormat="1" applyFont="1" applyBorder="1" applyAlignment="1">
      <alignment horizontal="center" vertical="center"/>
    </xf>
    <xf numFmtId="167" fontId="6" fillId="0" borderId="5" xfId="0" applyNumberFormat="1" applyFont="1" applyBorder="1" applyAlignment="1">
      <alignment horizontal="center" vertical="center"/>
    </xf>
    <xf numFmtId="0" fontId="6" fillId="0" borderId="5" xfId="0" applyFont="1" applyBorder="1" applyAlignment="1">
      <alignment horizontal="justify" vertical="center"/>
    </xf>
    <xf numFmtId="0" fontId="2" fillId="0" borderId="7" xfId="0" applyFont="1" applyBorder="1"/>
    <xf numFmtId="167" fontId="12" fillId="0" borderId="8" xfId="0" applyNumberFormat="1" applyFont="1" applyBorder="1" applyAlignment="1">
      <alignment horizontal="center" vertical="center"/>
    </xf>
    <xf numFmtId="167" fontId="12" fillId="0" borderId="0" xfId="0" applyNumberFormat="1" applyFont="1" applyAlignment="1">
      <alignment horizontal="center" vertical="center"/>
    </xf>
    <xf numFmtId="0" fontId="6" fillId="0" borderId="9" xfId="0" applyFont="1" applyBorder="1" applyAlignment="1">
      <alignment horizontal="justify" vertical="center"/>
    </xf>
    <xf numFmtId="167" fontId="6" fillId="0" borderId="8" xfId="0" applyNumberFormat="1" applyFont="1" applyBorder="1" applyAlignment="1">
      <alignment horizontal="center" vertical="center"/>
    </xf>
    <xf numFmtId="167" fontId="6" fillId="0" borderId="0" xfId="0" applyNumberFormat="1" applyFont="1" applyAlignment="1">
      <alignment horizontal="center" vertical="center"/>
    </xf>
    <xf numFmtId="0" fontId="2" fillId="0" borderId="9" xfId="0" applyFont="1" applyBorder="1"/>
    <xf numFmtId="167" fontId="2" fillId="0" borderId="0" xfId="0" applyNumberFormat="1" applyFont="1" applyAlignment="1">
      <alignment horizontal="center" vertical="center"/>
    </xf>
    <xf numFmtId="0" fontId="18" fillId="0" borderId="8" xfId="0" applyFont="1" applyBorder="1" applyAlignment="1">
      <alignment horizontal="center" vertical="center"/>
    </xf>
    <xf numFmtId="0" fontId="18" fillId="0" borderId="0" xfId="0" applyFont="1" applyAlignment="1">
      <alignment horizontal="center" vertical="center"/>
    </xf>
    <xf numFmtId="0" fontId="2" fillId="0" borderId="15" xfId="0" applyFont="1" applyBorder="1"/>
    <xf numFmtId="0" fontId="2" fillId="0" borderId="11" xfId="0" applyFont="1" applyBorder="1"/>
    <xf numFmtId="0" fontId="2" fillId="0" borderId="0" xfId="0" applyFont="1" applyAlignment="1">
      <alignment horizontal="center" vertical="center"/>
    </xf>
    <xf numFmtId="3" fontId="6" fillId="0" borderId="0" xfId="0" applyNumberFormat="1" applyFont="1" applyAlignment="1">
      <alignment horizontal="left" vertical="center" wrapText="1"/>
    </xf>
    <xf numFmtId="3" fontId="12" fillId="0" borderId="0" xfId="0" applyNumberFormat="1" applyFont="1" applyAlignment="1">
      <alignment horizontal="left" vertical="center" wrapText="1"/>
    </xf>
    <xf numFmtId="0" fontId="6" fillId="0" borderId="0" xfId="0" applyFont="1" applyAlignment="1">
      <alignment horizontal="left" vertical="center"/>
    </xf>
    <xf numFmtId="3" fontId="6" fillId="0" borderId="0" xfId="0" applyNumberFormat="1" applyFont="1" applyAlignment="1">
      <alignment horizontal="left" vertical="center"/>
    </xf>
    <xf numFmtId="0" fontId="12" fillId="0" borderId="0" xfId="0" applyFont="1" applyAlignment="1">
      <alignment horizontal="left" vertical="center"/>
    </xf>
    <xf numFmtId="0" fontId="6" fillId="0" borderId="9" xfId="0" applyFont="1" applyBorder="1" applyAlignment="1">
      <alignment horizontal="left" vertical="center"/>
    </xf>
    <xf numFmtId="3" fontId="6" fillId="0" borderId="8" xfId="0" applyNumberFormat="1" applyFont="1" applyBorder="1" applyAlignment="1">
      <alignment horizontal="left" vertical="center"/>
    </xf>
    <xf numFmtId="0" fontId="12" fillId="0" borderId="9"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right" vertical="center"/>
    </xf>
    <xf numFmtId="0" fontId="10" fillId="0" borderId="0" xfId="0" applyFont="1" applyAlignment="1">
      <alignment horizontal="center" vertical="center"/>
    </xf>
    <xf numFmtId="3" fontId="6"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right"/>
    </xf>
    <xf numFmtId="3" fontId="12" fillId="0" borderId="0" xfId="0" applyNumberFormat="1"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vertical="center" wrapText="1"/>
    </xf>
    <xf numFmtId="0" fontId="12" fillId="0" borderId="0" xfId="0" applyFont="1" applyAlignment="1">
      <alignment vertical="center"/>
    </xf>
    <xf numFmtId="0" fontId="6" fillId="0" borderId="0" xfId="0" applyFont="1" applyAlignment="1">
      <alignment vertical="center"/>
    </xf>
    <xf numFmtId="0" fontId="10" fillId="0" borderId="1" xfId="0" applyFont="1" applyBorder="1" applyAlignment="1">
      <alignment vertical="center"/>
    </xf>
    <xf numFmtId="0" fontId="18" fillId="0" borderId="1" xfId="0" applyFont="1" applyBorder="1" applyAlignment="1">
      <alignment vertical="center"/>
    </xf>
    <xf numFmtId="0" fontId="2" fillId="0" borderId="1" xfId="0" applyFont="1" applyBorder="1"/>
    <xf numFmtId="0" fontId="6" fillId="0" borderId="1" xfId="0" applyFont="1" applyBorder="1" applyAlignment="1">
      <alignment vertical="center"/>
    </xf>
    <xf numFmtId="0" fontId="12" fillId="0" borderId="0" xfId="0" applyFont="1" applyAlignment="1">
      <alignment horizontal="right" vertical="center"/>
    </xf>
    <xf numFmtId="0" fontId="6" fillId="0" borderId="1" xfId="0" applyFont="1" applyBorder="1" applyAlignment="1">
      <alignment vertical="center" wrapText="1"/>
    </xf>
    <xf numFmtId="3" fontId="6" fillId="0" borderId="0" xfId="0" applyNumberFormat="1" applyFont="1" applyAlignment="1">
      <alignment vertical="center"/>
    </xf>
    <xf numFmtId="0" fontId="2" fillId="0" borderId="0" xfId="1" applyFont="1" applyAlignment="1">
      <alignment wrapText="1"/>
    </xf>
    <xf numFmtId="0" fontId="2" fillId="0" borderId="0" xfId="1" applyFont="1" applyAlignment="1">
      <alignment horizontal="left" vertical="center" wrapText="1"/>
    </xf>
    <xf numFmtId="0" fontId="2" fillId="0" borderId="2" xfId="1" applyFont="1" applyBorder="1" applyAlignment="1">
      <alignment horizontal="center"/>
    </xf>
    <xf numFmtId="0" fontId="3" fillId="0" borderId="0" xfId="1" applyFont="1" applyAlignment="1">
      <alignment horizontal="center"/>
    </xf>
    <xf numFmtId="0" fontId="10" fillId="0" borderId="3" xfId="1" applyFont="1" applyBorder="1" applyAlignment="1">
      <alignment horizontal="center"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2" fillId="0" borderId="0" xfId="1" applyFont="1" applyAlignment="1">
      <alignment horizontal="left" vertical="center"/>
    </xf>
    <xf numFmtId="0" fontId="3" fillId="0" borderId="0" xfId="1" applyFont="1" applyAlignment="1">
      <alignment horizontal="left" vertical="center"/>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2" xfId="1" applyFont="1" applyBorder="1" applyAlignment="1">
      <alignment horizontal="center" vertical="center" wrapText="1"/>
    </xf>
    <xf numFmtId="0" fontId="2" fillId="2" borderId="0" xfId="1" applyFont="1" applyFill="1" applyAlignment="1">
      <alignment horizontal="center"/>
    </xf>
    <xf numFmtId="0" fontId="2" fillId="0" borderId="0" xfId="1" applyFont="1" applyAlignment="1">
      <alignment horizontal="center"/>
    </xf>
    <xf numFmtId="0" fontId="2" fillId="0" borderId="0" xfId="1" applyFont="1" applyAlignment="1">
      <alignment horizontal="left" wrapText="1"/>
    </xf>
    <xf numFmtId="0" fontId="2" fillId="0" borderId="0" xfId="0" applyFont="1" applyAlignment="1">
      <alignment horizontal="left" vertical="center" wrapText="1"/>
    </xf>
    <xf numFmtId="0" fontId="2" fillId="8" borderId="0" xfId="1" applyFont="1" applyFill="1" applyAlignment="1">
      <alignment wrapText="1"/>
    </xf>
    <xf numFmtId="0" fontId="3" fillId="0" borderId="0" xfId="1" applyFont="1" applyAlignment="1">
      <alignment horizontal="left"/>
    </xf>
    <xf numFmtId="0" fontId="2" fillId="8" borderId="0" xfId="1" applyFont="1" applyFill="1" applyAlignment="1">
      <alignment horizontal="center" wrapText="1"/>
    </xf>
    <xf numFmtId="0" fontId="3" fillId="0" borderId="0" xfId="1" applyFont="1" applyAlignment="1">
      <alignment wrapText="1"/>
    </xf>
    <xf numFmtId="0" fontId="5" fillId="0" borderId="0" xfId="1" applyFont="1" applyAlignment="1">
      <alignment horizontal="center"/>
    </xf>
    <xf numFmtId="0" fontId="3" fillId="0" borderId="0" xfId="1" applyFont="1"/>
    <xf numFmtId="0" fontId="2" fillId="8" borderId="0" xfId="1" applyFont="1" applyFill="1" applyAlignment="1">
      <alignment horizontal="left" wrapText="1"/>
    </xf>
    <xf numFmtId="0" fontId="2" fillId="8" borderId="0" xfId="1" applyFont="1" applyFill="1"/>
    <xf numFmtId="0" fontId="3" fillId="0" borderId="0" xfId="1" applyFont="1" applyAlignment="1">
      <alignment horizontal="left" wrapText="1"/>
    </xf>
    <xf numFmtId="0" fontId="3" fillId="8" borderId="0" xfId="1" applyFont="1" applyFill="1" applyAlignment="1">
      <alignment horizontal="left"/>
    </xf>
    <xf numFmtId="0" fontId="3" fillId="8" borderId="0" xfId="1" applyFont="1" applyFill="1" applyAlignment="1">
      <alignment horizontal="center"/>
    </xf>
    <xf numFmtId="3" fontId="3" fillId="8" borderId="0" xfId="1" applyNumberFormat="1" applyFont="1" applyFill="1" applyAlignment="1">
      <alignment horizontal="center"/>
    </xf>
    <xf numFmtId="0" fontId="2" fillId="0" borderId="0" xfId="0" applyFont="1" applyAlignment="1">
      <alignment horizontal="left" vertical="center"/>
    </xf>
    <xf numFmtId="0" fontId="2" fillId="0" borderId="5"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165" fontId="3" fillId="0" borderId="0" xfId="0" applyNumberFormat="1" applyFont="1" applyAlignment="1">
      <alignment horizontal="center"/>
    </xf>
    <xf numFmtId="0" fontId="2" fillId="0" borderId="3" xfId="0" applyFont="1" applyBorder="1" applyAlignment="1">
      <alignment horizontal="center"/>
    </xf>
    <xf numFmtId="0" fontId="12" fillId="0" borderId="15" xfId="0" applyFont="1" applyBorder="1" applyAlignment="1">
      <alignment horizontal="justify" vertical="center"/>
    </xf>
    <xf numFmtId="165" fontId="2" fillId="0" borderId="0" xfId="0" applyNumberFormat="1" applyFont="1" applyAlignment="1">
      <alignment horizontal="center"/>
    </xf>
    <xf numFmtId="0" fontId="2" fillId="0" borderId="0" xfId="0" applyFont="1" applyAlignment="1">
      <alignment horizontal="left" wrapTex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wrapText="1"/>
    </xf>
    <xf numFmtId="0" fontId="6" fillId="0" borderId="0" xfId="0" applyFont="1" applyAlignment="1">
      <alignment horizontal="left" vertical="center" wrapText="1"/>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2" fillId="0" borderId="15" xfId="0" applyFont="1" applyBorder="1" applyAlignment="1">
      <alignment horizontal="left" vertical="center" wrapText="1"/>
    </xf>
    <xf numFmtId="0" fontId="5" fillId="0" borderId="0" xfId="0" applyFont="1" applyAlignment="1">
      <alignment horizontal="left" wrapText="1"/>
    </xf>
    <xf numFmtId="0" fontId="2" fillId="0" borderId="0" xfId="0" applyFont="1" applyAlignment="1">
      <alignment horizontal="center" vertical="center"/>
    </xf>
    <xf numFmtId="0" fontId="2" fillId="0" borderId="2" xfId="0" applyFont="1" applyBorder="1" applyAlignment="1">
      <alignment horizontal="left" vertical="center" wrapText="1"/>
    </xf>
    <xf numFmtId="0" fontId="3" fillId="0" borderId="3" xfId="0" applyFont="1" applyBorder="1" applyAlignment="1">
      <alignment horizontal="left" vertical="center"/>
    </xf>
    <xf numFmtId="0" fontId="6" fillId="0" borderId="0" xfId="0" applyFont="1" applyAlignment="1">
      <alignment horizontal="left" vertical="center"/>
    </xf>
  </cellXfs>
  <cellStyles count="4">
    <cellStyle name="Normal" xfId="0" builtinId="0"/>
    <cellStyle name="Normal 2" xfId="1" xr:uid="{CE0339DC-0347-4F23-A134-839C7755C257}"/>
    <cellStyle name="Percent" xfId="3" builtinId="5"/>
    <cellStyle name="Percent 2" xfId="2" xr:uid="{BF1EBF62-3112-41F2-9AE7-BC29652EE0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853439</xdr:colOff>
      <xdr:row>6</xdr:row>
      <xdr:rowOff>38100</xdr:rowOff>
    </xdr:from>
    <xdr:to>
      <xdr:col>2</xdr:col>
      <xdr:colOff>1150620</xdr:colOff>
      <xdr:row>7</xdr:row>
      <xdr:rowOff>152400</xdr:rowOff>
    </xdr:to>
    <xdr:pic>
      <xdr:nvPicPr>
        <xdr:cNvPr id="2" name="Picture 1">
          <a:extLst>
            <a:ext uri="{FF2B5EF4-FFF2-40B4-BE49-F238E27FC236}">
              <a16:creationId xmlns:a16="http://schemas.microsoft.com/office/drawing/2014/main" id="{117A8C03-035D-44BA-A48B-7F75E3510D3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3039" y="1127760"/>
          <a:ext cx="1592581"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182880</xdr:colOff>
      <xdr:row>6</xdr:row>
      <xdr:rowOff>60960</xdr:rowOff>
    </xdr:from>
    <xdr:to>
      <xdr:col>5</xdr:col>
      <xdr:colOff>251460</xdr:colOff>
      <xdr:row>7</xdr:row>
      <xdr:rowOff>68580</xdr:rowOff>
    </xdr:to>
    <xdr:pic>
      <xdr:nvPicPr>
        <xdr:cNvPr id="3" name="Picture 2">
          <a:extLst>
            <a:ext uri="{FF2B5EF4-FFF2-40B4-BE49-F238E27FC236}">
              <a16:creationId xmlns:a16="http://schemas.microsoft.com/office/drawing/2014/main" id="{0C557119-B71F-4304-AC1A-A48993C8387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16780" y="1150620"/>
          <a:ext cx="678180"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274320</xdr:colOff>
      <xdr:row>6</xdr:row>
      <xdr:rowOff>83820</xdr:rowOff>
    </xdr:from>
    <xdr:to>
      <xdr:col>5</xdr:col>
      <xdr:colOff>358140</xdr:colOff>
      <xdr:row>7</xdr:row>
      <xdr:rowOff>76200</xdr:rowOff>
    </xdr:to>
    <xdr:pic>
      <xdr:nvPicPr>
        <xdr:cNvPr id="4" name="Picture 3">
          <a:extLst>
            <a:ext uri="{FF2B5EF4-FFF2-40B4-BE49-F238E27FC236}">
              <a16:creationId xmlns:a16="http://schemas.microsoft.com/office/drawing/2014/main" id="{65CBC85F-CBD1-4FCF-9E0A-B6989320368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17820" y="1173480"/>
          <a:ext cx="8382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220980</xdr:colOff>
      <xdr:row>6</xdr:row>
      <xdr:rowOff>0</xdr:rowOff>
    </xdr:from>
    <xdr:to>
      <xdr:col>8</xdr:col>
      <xdr:colOff>53340</xdr:colOff>
      <xdr:row>7</xdr:row>
      <xdr:rowOff>121920</xdr:rowOff>
    </xdr:to>
    <xdr:pic>
      <xdr:nvPicPr>
        <xdr:cNvPr id="5" name="Picture 4">
          <a:extLst>
            <a:ext uri="{FF2B5EF4-FFF2-40B4-BE49-F238E27FC236}">
              <a16:creationId xmlns:a16="http://schemas.microsoft.com/office/drawing/2014/main" id="{400255D8-BB30-45D3-B481-5DA8DF068CB7}"/>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74080" y="1089660"/>
          <a:ext cx="1051560"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ABB7E-9BE6-40FD-9F75-91D7E50DF95D}">
  <dimension ref="A1:L33"/>
  <sheetViews>
    <sheetView workbookViewId="0">
      <selection activeCell="C22" sqref="C22"/>
    </sheetView>
  </sheetViews>
  <sheetFormatPr defaultRowHeight="13.8" x14ac:dyDescent="0.25"/>
  <cols>
    <col min="1" max="1" width="8.88671875" style="2"/>
    <col min="2" max="2" width="37" style="2" customWidth="1"/>
    <col min="3" max="3" width="11.5546875" style="2" customWidth="1"/>
    <col min="4" max="7" width="8.88671875" style="2"/>
    <col min="8" max="8" width="25.5546875" style="2" bestFit="1" customWidth="1"/>
    <col min="9" max="9" width="8.88671875" style="2"/>
    <col min="10" max="10" width="11.88671875" style="2" customWidth="1"/>
    <col min="11" max="11" width="15.33203125" style="2" customWidth="1"/>
    <col min="12" max="16384" width="8.88671875" style="2"/>
  </cols>
  <sheetData>
    <row r="1" spans="1:12" x14ac:dyDescent="0.25">
      <c r="A1" s="212" t="s">
        <v>0</v>
      </c>
      <c r="B1" s="212"/>
      <c r="C1" s="212"/>
      <c r="D1" s="212"/>
      <c r="E1" s="212"/>
      <c r="F1" s="1"/>
      <c r="H1" s="3" t="s">
        <v>1</v>
      </c>
    </row>
    <row r="2" spans="1:12" x14ac:dyDescent="0.25">
      <c r="A2" s="212"/>
      <c r="B2" s="212"/>
      <c r="C2" s="212"/>
      <c r="D2" s="212"/>
      <c r="E2" s="212"/>
      <c r="F2" s="1"/>
      <c r="H2" s="4" t="s">
        <v>2</v>
      </c>
      <c r="I2" s="4"/>
      <c r="J2" s="5">
        <v>0.5</v>
      </c>
      <c r="K2" s="5">
        <v>0.3</v>
      </c>
      <c r="L2" s="5">
        <v>0.2</v>
      </c>
    </row>
    <row r="3" spans="1:12" x14ac:dyDescent="0.25">
      <c r="C3" s="2" t="s">
        <v>3</v>
      </c>
      <c r="H3" s="4" t="s">
        <v>4</v>
      </c>
      <c r="I3" s="4"/>
      <c r="J3" s="6" t="s">
        <v>5</v>
      </c>
      <c r="K3" s="6" t="s">
        <v>6</v>
      </c>
      <c r="L3" s="6" t="s">
        <v>7</v>
      </c>
    </row>
    <row r="4" spans="1:12" x14ac:dyDescent="0.25">
      <c r="B4" s="7" t="s">
        <v>8</v>
      </c>
      <c r="H4" s="4" t="s">
        <v>9</v>
      </c>
      <c r="I4" s="6" t="s">
        <v>10</v>
      </c>
      <c r="J4" s="4"/>
      <c r="K4" s="4"/>
      <c r="L4" s="4"/>
    </row>
    <row r="5" spans="1:12" x14ac:dyDescent="0.25">
      <c r="B5" s="2" t="s">
        <v>11</v>
      </c>
      <c r="C5" s="8">
        <v>220000</v>
      </c>
      <c r="H5" s="4" t="str">
        <f t="shared" ref="H5:I11" si="0">B9</f>
        <v>Vessel repair expense</v>
      </c>
      <c r="I5" s="9">
        <f t="shared" si="0"/>
        <v>13000</v>
      </c>
      <c r="J5" s="9">
        <f>I5</f>
        <v>13000</v>
      </c>
      <c r="K5" s="9"/>
      <c r="L5" s="9"/>
    </row>
    <row r="6" spans="1:12" x14ac:dyDescent="0.25">
      <c r="B6" s="2" t="s">
        <v>12</v>
      </c>
      <c r="C6" s="8">
        <v>100000</v>
      </c>
      <c r="H6" s="4" t="str">
        <f t="shared" si="0"/>
        <v>Vessel depreciation</v>
      </c>
      <c r="I6" s="9">
        <f t="shared" si="0"/>
        <v>48000</v>
      </c>
      <c r="J6" s="9">
        <f t="shared" ref="J6:J8" si="1">I6</f>
        <v>48000</v>
      </c>
      <c r="K6" s="9"/>
      <c r="L6" s="9"/>
    </row>
    <row r="7" spans="1:12" x14ac:dyDescent="0.25">
      <c r="B7" s="2" t="s">
        <v>13</v>
      </c>
      <c r="C7" s="8">
        <v>3000</v>
      </c>
      <c r="H7" s="4" t="str">
        <f t="shared" si="0"/>
        <v>Vessel fuel expense</v>
      </c>
      <c r="I7" s="9">
        <f t="shared" si="0"/>
        <v>18000</v>
      </c>
      <c r="J7" s="9">
        <f t="shared" si="1"/>
        <v>18000</v>
      </c>
      <c r="K7" s="9"/>
      <c r="L7" s="9"/>
    </row>
    <row r="8" spans="1:12" x14ac:dyDescent="0.25">
      <c r="B8" s="7" t="s">
        <v>14</v>
      </c>
      <c r="H8" s="4" t="str">
        <f t="shared" si="0"/>
        <v>Crew salaries</v>
      </c>
      <c r="I8" s="9">
        <f t="shared" si="0"/>
        <v>39000</v>
      </c>
      <c r="J8" s="9">
        <f t="shared" si="1"/>
        <v>39000</v>
      </c>
      <c r="K8" s="9"/>
      <c r="L8" s="9"/>
    </row>
    <row r="9" spans="1:12" x14ac:dyDescent="0.25">
      <c r="B9" s="2" t="s">
        <v>15</v>
      </c>
      <c r="C9" s="8">
        <v>13000</v>
      </c>
      <c r="H9" s="4" t="str">
        <f t="shared" si="0"/>
        <v>Insurance expense</v>
      </c>
      <c r="I9" s="9">
        <f t="shared" si="0"/>
        <v>8000</v>
      </c>
      <c r="J9" s="9">
        <f>$I$9*J2</f>
        <v>4000</v>
      </c>
      <c r="K9" s="9">
        <f>$I$9*K2</f>
        <v>2400</v>
      </c>
      <c r="L9" s="9">
        <f>$I$9*L2</f>
        <v>1600</v>
      </c>
    </row>
    <row r="10" spans="1:12" x14ac:dyDescent="0.25">
      <c r="B10" s="2" t="s">
        <v>16</v>
      </c>
      <c r="C10" s="8">
        <v>48000</v>
      </c>
      <c r="H10" s="4" t="str">
        <f t="shared" si="0"/>
        <v>Salaries of administrative staff</v>
      </c>
      <c r="I10" s="9">
        <f t="shared" si="0"/>
        <v>16000</v>
      </c>
      <c r="J10" s="9"/>
      <c r="K10" s="9">
        <f>I10</f>
        <v>16000</v>
      </c>
      <c r="L10" s="9"/>
    </row>
    <row r="11" spans="1:12" x14ac:dyDescent="0.25">
      <c r="B11" s="2" t="s">
        <v>17</v>
      </c>
      <c r="C11" s="8">
        <v>18000</v>
      </c>
      <c r="H11" s="4" t="str">
        <f t="shared" si="0"/>
        <v>Salaries of selling staff</v>
      </c>
      <c r="I11" s="9">
        <f t="shared" si="0"/>
        <v>12000</v>
      </c>
      <c r="J11" s="9"/>
      <c r="K11" s="9"/>
      <c r="L11" s="9">
        <f>I11</f>
        <v>12000</v>
      </c>
    </row>
    <row r="12" spans="1:12" x14ac:dyDescent="0.25">
      <c r="B12" s="2" t="s">
        <v>18</v>
      </c>
      <c r="C12" s="8">
        <v>39000</v>
      </c>
      <c r="H12" s="4" t="str">
        <f t="shared" ref="H12:I14" si="2">B17</f>
        <v>Management fees</v>
      </c>
      <c r="I12" s="9">
        <f t="shared" si="2"/>
        <v>3000</v>
      </c>
      <c r="J12" s="9"/>
      <c r="K12" s="9">
        <f>I12</f>
        <v>3000</v>
      </c>
      <c r="L12" s="9"/>
    </row>
    <row r="13" spans="1:12" x14ac:dyDescent="0.25">
      <c r="B13" s="2" t="s">
        <v>19</v>
      </c>
      <c r="C13" s="8">
        <v>8000</v>
      </c>
      <c r="H13" s="4" t="str">
        <f t="shared" si="2"/>
        <v>Electricity expense</v>
      </c>
      <c r="I13" s="9">
        <f t="shared" si="2"/>
        <v>2000</v>
      </c>
      <c r="J13" s="9">
        <f>$I$13*J2</f>
        <v>1000</v>
      </c>
      <c r="K13" s="9">
        <f>$I$13*K2</f>
        <v>600</v>
      </c>
      <c r="L13" s="9">
        <f>$I$13*L2</f>
        <v>400</v>
      </c>
    </row>
    <row r="14" spans="1:12" x14ac:dyDescent="0.25">
      <c r="B14" s="2" t="s">
        <v>20</v>
      </c>
      <c r="C14" s="8">
        <v>16000</v>
      </c>
      <c r="H14" s="4" t="str">
        <f t="shared" si="2"/>
        <v>Telecommunication expense</v>
      </c>
      <c r="I14" s="9">
        <f t="shared" si="2"/>
        <v>1000</v>
      </c>
      <c r="J14" s="9">
        <f>$I$14*J2</f>
        <v>500</v>
      </c>
      <c r="K14" s="9">
        <f>$I$14*K2</f>
        <v>300</v>
      </c>
      <c r="L14" s="9">
        <f>$I$14*L2</f>
        <v>200</v>
      </c>
    </row>
    <row r="15" spans="1:12" x14ac:dyDescent="0.25">
      <c r="B15" s="2" t="s">
        <v>21</v>
      </c>
      <c r="C15" s="8">
        <v>12000</v>
      </c>
      <c r="H15" s="4" t="s">
        <v>10</v>
      </c>
      <c r="I15" s="9">
        <f>SUM(I5:I14)</f>
        <v>160000</v>
      </c>
      <c r="J15" s="9">
        <f t="shared" ref="J15:L15" si="3">SUM(J5:J14)</f>
        <v>123500</v>
      </c>
      <c r="K15" s="9">
        <f t="shared" si="3"/>
        <v>22300</v>
      </c>
      <c r="L15" s="9">
        <f t="shared" si="3"/>
        <v>14200</v>
      </c>
    </row>
    <row r="16" spans="1:12" x14ac:dyDescent="0.25">
      <c r="B16" s="2" t="s">
        <v>22</v>
      </c>
      <c r="C16" s="8">
        <v>6000</v>
      </c>
    </row>
    <row r="17" spans="1:10" x14ac:dyDescent="0.25">
      <c r="B17" s="2" t="s">
        <v>23</v>
      </c>
      <c r="C17" s="8">
        <v>3000</v>
      </c>
      <c r="H17" s="3" t="s">
        <v>24</v>
      </c>
      <c r="I17" s="3"/>
      <c r="J17" s="3"/>
    </row>
    <row r="18" spans="1:10" x14ac:dyDescent="0.25">
      <c r="B18" s="2" t="s">
        <v>25</v>
      </c>
      <c r="C18" s="8">
        <v>2000</v>
      </c>
      <c r="H18" s="3" t="s">
        <v>26</v>
      </c>
      <c r="I18" s="3"/>
      <c r="J18" s="3"/>
    </row>
    <row r="19" spans="1:10" x14ac:dyDescent="0.25">
      <c r="B19" s="2" t="s">
        <v>27</v>
      </c>
      <c r="C19" s="8">
        <v>1000</v>
      </c>
      <c r="H19" s="2" t="str">
        <f>B5</f>
        <v>Transportation revenues</v>
      </c>
      <c r="J19" s="10">
        <f>C5</f>
        <v>220000</v>
      </c>
    </row>
    <row r="20" spans="1:10" x14ac:dyDescent="0.25">
      <c r="B20" s="2" t="s">
        <v>28</v>
      </c>
      <c r="C20" s="8">
        <v>28000</v>
      </c>
      <c r="H20" s="2" t="str">
        <f>B6</f>
        <v>Charter revenues</v>
      </c>
      <c r="J20" s="10">
        <f>C6</f>
        <v>100000</v>
      </c>
    </row>
    <row r="21" spans="1:10" x14ac:dyDescent="0.25">
      <c r="B21" s="2" t="s">
        <v>29</v>
      </c>
      <c r="C21" s="8">
        <v>5000</v>
      </c>
      <c r="G21" s="2" t="s">
        <v>30</v>
      </c>
      <c r="H21" s="2" t="s">
        <v>31</v>
      </c>
      <c r="J21" s="11">
        <f>-J15</f>
        <v>-123500</v>
      </c>
    </row>
    <row r="22" spans="1:10" x14ac:dyDescent="0.25">
      <c r="A22" s="2" t="s">
        <v>32</v>
      </c>
      <c r="H22" s="3" t="s">
        <v>33</v>
      </c>
      <c r="I22" s="3"/>
      <c r="J22" s="12">
        <f>SUM(J19:J21)</f>
        <v>196500</v>
      </c>
    </row>
    <row r="23" spans="1:10" x14ac:dyDescent="0.25">
      <c r="A23" s="212" t="s">
        <v>34</v>
      </c>
      <c r="B23" s="212"/>
      <c r="C23" s="212"/>
      <c r="D23" s="212"/>
      <c r="E23" s="212"/>
      <c r="F23" s="1"/>
      <c r="G23" s="2" t="s">
        <v>30</v>
      </c>
      <c r="H23" s="2" t="s">
        <v>35</v>
      </c>
      <c r="I23" s="10">
        <f>-K15</f>
        <v>-22300</v>
      </c>
    </row>
    <row r="24" spans="1:10" x14ac:dyDescent="0.25">
      <c r="A24" s="212"/>
      <c r="B24" s="212"/>
      <c r="C24" s="212"/>
      <c r="D24" s="212"/>
      <c r="E24" s="212"/>
      <c r="F24" s="1"/>
      <c r="H24" s="2" t="s">
        <v>36</v>
      </c>
      <c r="I24" s="11">
        <f>-L15</f>
        <v>-14200</v>
      </c>
      <c r="J24" s="11">
        <f>SUM(I23:I24)</f>
        <v>-36500</v>
      </c>
    </row>
    <row r="25" spans="1:10" x14ac:dyDescent="0.25">
      <c r="A25" s="212"/>
      <c r="B25" s="212"/>
      <c r="C25" s="212"/>
      <c r="D25" s="212"/>
      <c r="E25" s="212"/>
      <c r="F25" s="1"/>
      <c r="H25" s="3" t="s">
        <v>37</v>
      </c>
      <c r="I25" s="3"/>
      <c r="J25" s="12">
        <f>J22+J24</f>
        <v>160000</v>
      </c>
    </row>
    <row r="26" spans="1:10" x14ac:dyDescent="0.25">
      <c r="A26" s="212"/>
      <c r="B26" s="212"/>
      <c r="C26" s="212"/>
      <c r="D26" s="212"/>
      <c r="E26" s="212"/>
      <c r="F26" s="1"/>
      <c r="G26" s="2" t="s">
        <v>38</v>
      </c>
      <c r="H26" s="7" t="s">
        <v>39</v>
      </c>
      <c r="I26" s="10"/>
    </row>
    <row r="27" spans="1:10" x14ac:dyDescent="0.25">
      <c r="A27" s="212"/>
      <c r="B27" s="212"/>
      <c r="C27" s="212"/>
      <c r="D27" s="212"/>
      <c r="E27" s="212"/>
      <c r="F27" s="1"/>
      <c r="H27" s="2" t="str">
        <f>B7</f>
        <v>Interest revenue</v>
      </c>
      <c r="I27" s="10">
        <f>C7</f>
        <v>3000</v>
      </c>
    </row>
    <row r="28" spans="1:10" x14ac:dyDescent="0.25">
      <c r="A28" s="2" t="s">
        <v>40</v>
      </c>
      <c r="H28" s="2" t="str">
        <f>B20</f>
        <v>Interest expense</v>
      </c>
      <c r="I28" s="11">
        <f>-C20</f>
        <v>-28000</v>
      </c>
      <c r="J28" s="10">
        <f>SUM(I27:I28)</f>
        <v>-25000</v>
      </c>
    </row>
    <row r="29" spans="1:10" x14ac:dyDescent="0.25">
      <c r="G29" s="2" t="s">
        <v>38</v>
      </c>
      <c r="H29" s="7" t="s">
        <v>41</v>
      </c>
      <c r="I29" s="10"/>
    </row>
    <row r="30" spans="1:10" x14ac:dyDescent="0.25">
      <c r="H30" s="2" t="str">
        <f>B16</f>
        <v>Loss from sale of vessels</v>
      </c>
      <c r="J30" s="11">
        <f>-C16</f>
        <v>-6000</v>
      </c>
    </row>
    <row r="31" spans="1:10" x14ac:dyDescent="0.25">
      <c r="H31" s="3" t="s">
        <v>42</v>
      </c>
      <c r="I31" s="3"/>
      <c r="J31" s="12">
        <f>J25+J28+J30</f>
        <v>129000</v>
      </c>
    </row>
    <row r="32" spans="1:10" x14ac:dyDescent="0.25">
      <c r="G32" s="2" t="s">
        <v>30</v>
      </c>
      <c r="H32" s="2" t="str">
        <f>B21</f>
        <v>Tax expense</v>
      </c>
      <c r="J32" s="11">
        <f>-C21</f>
        <v>-5000</v>
      </c>
    </row>
    <row r="33" spans="8:10" x14ac:dyDescent="0.25">
      <c r="H33" s="3" t="s">
        <v>43</v>
      </c>
      <c r="I33" s="3"/>
      <c r="J33" s="12">
        <f>J31+J32</f>
        <v>124000</v>
      </c>
    </row>
  </sheetData>
  <mergeCells count="2">
    <mergeCell ref="A1:E2"/>
    <mergeCell ref="A23:E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977B1-D619-4E39-85CA-049A4A3C7C36}">
  <dimension ref="A1:K22"/>
  <sheetViews>
    <sheetView workbookViewId="0">
      <selection activeCell="C22" sqref="C22"/>
    </sheetView>
  </sheetViews>
  <sheetFormatPr defaultRowHeight="13.8" x14ac:dyDescent="0.25"/>
  <cols>
    <col min="2" max="2" width="40.109375" customWidth="1"/>
    <col min="7" max="7" width="18.21875" customWidth="1"/>
    <col min="10" max="10" width="21.88671875" customWidth="1"/>
    <col min="11" max="11" width="12.109375" customWidth="1"/>
  </cols>
  <sheetData>
    <row r="1" spans="1:11" x14ac:dyDescent="0.25">
      <c r="A1" s="251" t="s">
        <v>413</v>
      </c>
      <c r="B1" s="251"/>
      <c r="C1" s="251"/>
      <c r="D1" s="251"/>
      <c r="E1" s="251"/>
      <c r="F1" s="74"/>
      <c r="G1" s="74"/>
      <c r="H1" s="74"/>
      <c r="I1" s="74"/>
    </row>
    <row r="2" spans="1:11" x14ac:dyDescent="0.25">
      <c r="A2" s="251"/>
      <c r="B2" s="251"/>
      <c r="C2" s="251"/>
      <c r="D2" s="251"/>
      <c r="E2" s="251"/>
      <c r="F2" s="74"/>
      <c r="G2" s="74"/>
      <c r="H2" s="74"/>
      <c r="I2" s="74"/>
    </row>
    <row r="3" spans="1:11" x14ac:dyDescent="0.25">
      <c r="B3" s="249" t="s">
        <v>412</v>
      </c>
      <c r="C3" s="249"/>
      <c r="D3" s="249"/>
      <c r="E3" s="249"/>
      <c r="F3" s="75"/>
      <c r="G3" s="75" t="s">
        <v>1</v>
      </c>
      <c r="H3" s="75"/>
      <c r="I3" s="75"/>
    </row>
    <row r="4" spans="1:11" x14ac:dyDescent="0.25">
      <c r="A4" s="74"/>
      <c r="B4" s="74"/>
      <c r="C4" s="163" t="s">
        <v>411</v>
      </c>
      <c r="D4" s="163" t="s">
        <v>411</v>
      </c>
      <c r="E4" s="163" t="s">
        <v>411</v>
      </c>
      <c r="G4" s="162">
        <v>1</v>
      </c>
      <c r="J4" s="162">
        <v>2</v>
      </c>
    </row>
    <row r="5" spans="1:11" x14ac:dyDescent="0.25">
      <c r="A5" s="74"/>
      <c r="B5" s="157" t="s">
        <v>410</v>
      </c>
      <c r="C5" s="154"/>
      <c r="D5" s="154"/>
      <c r="E5" s="159">
        <v>1000000</v>
      </c>
      <c r="G5" t="s">
        <v>409</v>
      </c>
      <c r="H5" s="152">
        <v>100000</v>
      </c>
      <c r="J5" t="s">
        <v>408</v>
      </c>
      <c r="K5">
        <v>12.5</v>
      </c>
    </row>
    <row r="6" spans="1:11" x14ac:dyDescent="0.25">
      <c r="A6" s="141" t="s">
        <v>30</v>
      </c>
      <c r="B6" s="160" t="s">
        <v>407</v>
      </c>
      <c r="C6" s="154"/>
      <c r="D6" s="154"/>
      <c r="E6" s="154"/>
      <c r="G6" t="s">
        <v>406</v>
      </c>
      <c r="H6">
        <f>E5/$H$5</f>
        <v>10</v>
      </c>
      <c r="J6" t="s">
        <v>405</v>
      </c>
      <c r="K6">
        <f>H12+1.5</f>
        <v>7.5</v>
      </c>
    </row>
    <row r="7" spans="1:11" x14ac:dyDescent="0.25">
      <c r="A7" s="74"/>
      <c r="B7" s="157" t="s">
        <v>404</v>
      </c>
      <c r="C7" s="159">
        <v>200000</v>
      </c>
      <c r="D7" s="154"/>
      <c r="E7" s="154"/>
      <c r="G7" s="161" t="s">
        <v>199</v>
      </c>
      <c r="J7" t="s">
        <v>403</v>
      </c>
      <c r="K7">
        <f>K5-K6</f>
        <v>5</v>
      </c>
    </row>
    <row r="8" spans="1:11" x14ac:dyDescent="0.25">
      <c r="A8" s="74"/>
      <c r="B8" s="157" t="s">
        <v>402</v>
      </c>
      <c r="C8" s="159">
        <v>300000</v>
      </c>
      <c r="D8" s="154"/>
      <c r="E8" s="154"/>
      <c r="G8" t="s">
        <v>401</v>
      </c>
      <c r="H8">
        <f>C7/$H$5</f>
        <v>2</v>
      </c>
      <c r="J8" t="s">
        <v>99</v>
      </c>
      <c r="K8" s="152">
        <f>H17</f>
        <v>300000</v>
      </c>
    </row>
    <row r="9" spans="1:11" x14ac:dyDescent="0.25">
      <c r="A9" s="108"/>
      <c r="B9" s="164" t="s">
        <v>400</v>
      </c>
      <c r="C9" s="185">
        <v>60000</v>
      </c>
      <c r="D9" s="68"/>
      <c r="E9" s="68"/>
      <c r="G9" t="s">
        <v>399</v>
      </c>
      <c r="H9">
        <f>C8/$H$5</f>
        <v>3</v>
      </c>
      <c r="J9" t="s">
        <v>398</v>
      </c>
      <c r="K9" s="151">
        <v>200000</v>
      </c>
    </row>
    <row r="10" spans="1:11" x14ac:dyDescent="0.25">
      <c r="A10" s="108"/>
      <c r="B10" s="164" t="s">
        <v>373</v>
      </c>
      <c r="C10" s="186">
        <v>180000</v>
      </c>
      <c r="D10" s="185">
        <v>740000</v>
      </c>
      <c r="E10" s="68"/>
      <c r="G10" t="s">
        <v>375</v>
      </c>
      <c r="H10">
        <f>C9/$H$5</f>
        <v>0.6</v>
      </c>
      <c r="J10" t="s">
        <v>397</v>
      </c>
      <c r="K10" s="152">
        <f>K8+K9</f>
        <v>500000</v>
      </c>
    </row>
    <row r="11" spans="1:11" x14ac:dyDescent="0.25">
      <c r="A11" s="141" t="s">
        <v>30</v>
      </c>
      <c r="B11" s="160" t="s">
        <v>396</v>
      </c>
      <c r="C11" s="154"/>
      <c r="D11" s="154"/>
      <c r="E11" s="154"/>
      <c r="G11" t="s">
        <v>395</v>
      </c>
      <c r="H11">
        <f>C12/$H$5</f>
        <v>0.4</v>
      </c>
      <c r="J11" t="s">
        <v>394</v>
      </c>
      <c r="K11" s="158">
        <f>K10/K7</f>
        <v>100000</v>
      </c>
    </row>
    <row r="12" spans="1:11" x14ac:dyDescent="0.25">
      <c r="A12" s="74"/>
      <c r="B12" s="157" t="s">
        <v>393</v>
      </c>
      <c r="C12" s="159">
        <v>40000</v>
      </c>
      <c r="D12" s="154"/>
      <c r="E12" s="154"/>
      <c r="G12" t="s">
        <v>392</v>
      </c>
      <c r="H12">
        <f>SUM(H8:H11)</f>
        <v>6</v>
      </c>
      <c r="J12" t="s">
        <v>391</v>
      </c>
      <c r="K12" s="158">
        <f>K11*K5</f>
        <v>1250000</v>
      </c>
    </row>
    <row r="13" spans="1:11" x14ac:dyDescent="0.25">
      <c r="A13" s="74"/>
      <c r="B13" s="157" t="s">
        <v>390</v>
      </c>
      <c r="C13" s="156">
        <v>120000</v>
      </c>
      <c r="D13" s="156">
        <v>160000</v>
      </c>
      <c r="E13" s="156">
        <v>900000</v>
      </c>
      <c r="G13" s="111" t="s">
        <v>389</v>
      </c>
      <c r="H13" s="111">
        <f>H6-H12</f>
        <v>4</v>
      </c>
    </row>
    <row r="14" spans="1:11" ht="14.4" thickBot="1" x14ac:dyDescent="0.3">
      <c r="A14" s="74"/>
      <c r="B14" s="155" t="s">
        <v>76</v>
      </c>
      <c r="C14" s="154"/>
      <c r="D14" s="154"/>
      <c r="E14" s="153">
        <v>100000</v>
      </c>
      <c r="G14" t="s">
        <v>99</v>
      </c>
    </row>
    <row r="15" spans="1:11" ht="14.4" thickTop="1" x14ac:dyDescent="0.25">
      <c r="G15" t="s">
        <v>388</v>
      </c>
      <c r="H15" s="152">
        <f>C10</f>
        <v>180000</v>
      </c>
    </row>
    <row r="16" spans="1:11" x14ac:dyDescent="0.25">
      <c r="A16" s="250" t="s">
        <v>80</v>
      </c>
      <c r="B16" s="250"/>
      <c r="C16" s="250"/>
      <c r="D16" s="250"/>
      <c r="E16" s="250"/>
      <c r="G16" t="s">
        <v>387</v>
      </c>
      <c r="H16" s="151">
        <f>C13</f>
        <v>120000</v>
      </c>
    </row>
    <row r="17" spans="1:8" x14ac:dyDescent="0.25">
      <c r="A17" s="227" t="s">
        <v>386</v>
      </c>
      <c r="B17" s="227"/>
      <c r="C17" s="227"/>
      <c r="D17" s="227"/>
      <c r="E17" s="227"/>
      <c r="G17" s="111" t="s">
        <v>385</v>
      </c>
      <c r="H17" s="150">
        <f>SUM(H15:H16)</f>
        <v>300000</v>
      </c>
    </row>
    <row r="18" spans="1:8" x14ac:dyDescent="0.25">
      <c r="A18" s="227"/>
      <c r="B18" s="227"/>
      <c r="C18" s="227"/>
      <c r="D18" s="227"/>
      <c r="E18" s="227"/>
      <c r="G18" s="111" t="s">
        <v>384</v>
      </c>
      <c r="H18" s="149">
        <f>H17/H13</f>
        <v>75000</v>
      </c>
    </row>
    <row r="19" spans="1:8" ht="13.8" customHeight="1" x14ac:dyDescent="0.25">
      <c r="A19" s="227" t="s">
        <v>383</v>
      </c>
      <c r="B19" s="227"/>
      <c r="C19" s="227"/>
      <c r="D19" s="227"/>
      <c r="E19" s="227"/>
    </row>
    <row r="20" spans="1:8" x14ac:dyDescent="0.25">
      <c r="A20" s="227"/>
      <c r="B20" s="227"/>
      <c r="C20" s="227"/>
      <c r="D20" s="227"/>
      <c r="E20" s="227"/>
      <c r="G20" s="147" t="s">
        <v>339</v>
      </c>
      <c r="H20" s="147"/>
    </row>
    <row r="21" spans="1:8" x14ac:dyDescent="0.25">
      <c r="A21" s="227"/>
      <c r="B21" s="227"/>
      <c r="C21" s="227"/>
      <c r="D21" s="227"/>
      <c r="E21" s="227"/>
      <c r="G21" s="147" t="s">
        <v>382</v>
      </c>
      <c r="H21" s="148">
        <f>H5-H18</f>
        <v>25000</v>
      </c>
    </row>
    <row r="22" spans="1:8" x14ac:dyDescent="0.25">
      <c r="G22" s="147" t="s">
        <v>381</v>
      </c>
      <c r="H22" s="146">
        <f>H21*H13</f>
        <v>100000</v>
      </c>
    </row>
  </sheetData>
  <mergeCells count="5">
    <mergeCell ref="B3:E3"/>
    <mergeCell ref="A16:E16"/>
    <mergeCell ref="A17:E18"/>
    <mergeCell ref="A19:E21"/>
    <mergeCell ref="A1: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9CD7-BB11-4955-8CEA-E35AA546D79A}">
  <dimension ref="A1:K21"/>
  <sheetViews>
    <sheetView workbookViewId="0">
      <selection activeCell="C22" sqref="C22"/>
    </sheetView>
  </sheetViews>
  <sheetFormatPr defaultRowHeight="13.8" x14ac:dyDescent="0.25"/>
  <cols>
    <col min="1" max="1" width="22.21875" customWidth="1"/>
    <col min="2" max="2" width="13.5546875" customWidth="1"/>
    <col min="3" max="3" width="17.44140625" customWidth="1"/>
    <col min="4" max="4" width="16.109375" customWidth="1"/>
    <col min="5" max="5" width="16.6640625" customWidth="1"/>
    <col min="7" max="7" width="33.6640625" customWidth="1"/>
    <col min="8" max="8" width="11.77734375" customWidth="1"/>
    <col min="9" max="9" width="9.77734375" customWidth="1"/>
    <col min="10" max="10" width="11.33203125" customWidth="1"/>
  </cols>
  <sheetData>
    <row r="1" spans="1:11" x14ac:dyDescent="0.25">
      <c r="A1" s="251" t="s">
        <v>439</v>
      </c>
      <c r="B1" s="251"/>
      <c r="C1" s="251"/>
      <c r="D1" s="251"/>
      <c r="E1" s="251"/>
      <c r="F1" s="74"/>
      <c r="G1" s="75" t="s">
        <v>1</v>
      </c>
      <c r="H1" s="74"/>
      <c r="I1" s="74"/>
      <c r="J1" s="74"/>
    </row>
    <row r="2" spans="1:11" x14ac:dyDescent="0.25">
      <c r="A2" s="251"/>
      <c r="B2" s="251"/>
      <c r="C2" s="251"/>
      <c r="D2" s="251"/>
      <c r="E2" s="251"/>
      <c r="F2" s="184"/>
      <c r="G2" s="184" t="s">
        <v>438</v>
      </c>
      <c r="H2" s="184">
        <f>138000/3</f>
        <v>46000</v>
      </c>
      <c r="I2" s="184"/>
      <c r="J2" s="184"/>
    </row>
    <row r="3" spans="1:11" ht="14.4" thickBot="1" x14ac:dyDescent="0.3">
      <c r="A3" s="241"/>
      <c r="B3" s="241"/>
      <c r="C3" s="241"/>
      <c r="D3" s="241"/>
      <c r="E3" s="241"/>
      <c r="F3" s="184"/>
      <c r="G3" t="s">
        <v>437</v>
      </c>
      <c r="H3" s="162">
        <f>B14*20%+B15*10%</f>
        <v>5800</v>
      </c>
      <c r="I3" s="184"/>
      <c r="J3" s="184"/>
    </row>
    <row r="4" spans="1:11" x14ac:dyDescent="0.25">
      <c r="A4" s="183"/>
      <c r="B4" s="182"/>
      <c r="C4" s="253" t="s">
        <v>436</v>
      </c>
      <c r="D4" s="253"/>
      <c r="E4" s="254"/>
      <c r="G4" t="s">
        <v>435</v>
      </c>
      <c r="H4" s="162">
        <f>H2-H3</f>
        <v>40200</v>
      </c>
    </row>
    <row r="5" spans="1:11" x14ac:dyDescent="0.25">
      <c r="A5" s="178"/>
      <c r="B5" s="99"/>
      <c r="C5" s="181" t="s">
        <v>434</v>
      </c>
      <c r="D5" s="181" t="s">
        <v>433</v>
      </c>
      <c r="E5" s="180" t="s">
        <v>432</v>
      </c>
      <c r="G5" s="108" t="s">
        <v>431</v>
      </c>
      <c r="H5" s="179">
        <f>-E7-H2</f>
        <v>60000</v>
      </c>
    </row>
    <row r="6" spans="1:11" x14ac:dyDescent="0.25">
      <c r="A6" s="178"/>
      <c r="B6" s="141" t="s">
        <v>430</v>
      </c>
      <c r="C6" s="177">
        <v>254000</v>
      </c>
      <c r="D6" s="177">
        <v>183000</v>
      </c>
      <c r="E6" s="176">
        <v>97000</v>
      </c>
    </row>
    <row r="7" spans="1:11" x14ac:dyDescent="0.25">
      <c r="A7" s="175" t="s">
        <v>30</v>
      </c>
      <c r="B7" s="141" t="s">
        <v>429</v>
      </c>
      <c r="C7" s="174">
        <v>-213000</v>
      </c>
      <c r="D7" s="174">
        <v>-163000</v>
      </c>
      <c r="E7" s="173">
        <v>-106000</v>
      </c>
    </row>
    <row r="8" spans="1:11" ht="14.4" thickBot="1" x14ac:dyDescent="0.3">
      <c r="A8" s="172"/>
      <c r="B8" s="171" t="s">
        <v>428</v>
      </c>
      <c r="C8" s="170">
        <v>41000</v>
      </c>
      <c r="D8" s="170">
        <v>20000</v>
      </c>
      <c r="E8" s="169">
        <v>-9000</v>
      </c>
      <c r="G8" s="168" t="s">
        <v>427</v>
      </c>
    </row>
    <row r="9" spans="1:11" x14ac:dyDescent="0.25">
      <c r="A9" s="255" t="s">
        <v>426</v>
      </c>
      <c r="B9" s="255"/>
      <c r="C9" s="255"/>
      <c r="D9" s="255"/>
      <c r="E9" s="255"/>
      <c r="G9" t="s">
        <v>425</v>
      </c>
      <c r="H9" t="s">
        <v>424</v>
      </c>
      <c r="I9" t="s">
        <v>423</v>
      </c>
      <c r="J9" t="s">
        <v>422</v>
      </c>
    </row>
    <row r="10" spans="1:11" x14ac:dyDescent="0.25">
      <c r="A10" s="227"/>
      <c r="B10" s="227"/>
      <c r="C10" s="227"/>
      <c r="D10" s="227"/>
      <c r="E10" s="227"/>
      <c r="G10" t="s">
        <v>214</v>
      </c>
      <c r="H10" s="167">
        <v>0</v>
      </c>
      <c r="I10" s="167">
        <f>E6</f>
        <v>97000</v>
      </c>
      <c r="J10" s="167">
        <f>ABS(H10-I10)</f>
        <v>97000</v>
      </c>
      <c r="K10" s="162" t="s">
        <v>322</v>
      </c>
    </row>
    <row r="11" spans="1:11" x14ac:dyDescent="0.25">
      <c r="A11" s="145" t="s">
        <v>99</v>
      </c>
      <c r="B11" s="99"/>
      <c r="G11" t="s">
        <v>199</v>
      </c>
      <c r="H11" s="167">
        <v>0</v>
      </c>
      <c r="I11" s="167">
        <v>60000</v>
      </c>
      <c r="J11" s="167">
        <f t="shared" ref="J11:J14" si="0">ABS(H11-I11)</f>
        <v>60000</v>
      </c>
      <c r="K11" s="162" t="s">
        <v>164</v>
      </c>
    </row>
    <row r="12" spans="1:11" x14ac:dyDescent="0.25">
      <c r="A12" s="141" t="s">
        <v>421</v>
      </c>
      <c r="B12" s="165">
        <v>40000</v>
      </c>
      <c r="G12" t="s">
        <v>360</v>
      </c>
      <c r="H12" s="167">
        <f>H10-H11</f>
        <v>0</v>
      </c>
      <c r="I12" s="167">
        <f>I10-I11</f>
        <v>37000</v>
      </c>
      <c r="J12" s="167">
        <f t="shared" si="0"/>
        <v>37000</v>
      </c>
      <c r="K12" s="162" t="s">
        <v>322</v>
      </c>
    </row>
    <row r="13" spans="1:11" x14ac:dyDescent="0.25">
      <c r="A13" s="141" t="s">
        <v>420</v>
      </c>
      <c r="B13" s="165">
        <v>60000</v>
      </c>
      <c r="G13" t="s">
        <v>99</v>
      </c>
      <c r="H13" s="167">
        <f>H4</f>
        <v>40200</v>
      </c>
      <c r="I13" s="167">
        <v>46000</v>
      </c>
      <c r="J13" s="167">
        <f t="shared" si="0"/>
        <v>5800</v>
      </c>
      <c r="K13" s="162" t="s">
        <v>164</v>
      </c>
    </row>
    <row r="14" spans="1:11" x14ac:dyDescent="0.25">
      <c r="A14" s="141" t="s">
        <v>419</v>
      </c>
      <c r="B14" s="165">
        <v>20000</v>
      </c>
      <c r="G14" s="141" t="s">
        <v>381</v>
      </c>
      <c r="H14" s="167">
        <f>H12-H13</f>
        <v>-40200</v>
      </c>
      <c r="I14" s="167">
        <f>I12-I13</f>
        <v>-9000</v>
      </c>
      <c r="J14" s="167">
        <f t="shared" si="0"/>
        <v>31200</v>
      </c>
      <c r="K14" s="162" t="s">
        <v>322</v>
      </c>
    </row>
    <row r="15" spans="1:11" x14ac:dyDescent="0.25">
      <c r="A15" s="141" t="s">
        <v>418</v>
      </c>
      <c r="B15" s="166">
        <v>18000</v>
      </c>
      <c r="G15" s="141"/>
    </row>
    <row r="16" spans="1:11" x14ac:dyDescent="0.25">
      <c r="A16" s="141" t="s">
        <v>10</v>
      </c>
      <c r="B16" s="165">
        <v>138000</v>
      </c>
      <c r="G16" s="252" t="s">
        <v>417</v>
      </c>
      <c r="H16" s="252"/>
      <c r="I16" s="252"/>
      <c r="J16" s="252"/>
      <c r="K16" s="252"/>
    </row>
    <row r="17" spans="1:11" x14ac:dyDescent="0.25">
      <c r="A17" s="227" t="s">
        <v>416</v>
      </c>
      <c r="B17" s="227"/>
      <c r="C17" s="227"/>
      <c r="D17" s="227"/>
      <c r="E17" s="227"/>
      <c r="G17" s="252"/>
      <c r="H17" s="252"/>
      <c r="I17" s="252"/>
      <c r="J17" s="252"/>
      <c r="K17" s="252"/>
    </row>
    <row r="18" spans="1:11" x14ac:dyDescent="0.25">
      <c r="A18" s="227"/>
      <c r="B18" s="227"/>
      <c r="C18" s="227"/>
      <c r="D18" s="227"/>
      <c r="E18" s="227"/>
    </row>
    <row r="19" spans="1:11" x14ac:dyDescent="0.25">
      <c r="A19" s="250" t="s">
        <v>415</v>
      </c>
      <c r="B19" s="250"/>
      <c r="C19" s="250"/>
      <c r="D19" s="250"/>
      <c r="E19" s="250"/>
      <c r="G19" s="256" t="s">
        <v>414</v>
      </c>
      <c r="H19" s="256"/>
      <c r="I19" s="256"/>
      <c r="J19" s="256"/>
    </row>
    <row r="20" spans="1:11" x14ac:dyDescent="0.25">
      <c r="G20" s="256"/>
      <c r="H20" s="256"/>
      <c r="I20" s="256"/>
      <c r="J20" s="256"/>
    </row>
    <row r="21" spans="1:11" x14ac:dyDescent="0.25">
      <c r="G21" s="256"/>
      <c r="H21" s="256"/>
      <c r="I21" s="256"/>
      <c r="J21" s="256"/>
    </row>
  </sheetData>
  <mergeCells count="7">
    <mergeCell ref="A19:E19"/>
    <mergeCell ref="A17:E18"/>
    <mergeCell ref="G16:K17"/>
    <mergeCell ref="C4:E4"/>
    <mergeCell ref="A1:E3"/>
    <mergeCell ref="A9:E10"/>
    <mergeCell ref="G19:J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9158-487E-4216-B829-EBB17BC5A61C}">
  <dimension ref="A1:K18"/>
  <sheetViews>
    <sheetView workbookViewId="0">
      <selection activeCell="J3" sqref="J3"/>
    </sheetView>
  </sheetViews>
  <sheetFormatPr defaultRowHeight="13.8" x14ac:dyDescent="0.25"/>
  <cols>
    <col min="1" max="1" width="37.44140625" customWidth="1"/>
    <col min="7" max="7" width="39.109375" customWidth="1"/>
    <col min="8" max="8" width="10.77734375" bestFit="1" customWidth="1"/>
    <col min="9" max="9" width="14.6640625" bestFit="1" customWidth="1"/>
    <col min="10" max="10" width="10.77734375" bestFit="1" customWidth="1"/>
  </cols>
  <sheetData>
    <row r="1" spans="1:11" x14ac:dyDescent="0.25">
      <c r="A1" s="257" t="s">
        <v>440</v>
      </c>
      <c r="B1" s="257"/>
      <c r="C1" s="257"/>
      <c r="D1" s="257"/>
      <c r="E1" s="257"/>
      <c r="G1" s="111" t="s">
        <v>1</v>
      </c>
    </row>
    <row r="2" spans="1:11" x14ac:dyDescent="0.25">
      <c r="A2" s="141" t="s">
        <v>441</v>
      </c>
      <c r="B2" s="194">
        <v>50</v>
      </c>
      <c r="G2" s="141" t="s">
        <v>442</v>
      </c>
      <c r="H2" s="195" t="s">
        <v>443</v>
      </c>
      <c r="I2" s="195" t="s">
        <v>444</v>
      </c>
      <c r="J2" s="195" t="s">
        <v>422</v>
      </c>
    </row>
    <row r="3" spans="1:11" x14ac:dyDescent="0.25">
      <c r="A3" s="141" t="s">
        <v>445</v>
      </c>
      <c r="B3" s="165">
        <v>2500</v>
      </c>
      <c r="G3" s="141" t="s">
        <v>446</v>
      </c>
      <c r="H3" s="196">
        <f>500*45</f>
        <v>22500</v>
      </c>
      <c r="I3" s="197">
        <v>0</v>
      </c>
      <c r="J3" s="196">
        <f>H3-I3</f>
        <v>22500</v>
      </c>
      <c r="K3" t="s">
        <v>164</v>
      </c>
    </row>
    <row r="4" spans="1:11" x14ac:dyDescent="0.25">
      <c r="A4" s="145" t="s">
        <v>447</v>
      </c>
      <c r="B4" s="198"/>
      <c r="G4" s="141" t="s">
        <v>448</v>
      </c>
      <c r="H4" s="196">
        <f>500*B5</f>
        <v>10000</v>
      </c>
      <c r="I4" s="197">
        <v>0</v>
      </c>
      <c r="J4" s="196">
        <f t="shared" ref="J4:J6" si="0">H4-I4</f>
        <v>10000</v>
      </c>
      <c r="K4" t="s">
        <v>322</v>
      </c>
    </row>
    <row r="5" spans="1:11" x14ac:dyDescent="0.25">
      <c r="A5" s="141" t="s">
        <v>449</v>
      </c>
      <c r="B5" s="194">
        <v>20</v>
      </c>
      <c r="G5" s="141" t="s">
        <v>450</v>
      </c>
      <c r="H5" s="199">
        <f>500*4</f>
        <v>2000</v>
      </c>
      <c r="I5" s="200">
        <v>0</v>
      </c>
      <c r="J5" s="199">
        <f t="shared" si="0"/>
        <v>2000</v>
      </c>
      <c r="K5" t="s">
        <v>322</v>
      </c>
    </row>
    <row r="6" spans="1:11" x14ac:dyDescent="0.25">
      <c r="A6" s="141" t="s">
        <v>451</v>
      </c>
      <c r="B6" s="165">
        <v>75000</v>
      </c>
      <c r="G6" s="141" t="s">
        <v>452</v>
      </c>
      <c r="H6" s="196">
        <f>H3-H4-H5</f>
        <v>10500</v>
      </c>
      <c r="I6" s="197">
        <v>0</v>
      </c>
      <c r="J6" s="196">
        <f t="shared" si="0"/>
        <v>10500</v>
      </c>
      <c r="K6" t="s">
        <v>164</v>
      </c>
    </row>
    <row r="7" spans="1:11" x14ac:dyDescent="0.25">
      <c r="A7" s="145" t="s">
        <v>396</v>
      </c>
      <c r="B7" s="198"/>
      <c r="G7" s="99"/>
      <c r="H7" s="99"/>
      <c r="I7" s="99"/>
      <c r="J7" s="99"/>
    </row>
    <row r="8" spans="1:11" x14ac:dyDescent="0.25">
      <c r="A8" s="141" t="s">
        <v>453</v>
      </c>
      <c r="B8" s="194">
        <v>6</v>
      </c>
      <c r="G8" s="141" t="s">
        <v>454</v>
      </c>
      <c r="H8" s="195" t="s">
        <v>443</v>
      </c>
      <c r="I8" s="195" t="s">
        <v>444</v>
      </c>
      <c r="J8" s="195" t="s">
        <v>422</v>
      </c>
    </row>
    <row r="9" spans="1:11" x14ac:dyDescent="0.25">
      <c r="A9" s="141" t="s">
        <v>451</v>
      </c>
      <c r="B9" s="165">
        <v>15000</v>
      </c>
      <c r="G9" s="141" t="s">
        <v>455</v>
      </c>
      <c r="H9" s="196">
        <f>H3</f>
        <v>22500</v>
      </c>
      <c r="I9" s="196">
        <f>500*B2</f>
        <v>25000</v>
      </c>
      <c r="J9" s="196">
        <f>H9-I9</f>
        <v>-2500</v>
      </c>
      <c r="K9" t="s">
        <v>322</v>
      </c>
    </row>
    <row r="10" spans="1:11" x14ac:dyDescent="0.25">
      <c r="A10" s="227" t="s">
        <v>456</v>
      </c>
      <c r="B10" s="227"/>
      <c r="C10" s="227"/>
      <c r="D10" s="227"/>
      <c r="G10" s="141" t="s">
        <v>448</v>
      </c>
      <c r="H10" s="196">
        <f t="shared" ref="H10:H12" si="1">H4</f>
        <v>10000</v>
      </c>
      <c r="I10" s="196">
        <f>500*B5</f>
        <v>10000</v>
      </c>
      <c r="J10" s="196">
        <f t="shared" ref="J10:J12" si="2">H10-I10</f>
        <v>0</v>
      </c>
      <c r="K10" t="s">
        <v>184</v>
      </c>
    </row>
    <row r="11" spans="1:11" x14ac:dyDescent="0.25">
      <c r="A11" s="227"/>
      <c r="B11" s="227"/>
      <c r="C11" s="227"/>
      <c r="D11" s="227"/>
      <c r="G11" s="141" t="s">
        <v>457</v>
      </c>
      <c r="H11" s="199">
        <f t="shared" si="1"/>
        <v>2000</v>
      </c>
      <c r="I11" s="199">
        <f>500*B8</f>
        <v>3000</v>
      </c>
      <c r="J11" s="199">
        <f t="shared" si="2"/>
        <v>-1000</v>
      </c>
      <c r="K11" t="s">
        <v>164</v>
      </c>
    </row>
    <row r="12" spans="1:11" x14ac:dyDescent="0.25">
      <c r="A12" s="227"/>
      <c r="B12" s="227"/>
      <c r="C12" s="227"/>
      <c r="D12" s="227"/>
      <c r="G12" s="141" t="s">
        <v>452</v>
      </c>
      <c r="H12" s="196">
        <f t="shared" si="1"/>
        <v>10500</v>
      </c>
      <c r="I12" s="196">
        <f>I9-I10-I11</f>
        <v>12000</v>
      </c>
      <c r="J12" s="196">
        <f t="shared" si="2"/>
        <v>-1500</v>
      </c>
      <c r="K12" t="s">
        <v>322</v>
      </c>
    </row>
    <row r="13" spans="1:11" x14ac:dyDescent="0.25">
      <c r="A13" s="227"/>
      <c r="B13" s="227"/>
      <c r="C13" s="227"/>
      <c r="D13" s="227"/>
    </row>
    <row r="14" spans="1:11" x14ac:dyDescent="0.25">
      <c r="A14" s="227"/>
      <c r="B14" s="227"/>
      <c r="C14" s="227"/>
      <c r="D14" s="227"/>
    </row>
    <row r="15" spans="1:11" x14ac:dyDescent="0.25">
      <c r="A15" s="201" t="s">
        <v>458</v>
      </c>
      <c r="G15" s="256" t="s">
        <v>414</v>
      </c>
      <c r="H15" s="256"/>
      <c r="I15" s="256"/>
      <c r="J15" s="256"/>
    </row>
    <row r="16" spans="1:11" x14ac:dyDescent="0.25">
      <c r="A16" s="240" t="s">
        <v>459</v>
      </c>
      <c r="B16" s="240"/>
      <c r="C16" s="240"/>
      <c r="D16" s="240"/>
      <c r="G16" s="256"/>
      <c r="H16" s="256"/>
      <c r="I16" s="256"/>
      <c r="J16" s="256"/>
    </row>
    <row r="17" spans="1:10" x14ac:dyDescent="0.25">
      <c r="A17" s="240" t="s">
        <v>460</v>
      </c>
      <c r="B17" s="240"/>
      <c r="C17" s="240"/>
      <c r="D17" s="240"/>
      <c r="G17" s="256"/>
      <c r="H17" s="256"/>
      <c r="I17" s="256"/>
      <c r="J17" s="256"/>
    </row>
    <row r="18" spans="1:10" x14ac:dyDescent="0.25">
      <c r="A18" s="74"/>
      <c r="B18" s="74"/>
      <c r="C18" s="74"/>
      <c r="D18" s="74"/>
    </row>
  </sheetData>
  <mergeCells count="5">
    <mergeCell ref="A1:E1"/>
    <mergeCell ref="A10:D14"/>
    <mergeCell ref="G15:J17"/>
    <mergeCell ref="A16:D16"/>
    <mergeCell ref="A17:D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42D-F87B-462A-9590-B0253CDD6FAE}">
  <dimension ref="A1:K33"/>
  <sheetViews>
    <sheetView tabSelected="1" topLeftCell="A10" workbookViewId="0">
      <selection activeCell="J18" sqref="J18"/>
    </sheetView>
  </sheetViews>
  <sheetFormatPr defaultRowHeight="13.8" x14ac:dyDescent="0.25"/>
  <cols>
    <col min="1" max="1" width="60.5546875" customWidth="1"/>
    <col min="7" max="7" width="25.33203125" customWidth="1"/>
    <col min="9" max="9" width="34.33203125" customWidth="1"/>
    <col min="10" max="10" width="9.109375" bestFit="1" customWidth="1"/>
  </cols>
  <sheetData>
    <row r="1" spans="1:11" x14ac:dyDescent="0.25">
      <c r="A1" s="227" t="s">
        <v>461</v>
      </c>
      <c r="B1" s="227"/>
      <c r="C1" s="227"/>
      <c r="D1" s="227"/>
      <c r="E1" s="227"/>
      <c r="F1" s="102"/>
      <c r="G1" s="202" t="s">
        <v>1</v>
      </c>
      <c r="H1" s="102"/>
      <c r="I1" s="102"/>
      <c r="J1" s="102"/>
      <c r="K1" s="102"/>
    </row>
    <row r="2" spans="1:11" x14ac:dyDescent="0.25">
      <c r="A2" s="227"/>
      <c r="B2" s="227"/>
      <c r="C2" s="227"/>
      <c r="D2" s="227"/>
      <c r="E2" s="227"/>
      <c r="F2" s="102"/>
      <c r="G2" s="203" t="s">
        <v>462</v>
      </c>
      <c r="H2" s="99"/>
      <c r="I2" s="203" t="s">
        <v>463</v>
      </c>
      <c r="J2" s="99"/>
      <c r="K2" s="102"/>
    </row>
    <row r="3" spans="1:11" x14ac:dyDescent="0.25">
      <c r="A3" s="258"/>
      <c r="B3" s="258"/>
      <c r="C3" s="258"/>
      <c r="D3" s="258"/>
      <c r="E3" s="258"/>
      <c r="F3" s="102"/>
      <c r="G3" s="204" t="s">
        <v>464</v>
      </c>
      <c r="H3" s="194">
        <f>B9</f>
        <v>63</v>
      </c>
      <c r="I3" s="204" t="s">
        <v>464</v>
      </c>
      <c r="J3" s="194">
        <f>C9</f>
        <v>63</v>
      </c>
      <c r="K3" s="102"/>
    </row>
    <row r="4" spans="1:11" x14ac:dyDescent="0.25">
      <c r="A4" s="205" t="s">
        <v>465</v>
      </c>
      <c r="B4" s="69">
        <v>1</v>
      </c>
      <c r="C4" s="69">
        <v>2</v>
      </c>
      <c r="D4" s="69">
        <v>3</v>
      </c>
      <c r="E4" s="69">
        <v>4</v>
      </c>
      <c r="G4" s="204" t="s">
        <v>466</v>
      </c>
      <c r="H4" s="194">
        <v>0</v>
      </c>
      <c r="I4" s="204" t="s">
        <v>466</v>
      </c>
      <c r="J4" s="194">
        <v>0</v>
      </c>
    </row>
    <row r="5" spans="1:11" x14ac:dyDescent="0.25">
      <c r="A5" s="206" t="s">
        <v>467</v>
      </c>
      <c r="B5" s="207"/>
      <c r="C5" s="207"/>
      <c r="D5" s="207"/>
      <c r="E5" s="207"/>
      <c r="G5" s="204" t="s">
        <v>468</v>
      </c>
      <c r="H5" s="194">
        <v>0</v>
      </c>
      <c r="I5" s="203" t="s">
        <v>469</v>
      </c>
      <c r="J5" s="99"/>
    </row>
    <row r="6" spans="1:11" x14ac:dyDescent="0.25">
      <c r="A6" s="208" t="s">
        <v>470</v>
      </c>
      <c r="B6" s="73">
        <v>50000</v>
      </c>
      <c r="C6" s="73">
        <v>50000</v>
      </c>
      <c r="D6" s="73">
        <v>50000</v>
      </c>
      <c r="E6" s="73">
        <v>50000</v>
      </c>
      <c r="G6" s="204" t="s">
        <v>471</v>
      </c>
      <c r="H6" s="194">
        <f>H3+H4+H5</f>
        <v>63</v>
      </c>
      <c r="I6" s="204" t="s">
        <v>472</v>
      </c>
      <c r="J6" s="194">
        <f>C8</f>
        <v>104</v>
      </c>
    </row>
    <row r="7" spans="1:11" x14ac:dyDescent="0.25">
      <c r="A7" s="208" t="s">
        <v>473</v>
      </c>
      <c r="B7" s="73">
        <v>40000</v>
      </c>
      <c r="C7" s="73">
        <v>40000</v>
      </c>
      <c r="D7" s="73">
        <v>45000</v>
      </c>
      <c r="E7" s="73">
        <v>50000</v>
      </c>
      <c r="G7" s="204" t="s">
        <v>474</v>
      </c>
      <c r="H7" s="194">
        <f>MIN(B15,B18-B16)</f>
        <v>93</v>
      </c>
      <c r="I7" s="204" t="s">
        <v>475</v>
      </c>
      <c r="J7" s="209">
        <f>C9+C10</f>
        <v>68</v>
      </c>
    </row>
    <row r="8" spans="1:11" x14ac:dyDescent="0.25">
      <c r="A8" s="208" t="s">
        <v>476</v>
      </c>
      <c r="B8" s="72">
        <v>104</v>
      </c>
      <c r="C8" s="72">
        <v>104</v>
      </c>
      <c r="D8" s="72">
        <v>104</v>
      </c>
      <c r="E8" s="72">
        <v>104</v>
      </c>
      <c r="G8" s="204" t="s">
        <v>477</v>
      </c>
      <c r="H8" s="99"/>
      <c r="I8" s="204" t="s">
        <v>389</v>
      </c>
      <c r="J8" s="194">
        <f>J6-J7</f>
        <v>36</v>
      </c>
    </row>
    <row r="9" spans="1:11" x14ac:dyDescent="0.25">
      <c r="A9" s="208" t="s">
        <v>478</v>
      </c>
      <c r="B9" s="72">
        <v>63</v>
      </c>
      <c r="C9" s="72">
        <v>63</v>
      </c>
      <c r="D9" s="72">
        <v>63</v>
      </c>
      <c r="E9" s="72">
        <v>63</v>
      </c>
      <c r="G9" s="204" t="s">
        <v>479</v>
      </c>
      <c r="H9" s="194">
        <f>H7-H6</f>
        <v>30</v>
      </c>
      <c r="I9" s="204" t="s">
        <v>480</v>
      </c>
      <c r="J9" s="165">
        <f>C14-(C6-C7)</f>
        <v>5000</v>
      </c>
    </row>
    <row r="10" spans="1:11" x14ac:dyDescent="0.25">
      <c r="A10" s="208" t="s">
        <v>481</v>
      </c>
      <c r="B10" s="72">
        <v>5</v>
      </c>
      <c r="C10" s="72">
        <v>5</v>
      </c>
      <c r="D10" s="72">
        <v>5</v>
      </c>
      <c r="E10" s="72">
        <v>5</v>
      </c>
      <c r="G10" s="204" t="s">
        <v>482</v>
      </c>
      <c r="H10" s="165">
        <v>10000</v>
      </c>
      <c r="I10" s="204" t="s">
        <v>483</v>
      </c>
      <c r="J10" s="165">
        <f>J8*J9</f>
        <v>180000</v>
      </c>
    </row>
    <row r="11" spans="1:11" ht="27.6" x14ac:dyDescent="0.25">
      <c r="A11" s="210" t="s">
        <v>484</v>
      </c>
      <c r="B11" s="72">
        <v>25</v>
      </c>
      <c r="C11" s="72">
        <v>25</v>
      </c>
      <c r="D11" s="72">
        <v>25</v>
      </c>
      <c r="E11" s="72">
        <v>25</v>
      </c>
      <c r="G11" s="204" t="s">
        <v>477</v>
      </c>
      <c r="H11" s="165">
        <f>H9*H10</f>
        <v>300000</v>
      </c>
      <c r="I11" s="204" t="s">
        <v>482</v>
      </c>
      <c r="J11" s="165">
        <f>C14</f>
        <v>15000</v>
      </c>
    </row>
    <row r="12" spans="1:11" x14ac:dyDescent="0.25">
      <c r="A12" s="208" t="s">
        <v>485</v>
      </c>
      <c r="B12" s="72" t="s">
        <v>184</v>
      </c>
      <c r="C12" s="72" t="s">
        <v>184</v>
      </c>
      <c r="D12" s="73">
        <v>18000</v>
      </c>
      <c r="E12" s="72" t="s">
        <v>184</v>
      </c>
      <c r="G12" s="99"/>
      <c r="H12" s="99"/>
      <c r="I12" s="204" t="s">
        <v>486</v>
      </c>
      <c r="J12" s="194">
        <f>J10/J11</f>
        <v>12</v>
      </c>
    </row>
    <row r="13" spans="1:11" x14ac:dyDescent="0.25">
      <c r="A13" s="206" t="s">
        <v>487</v>
      </c>
      <c r="B13" s="207"/>
      <c r="C13" s="207"/>
      <c r="D13" s="207"/>
      <c r="E13" s="207"/>
      <c r="G13" s="99"/>
      <c r="H13" s="99"/>
      <c r="I13" s="204" t="s">
        <v>471</v>
      </c>
      <c r="J13" s="194">
        <f>J3+J4+J12</f>
        <v>75</v>
      </c>
    </row>
    <row r="14" spans="1:11" x14ac:dyDescent="0.25">
      <c r="A14" s="208" t="s">
        <v>488</v>
      </c>
      <c r="B14" s="73">
        <v>10000</v>
      </c>
      <c r="C14" s="73">
        <v>15000</v>
      </c>
      <c r="D14" s="73">
        <v>15000</v>
      </c>
      <c r="E14" s="73">
        <v>10000</v>
      </c>
      <c r="G14" s="99"/>
      <c r="H14" s="99"/>
      <c r="I14" s="204" t="s">
        <v>474</v>
      </c>
      <c r="J14" s="194">
        <f>MIN(C15,C18-C16)</f>
        <v>95</v>
      </c>
    </row>
    <row r="15" spans="1:11" x14ac:dyDescent="0.25">
      <c r="A15" s="208" t="s">
        <v>489</v>
      </c>
      <c r="B15" s="72">
        <v>93</v>
      </c>
      <c r="C15" s="72">
        <v>95</v>
      </c>
      <c r="D15" s="72">
        <v>100</v>
      </c>
      <c r="E15" s="72" t="s">
        <v>490</v>
      </c>
    </row>
    <row r="16" spans="1:11" x14ac:dyDescent="0.25">
      <c r="A16" s="208" t="s">
        <v>491</v>
      </c>
      <c r="B16" s="72">
        <v>4</v>
      </c>
      <c r="C16" s="72">
        <v>4</v>
      </c>
      <c r="D16" s="72">
        <v>4</v>
      </c>
      <c r="E16" s="72">
        <v>4</v>
      </c>
      <c r="G16" s="203" t="s">
        <v>492</v>
      </c>
      <c r="H16" s="99"/>
      <c r="I16" s="203" t="s">
        <v>493</v>
      </c>
      <c r="J16" s="99"/>
    </row>
    <row r="17" spans="1:10" x14ac:dyDescent="0.25">
      <c r="A17" s="208" t="s">
        <v>494</v>
      </c>
      <c r="B17" s="72">
        <v>10</v>
      </c>
      <c r="C17" s="72">
        <v>10</v>
      </c>
      <c r="D17" s="72">
        <v>10</v>
      </c>
      <c r="E17" s="72">
        <v>10</v>
      </c>
      <c r="G17" s="204" t="s">
        <v>495</v>
      </c>
      <c r="H17" s="194">
        <f>D9</f>
        <v>63</v>
      </c>
      <c r="I17" s="204" t="s">
        <v>495</v>
      </c>
      <c r="J17" s="194">
        <v>80</v>
      </c>
    </row>
    <row r="18" spans="1:10" x14ac:dyDescent="0.25">
      <c r="A18" s="208" t="s">
        <v>476</v>
      </c>
      <c r="B18" s="72">
        <v>150</v>
      </c>
      <c r="C18" s="72">
        <v>150</v>
      </c>
      <c r="D18" s="72">
        <v>150</v>
      </c>
      <c r="E18" s="72">
        <v>150</v>
      </c>
      <c r="G18" s="203" t="s">
        <v>466</v>
      </c>
      <c r="H18" s="99"/>
      <c r="I18" s="203" t="s">
        <v>466</v>
      </c>
      <c r="J18" s="99"/>
    </row>
    <row r="19" spans="1:10" x14ac:dyDescent="0.25">
      <c r="A19" s="259" t="s">
        <v>496</v>
      </c>
      <c r="B19" s="259"/>
      <c r="C19" s="259"/>
      <c r="D19" s="259"/>
      <c r="E19" s="259"/>
      <c r="G19" s="204" t="s">
        <v>466</v>
      </c>
      <c r="H19" s="165">
        <v>18000</v>
      </c>
      <c r="I19" s="204" t="s">
        <v>497</v>
      </c>
      <c r="J19" s="211">
        <f>E11*E7</f>
        <v>1250000</v>
      </c>
    </row>
    <row r="20" spans="1:10" ht="13.8" customHeight="1" x14ac:dyDescent="0.25">
      <c r="A20" s="252" t="s">
        <v>498</v>
      </c>
      <c r="B20" s="252"/>
      <c r="C20" s="252"/>
      <c r="D20" s="252"/>
      <c r="E20" s="252"/>
      <c r="G20" s="204" t="s">
        <v>482</v>
      </c>
      <c r="H20" s="165">
        <f>D14</f>
        <v>15000</v>
      </c>
      <c r="I20" s="204" t="s">
        <v>499</v>
      </c>
      <c r="J20" s="165">
        <f>J19*20%</f>
        <v>250000</v>
      </c>
    </row>
    <row r="21" spans="1:10" x14ac:dyDescent="0.25">
      <c r="A21" s="252"/>
      <c r="B21" s="252"/>
      <c r="C21" s="252"/>
      <c r="D21" s="252"/>
      <c r="E21" s="252"/>
      <c r="G21" s="204" t="s">
        <v>500</v>
      </c>
      <c r="H21" s="194">
        <f>H19/H20</f>
        <v>1.2</v>
      </c>
      <c r="I21" s="204" t="s">
        <v>482</v>
      </c>
      <c r="J21" s="165">
        <f>E14</f>
        <v>10000</v>
      </c>
    </row>
    <row r="22" spans="1:10" ht="13.8" customHeight="1" x14ac:dyDescent="0.25">
      <c r="A22" s="260" t="s">
        <v>501</v>
      </c>
      <c r="B22" s="260"/>
      <c r="C22" s="260"/>
      <c r="D22" s="260"/>
      <c r="E22" s="260"/>
      <c r="G22" s="203" t="s">
        <v>502</v>
      </c>
      <c r="H22" s="99"/>
      <c r="I22" s="204" t="s">
        <v>503</v>
      </c>
      <c r="J22" s="194">
        <f>J20/J21</f>
        <v>25</v>
      </c>
    </row>
    <row r="23" spans="1:10" ht="13.8" customHeight="1" x14ac:dyDescent="0.25">
      <c r="A23" s="252" t="s">
        <v>504</v>
      </c>
      <c r="B23" s="252"/>
      <c r="C23" s="252"/>
      <c r="D23" s="252"/>
      <c r="E23" s="252"/>
      <c r="G23" s="204" t="s">
        <v>472</v>
      </c>
      <c r="H23" s="194">
        <f>D8</f>
        <v>104</v>
      </c>
      <c r="I23" s="203" t="s">
        <v>469</v>
      </c>
      <c r="J23" s="99"/>
    </row>
    <row r="24" spans="1:10" x14ac:dyDescent="0.25">
      <c r="A24" s="252"/>
      <c r="B24" s="252"/>
      <c r="C24" s="252"/>
      <c r="D24" s="252"/>
      <c r="E24" s="252"/>
      <c r="G24" s="204" t="s">
        <v>475</v>
      </c>
      <c r="H24" s="209">
        <f>D9+D10</f>
        <v>68</v>
      </c>
      <c r="I24" s="204" t="s">
        <v>472</v>
      </c>
      <c r="J24" s="194">
        <f>E8</f>
        <v>104</v>
      </c>
    </row>
    <row r="25" spans="1:10" ht="16.8" customHeight="1" x14ac:dyDescent="0.25">
      <c r="A25" s="252" t="s">
        <v>505</v>
      </c>
      <c r="B25" s="252"/>
      <c r="C25" s="252"/>
      <c r="D25" s="252"/>
      <c r="E25" s="252"/>
      <c r="G25" s="204" t="s">
        <v>506</v>
      </c>
      <c r="H25" s="194">
        <f>H23-H24</f>
        <v>36</v>
      </c>
      <c r="I25" s="204" t="s">
        <v>475</v>
      </c>
      <c r="J25" s="194">
        <f>E9+E10</f>
        <v>68</v>
      </c>
    </row>
    <row r="26" spans="1:10" x14ac:dyDescent="0.25">
      <c r="A26" s="252"/>
      <c r="B26" s="252"/>
      <c r="C26" s="252"/>
      <c r="D26" s="252"/>
      <c r="E26" s="252"/>
      <c r="G26" s="204" t="s">
        <v>480</v>
      </c>
      <c r="H26" s="165">
        <f>D14-(D6-D7)</f>
        <v>10000</v>
      </c>
      <c r="I26" s="204" t="s">
        <v>506</v>
      </c>
      <c r="J26" s="194">
        <f>J24-J25</f>
        <v>36</v>
      </c>
    </row>
    <row r="27" spans="1:10" x14ac:dyDescent="0.25">
      <c r="A27" s="252"/>
      <c r="B27" s="252"/>
      <c r="C27" s="252"/>
      <c r="D27" s="252"/>
      <c r="E27" s="252"/>
      <c r="G27" s="204" t="s">
        <v>483</v>
      </c>
      <c r="H27" s="165">
        <f>H25*H26</f>
        <v>360000</v>
      </c>
      <c r="I27" s="204" t="s">
        <v>480</v>
      </c>
      <c r="J27" s="165">
        <f>E7*15%</f>
        <v>7500</v>
      </c>
    </row>
    <row r="28" spans="1:10" x14ac:dyDescent="0.25">
      <c r="G28" s="204" t="s">
        <v>482</v>
      </c>
      <c r="H28" s="165">
        <f>D14</f>
        <v>15000</v>
      </c>
      <c r="I28" s="204" t="s">
        <v>483</v>
      </c>
      <c r="J28" s="165">
        <f>J26*J27</f>
        <v>270000</v>
      </c>
    </row>
    <row r="29" spans="1:10" x14ac:dyDescent="0.25">
      <c r="G29" s="204" t="s">
        <v>507</v>
      </c>
      <c r="H29" s="194">
        <f>H27/H28</f>
        <v>24</v>
      </c>
      <c r="I29" s="204" t="s">
        <v>482</v>
      </c>
      <c r="J29" s="165">
        <f>E14</f>
        <v>10000</v>
      </c>
    </row>
    <row r="30" spans="1:10" x14ac:dyDescent="0.25">
      <c r="G30" s="204" t="s">
        <v>471</v>
      </c>
      <c r="H30" s="194">
        <f>H17+H21+H29</f>
        <v>88.2</v>
      </c>
      <c r="I30" s="204" t="s">
        <v>507</v>
      </c>
      <c r="J30" s="194">
        <f>J28/J29</f>
        <v>27</v>
      </c>
    </row>
    <row r="31" spans="1:10" x14ac:dyDescent="0.25">
      <c r="G31" s="99"/>
      <c r="H31" s="99"/>
      <c r="I31" s="204" t="s">
        <v>471</v>
      </c>
      <c r="J31" s="194">
        <f>J17+J22+J30</f>
        <v>132</v>
      </c>
    </row>
    <row r="32" spans="1:10" x14ac:dyDescent="0.25">
      <c r="G32" s="99"/>
      <c r="H32" s="99"/>
      <c r="I32" s="204" t="s">
        <v>474</v>
      </c>
      <c r="J32" s="194">
        <f>E18-E16</f>
        <v>146</v>
      </c>
    </row>
    <row r="33" spans="7:10" x14ac:dyDescent="0.25">
      <c r="G33" s="99"/>
      <c r="H33" s="99"/>
      <c r="I33" s="204"/>
      <c r="J33" s="194"/>
    </row>
  </sheetData>
  <mergeCells count="6">
    <mergeCell ref="A25:E27"/>
    <mergeCell ref="A1:E3"/>
    <mergeCell ref="A19:E19"/>
    <mergeCell ref="A20:E21"/>
    <mergeCell ref="A22:E22"/>
    <mergeCell ref="A23:E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E3D3-67D0-4A2D-9694-6C4F8AC95E55}">
  <dimension ref="A1:I40"/>
  <sheetViews>
    <sheetView workbookViewId="0">
      <selection activeCell="C22" sqref="C22"/>
    </sheetView>
  </sheetViews>
  <sheetFormatPr defaultColWidth="8.88671875" defaultRowHeight="13.8" x14ac:dyDescent="0.25"/>
  <cols>
    <col min="1" max="1" width="60.88671875" style="2" customWidth="1"/>
    <col min="2" max="3" width="8.88671875" style="2"/>
    <col min="4" max="4" width="3.33203125" style="2" customWidth="1"/>
    <col min="5" max="5" width="11.109375" style="2" customWidth="1"/>
    <col min="6" max="6" width="51.44140625" style="2" customWidth="1"/>
    <col min="7" max="9" width="8.88671875" style="13"/>
    <col min="10" max="16384" width="8.88671875" style="2"/>
  </cols>
  <sheetData>
    <row r="1" spans="1:9" ht="13.8" customHeight="1" x14ac:dyDescent="0.25">
      <c r="A1" s="213" t="s">
        <v>44</v>
      </c>
      <c r="B1" s="213"/>
      <c r="E1" s="3" t="s">
        <v>1</v>
      </c>
    </row>
    <row r="2" spans="1:9" x14ac:dyDescent="0.25">
      <c r="A2" s="213"/>
      <c r="B2" s="213"/>
      <c r="E2" s="214" t="s">
        <v>45</v>
      </c>
      <c r="F2" s="214"/>
      <c r="G2" s="214"/>
      <c r="H2" s="214"/>
      <c r="I2" s="214"/>
    </row>
    <row r="3" spans="1:9" x14ac:dyDescent="0.25">
      <c r="A3" s="14" t="s">
        <v>46</v>
      </c>
      <c r="B3" s="15">
        <v>200</v>
      </c>
      <c r="F3" s="2" t="str">
        <f>A3</f>
        <v xml:space="preserve">Raw materials – Beginning Inventory: </v>
      </c>
      <c r="G3" s="13">
        <v>200</v>
      </c>
    </row>
    <row r="4" spans="1:9" x14ac:dyDescent="0.25">
      <c r="A4" s="14" t="s">
        <v>47</v>
      </c>
      <c r="B4" s="16">
        <v>1200</v>
      </c>
      <c r="E4" s="17" t="s">
        <v>48</v>
      </c>
      <c r="F4" s="2" t="str">
        <f>A4</f>
        <v xml:space="preserve">Raw materials – Purchases: </v>
      </c>
      <c r="G4" s="13">
        <v>1200</v>
      </c>
    </row>
    <row r="5" spans="1:9" x14ac:dyDescent="0.25">
      <c r="A5" s="14" t="s">
        <v>49</v>
      </c>
      <c r="B5" s="15">
        <v>300</v>
      </c>
      <c r="E5" s="17" t="s">
        <v>30</v>
      </c>
      <c r="F5" s="2" t="str">
        <f>A5</f>
        <v>Raw materials – Ending Inventory:</v>
      </c>
      <c r="G5" s="18">
        <v>-300</v>
      </c>
    </row>
    <row r="6" spans="1:9" x14ac:dyDescent="0.25">
      <c r="A6" s="14" t="s">
        <v>50</v>
      </c>
      <c r="B6" s="15">
        <v>700</v>
      </c>
      <c r="F6" s="2" t="s">
        <v>51</v>
      </c>
      <c r="G6" s="13">
        <f>SUM(G3:G5)</f>
        <v>1100</v>
      </c>
    </row>
    <row r="7" spans="1:9" x14ac:dyDescent="0.25">
      <c r="A7" s="14" t="s">
        <v>52</v>
      </c>
      <c r="B7" s="15">
        <v>100</v>
      </c>
    </row>
    <row r="8" spans="1:9" ht="14.4" customHeight="1" x14ac:dyDescent="0.25">
      <c r="A8" s="14" t="s">
        <v>53</v>
      </c>
      <c r="B8" s="15">
        <v>400</v>
      </c>
      <c r="E8" s="214" t="s">
        <v>54</v>
      </c>
      <c r="F8" s="214"/>
      <c r="G8" s="214"/>
      <c r="H8" s="214"/>
      <c r="I8" s="214"/>
    </row>
    <row r="9" spans="1:9" ht="27.6" x14ac:dyDescent="0.25">
      <c r="A9" s="14" t="s">
        <v>55</v>
      </c>
      <c r="B9" s="15">
        <v>500</v>
      </c>
      <c r="F9" s="14" t="str">
        <f>A6</f>
        <v>Semi-finished goods (work-in-progress) – Beginning Inventory:</v>
      </c>
      <c r="I9" s="19">
        <v>700</v>
      </c>
    </row>
    <row r="10" spans="1:9" x14ac:dyDescent="0.25">
      <c r="A10" s="14" t="s">
        <v>56</v>
      </c>
      <c r="B10" s="15">
        <v>800</v>
      </c>
      <c r="E10" s="2" t="s">
        <v>48</v>
      </c>
      <c r="F10" s="7" t="s">
        <v>57</v>
      </c>
    </row>
    <row r="11" spans="1:9" x14ac:dyDescent="0.25">
      <c r="A11" s="14" t="s">
        <v>58</v>
      </c>
      <c r="B11" s="15">
        <v>250</v>
      </c>
      <c r="F11" s="2" t="str">
        <f>F6</f>
        <v>Direct Materials</v>
      </c>
      <c r="H11" s="13">
        <f>G6</f>
        <v>1100</v>
      </c>
    </row>
    <row r="12" spans="1:9" x14ac:dyDescent="0.25">
      <c r="A12" s="14" t="s">
        <v>59</v>
      </c>
      <c r="B12" s="15">
        <v>450</v>
      </c>
      <c r="F12" s="2" t="str">
        <f>A10</f>
        <v>Direct labor for production:</v>
      </c>
      <c r="H12" s="13">
        <f>B10</f>
        <v>800</v>
      </c>
    </row>
    <row r="13" spans="1:9" x14ac:dyDescent="0.25">
      <c r="A13" s="14" t="s">
        <v>60</v>
      </c>
      <c r="B13" s="15">
        <v>50</v>
      </c>
      <c r="F13" s="2" t="s">
        <v>61</v>
      </c>
      <c r="H13" s="18"/>
    </row>
    <row r="14" spans="1:9" x14ac:dyDescent="0.25">
      <c r="A14" s="14" t="s">
        <v>62</v>
      </c>
      <c r="B14" s="15">
        <v>350</v>
      </c>
      <c r="F14" s="20" t="str">
        <f t="shared" ref="F14:G16" si="0">A11</f>
        <v>Indirect labor for production:</v>
      </c>
      <c r="G14" s="21">
        <f t="shared" si="0"/>
        <v>250</v>
      </c>
    </row>
    <row r="15" spans="1:9" x14ac:dyDescent="0.25">
      <c r="A15" s="14" t="s">
        <v>63</v>
      </c>
      <c r="B15" s="15">
        <v>200</v>
      </c>
      <c r="F15" s="20" t="str">
        <f t="shared" si="0"/>
        <v>Indirect raw materials for production:</v>
      </c>
      <c r="G15" s="21">
        <f t="shared" si="0"/>
        <v>450</v>
      </c>
    </row>
    <row r="16" spans="1:9" x14ac:dyDescent="0.25">
      <c r="A16" s="14" t="s">
        <v>64</v>
      </c>
      <c r="B16" s="15">
        <v>150</v>
      </c>
      <c r="F16" s="20" t="str">
        <f t="shared" si="0"/>
        <v>Electricity for the production process:</v>
      </c>
      <c r="G16" s="21">
        <f t="shared" si="0"/>
        <v>50</v>
      </c>
    </row>
    <row r="17" spans="1:9" x14ac:dyDescent="0.25">
      <c r="A17" s="14" t="s">
        <v>65</v>
      </c>
      <c r="B17" s="15">
        <v>550</v>
      </c>
      <c r="F17" s="20" t="str">
        <f>A15</f>
        <v>Rent costs for the production department:</v>
      </c>
      <c r="G17" s="21">
        <f>B15</f>
        <v>200</v>
      </c>
    </row>
    <row r="18" spans="1:9" x14ac:dyDescent="0.25">
      <c r="A18" s="14" t="s">
        <v>66</v>
      </c>
      <c r="B18" s="15">
        <v>150</v>
      </c>
      <c r="F18" s="20" t="str">
        <f>A16</f>
        <v>Maintenance costs for production machines:</v>
      </c>
      <c r="G18" s="21">
        <f>B16</f>
        <v>150</v>
      </c>
    </row>
    <row r="19" spans="1:9" x14ac:dyDescent="0.25">
      <c r="A19" s="14" t="s">
        <v>67</v>
      </c>
      <c r="B19" s="15">
        <v>50</v>
      </c>
      <c r="F19" s="20" t="str">
        <f>A18</f>
        <v>Depreciation for production machines:</v>
      </c>
      <c r="G19" s="21">
        <f>B18</f>
        <v>150</v>
      </c>
    </row>
    <row r="20" spans="1:9" x14ac:dyDescent="0.25">
      <c r="A20" s="14" t="s">
        <v>28</v>
      </c>
      <c r="B20" s="15">
        <v>10</v>
      </c>
      <c r="F20" s="20" t="str">
        <f>A19</f>
        <v>Fuel costs for production machines:</v>
      </c>
      <c r="G20" s="22">
        <f>B19</f>
        <v>50</v>
      </c>
      <c r="H20" s="18">
        <f>SUM(G14:G20)</f>
        <v>1300</v>
      </c>
      <c r="I20" s="13">
        <f>H11+H12+H20</f>
        <v>3200</v>
      </c>
    </row>
    <row r="21" spans="1:9" x14ac:dyDescent="0.25">
      <c r="A21" s="14" t="s">
        <v>29</v>
      </c>
      <c r="B21" s="15">
        <v>390</v>
      </c>
      <c r="E21" s="2" t="s">
        <v>68</v>
      </c>
      <c r="F21" s="2" t="str">
        <f>A7</f>
        <v>Semi-finished goods (work-in-progress) – Ending Inventory:</v>
      </c>
      <c r="I21" s="18">
        <f>-B7</f>
        <v>-100</v>
      </c>
    </row>
    <row r="22" spans="1:9" x14ac:dyDescent="0.25">
      <c r="A22" s="14" t="s">
        <v>69</v>
      </c>
      <c r="B22" s="16">
        <v>6000</v>
      </c>
      <c r="F22" s="2" t="s">
        <v>70</v>
      </c>
      <c r="I22" s="13">
        <f>SUM(I9:I21)</f>
        <v>3800</v>
      </c>
    </row>
    <row r="23" spans="1:9" x14ac:dyDescent="0.25">
      <c r="A23" s="23" t="s">
        <v>71</v>
      </c>
    </row>
    <row r="24" spans="1:9" x14ac:dyDescent="0.25">
      <c r="A24" s="24"/>
      <c r="E24" s="214" t="s">
        <v>72</v>
      </c>
      <c r="F24" s="214"/>
      <c r="G24" s="214"/>
      <c r="H24" s="214"/>
      <c r="I24" s="214"/>
    </row>
    <row r="25" spans="1:9" x14ac:dyDescent="0.25">
      <c r="A25" s="24"/>
      <c r="F25" s="2" t="str">
        <f>A8</f>
        <v>Finished goods – Beginning Inventory:</v>
      </c>
      <c r="G25" s="13">
        <f>B8</f>
        <v>400</v>
      </c>
    </row>
    <row r="26" spans="1:9" x14ac:dyDescent="0.25">
      <c r="E26" s="2" t="s">
        <v>73</v>
      </c>
      <c r="F26" s="2" t="str">
        <f>F22</f>
        <v>Cost of Goods Produced</v>
      </c>
      <c r="G26" s="13">
        <f>I22</f>
        <v>3800</v>
      </c>
    </row>
    <row r="27" spans="1:9" x14ac:dyDescent="0.25">
      <c r="E27" s="2" t="s">
        <v>68</v>
      </c>
      <c r="F27" s="2" t="str">
        <f>A9</f>
        <v>Finished goods – Ending Inventory:</v>
      </c>
      <c r="G27" s="18">
        <f>-B9</f>
        <v>-500</v>
      </c>
    </row>
    <row r="28" spans="1:9" x14ac:dyDescent="0.25">
      <c r="F28" s="2" t="s">
        <v>74</v>
      </c>
      <c r="G28" s="13">
        <f>SUM(G25:G27)</f>
        <v>3700</v>
      </c>
    </row>
    <row r="30" spans="1:9" ht="14.4" customHeight="1" x14ac:dyDescent="0.25">
      <c r="E30" s="215" t="s">
        <v>75</v>
      </c>
      <c r="F30" s="215"/>
      <c r="G30" s="215"/>
    </row>
    <row r="31" spans="1:9" x14ac:dyDescent="0.25">
      <c r="F31" s="2" t="str">
        <f>A22</f>
        <v>Sales revenue:</v>
      </c>
      <c r="G31" s="2">
        <f>B22</f>
        <v>6000</v>
      </c>
    </row>
    <row r="32" spans="1:9" x14ac:dyDescent="0.25">
      <c r="E32" s="2" t="s">
        <v>30</v>
      </c>
      <c r="F32" s="2" t="str">
        <f>F28</f>
        <v>Cost of Goods Sold</v>
      </c>
      <c r="G32" s="18">
        <f>-G28</f>
        <v>-3700</v>
      </c>
    </row>
    <row r="33" spans="5:7" x14ac:dyDescent="0.25">
      <c r="F33" s="2" t="s">
        <v>33</v>
      </c>
      <c r="G33" s="13">
        <f>SUM(G31:G32)</f>
        <v>2300</v>
      </c>
    </row>
    <row r="34" spans="5:7" x14ac:dyDescent="0.25">
      <c r="E34" s="2" t="s">
        <v>30</v>
      </c>
      <c r="F34" s="2" t="str">
        <f>A14</f>
        <v>Administration expenses:</v>
      </c>
      <c r="G34" s="13">
        <f>-B14</f>
        <v>-350</v>
      </c>
    </row>
    <row r="35" spans="5:7" x14ac:dyDescent="0.25">
      <c r="F35" s="2" t="str">
        <f>A17</f>
        <v>Selling expenses:</v>
      </c>
      <c r="G35" s="18">
        <f>-B17</f>
        <v>-550</v>
      </c>
    </row>
    <row r="36" spans="5:7" x14ac:dyDescent="0.25">
      <c r="F36" s="2" t="s">
        <v>76</v>
      </c>
      <c r="G36" s="13">
        <f>SUM(G33:G35)</f>
        <v>1400</v>
      </c>
    </row>
    <row r="37" spans="5:7" x14ac:dyDescent="0.25">
      <c r="E37" s="2" t="s">
        <v>30</v>
      </c>
      <c r="F37" s="2" t="str">
        <f>A20</f>
        <v>Interest expense</v>
      </c>
      <c r="G37" s="18">
        <f>-B20</f>
        <v>-10</v>
      </c>
    </row>
    <row r="38" spans="5:7" x14ac:dyDescent="0.25">
      <c r="F38" s="2" t="s">
        <v>77</v>
      </c>
      <c r="G38" s="13">
        <f>G36+G37</f>
        <v>1390</v>
      </c>
    </row>
    <row r="39" spans="5:7" x14ac:dyDescent="0.25">
      <c r="E39" s="2" t="s">
        <v>30</v>
      </c>
      <c r="F39" s="2" t="str">
        <f>A21</f>
        <v>Tax expense</v>
      </c>
      <c r="G39" s="18">
        <f>-B21</f>
        <v>-390</v>
      </c>
    </row>
    <row r="40" spans="5:7" x14ac:dyDescent="0.25">
      <c r="F40" s="2" t="s">
        <v>78</v>
      </c>
      <c r="G40" s="13">
        <f>G38+G39</f>
        <v>1000</v>
      </c>
    </row>
  </sheetData>
  <mergeCells count="5">
    <mergeCell ref="A1:B2"/>
    <mergeCell ref="E2:I2"/>
    <mergeCell ref="E8:I8"/>
    <mergeCell ref="E24:I24"/>
    <mergeCell ref="E30:G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385B-D60A-421A-A231-7B16E0E53C9F}">
  <dimension ref="A1:Q33"/>
  <sheetViews>
    <sheetView workbookViewId="0">
      <selection activeCell="A21" sqref="A21:F22"/>
    </sheetView>
  </sheetViews>
  <sheetFormatPr defaultColWidth="8.88671875" defaultRowHeight="13.8" x14ac:dyDescent="0.25"/>
  <cols>
    <col min="1" max="1" width="8.88671875" style="2"/>
    <col min="2" max="2" width="18.88671875" style="2" customWidth="1"/>
    <col min="3" max="3" width="18.109375" style="2" customWidth="1"/>
    <col min="4" max="4" width="20.21875" style="2" customWidth="1"/>
    <col min="5" max="8" width="8.88671875" style="2"/>
    <col min="9" max="9" width="11" style="2" customWidth="1"/>
    <col min="10" max="10" width="17.77734375" style="2" customWidth="1"/>
    <col min="11" max="11" width="6.77734375" style="2" customWidth="1"/>
    <col min="12" max="12" width="8.88671875" style="2"/>
    <col min="13" max="13" width="25.44140625" style="2" customWidth="1"/>
    <col min="14" max="16384" width="8.88671875" style="2"/>
  </cols>
  <sheetData>
    <row r="1" spans="1:16" x14ac:dyDescent="0.25">
      <c r="A1" s="219" t="s">
        <v>79</v>
      </c>
      <c r="B1" s="219"/>
      <c r="C1" s="219"/>
      <c r="D1" s="219"/>
      <c r="E1" s="219"/>
      <c r="F1" s="219"/>
      <c r="G1" s="219"/>
      <c r="H1" s="219"/>
      <c r="I1" s="219"/>
      <c r="J1" s="219"/>
      <c r="K1" s="219"/>
      <c r="L1" s="219"/>
      <c r="M1" s="219"/>
      <c r="N1" s="219"/>
      <c r="O1" s="219"/>
      <c r="P1" s="219"/>
    </row>
    <row r="2" spans="1:16" x14ac:dyDescent="0.25">
      <c r="A2" s="220" t="s">
        <v>80</v>
      </c>
      <c r="B2" s="220"/>
      <c r="C2" s="220"/>
      <c r="D2" s="220"/>
      <c r="E2" s="220"/>
      <c r="F2" s="220"/>
      <c r="G2" s="220"/>
      <c r="H2" s="220"/>
      <c r="I2" s="220"/>
      <c r="J2" s="220"/>
      <c r="K2" s="220"/>
      <c r="L2" s="220"/>
      <c r="M2" s="220"/>
      <c r="N2" s="220"/>
      <c r="O2" s="220"/>
      <c r="P2" s="220"/>
    </row>
    <row r="3" spans="1:16" x14ac:dyDescent="0.25">
      <c r="A3" s="219" t="s">
        <v>81</v>
      </c>
      <c r="B3" s="219"/>
      <c r="C3" s="219"/>
      <c r="D3" s="219"/>
      <c r="E3" s="219"/>
      <c r="F3" s="219"/>
      <c r="G3" s="219"/>
      <c r="H3" s="219"/>
      <c r="I3" s="219"/>
      <c r="J3" s="219"/>
      <c r="K3" s="219"/>
      <c r="L3" s="219"/>
      <c r="M3" s="219"/>
      <c r="N3" s="219"/>
      <c r="O3" s="219"/>
      <c r="P3" s="219"/>
    </row>
    <row r="4" spans="1:16" x14ac:dyDescent="0.25">
      <c r="A4" s="219" t="s">
        <v>82</v>
      </c>
      <c r="B4" s="219"/>
      <c r="C4" s="219"/>
      <c r="D4" s="219"/>
      <c r="E4" s="219"/>
      <c r="F4" s="219"/>
      <c r="G4" s="219"/>
      <c r="H4" s="219"/>
      <c r="I4" s="219"/>
      <c r="J4" s="219"/>
      <c r="K4" s="219"/>
      <c r="L4" s="219"/>
      <c r="M4" s="219"/>
      <c r="N4" s="219"/>
      <c r="O4" s="219"/>
      <c r="P4" s="219"/>
    </row>
    <row r="5" spans="1:16" ht="16.8" x14ac:dyDescent="0.25">
      <c r="A5" s="219" t="s">
        <v>83</v>
      </c>
      <c r="B5" s="219"/>
      <c r="C5" s="219"/>
      <c r="D5" s="219"/>
      <c r="E5" s="219"/>
      <c r="F5" s="219"/>
      <c r="G5" s="219"/>
      <c r="H5" s="219"/>
      <c r="I5" s="219"/>
      <c r="J5" s="219"/>
      <c r="K5" s="219"/>
      <c r="L5" s="219"/>
      <c r="M5" s="219"/>
      <c r="N5" s="219"/>
      <c r="O5" s="219"/>
      <c r="P5" s="219"/>
    </row>
    <row r="6" spans="1:16" x14ac:dyDescent="0.25">
      <c r="A6" s="219" t="s">
        <v>84</v>
      </c>
      <c r="B6" s="219"/>
      <c r="C6" s="219"/>
      <c r="D6" s="219"/>
      <c r="E6" s="219"/>
      <c r="F6" s="219"/>
      <c r="G6" s="219"/>
      <c r="H6" s="219"/>
      <c r="I6" s="219"/>
      <c r="J6" s="219"/>
      <c r="K6" s="219"/>
      <c r="L6" s="219"/>
      <c r="M6" s="219"/>
      <c r="N6" s="219"/>
      <c r="O6" s="219"/>
      <c r="P6" s="219"/>
    </row>
    <row r="7" spans="1:16" x14ac:dyDescent="0.25">
      <c r="A7" s="2" t="s">
        <v>85</v>
      </c>
    </row>
    <row r="8" spans="1:16" x14ac:dyDescent="0.25">
      <c r="A8" s="2" t="s">
        <v>86</v>
      </c>
      <c r="M8" s="3" t="s">
        <v>87</v>
      </c>
    </row>
    <row r="9" spans="1:16" ht="25.2" customHeight="1" x14ac:dyDescent="0.25">
      <c r="A9" s="221"/>
      <c r="B9" s="216" t="s">
        <v>88</v>
      </c>
      <c r="C9" s="221" t="s">
        <v>89</v>
      </c>
      <c r="D9" s="221" t="s">
        <v>90</v>
      </c>
      <c r="E9" s="216" t="s">
        <v>91</v>
      </c>
      <c r="F9" s="216" t="s">
        <v>92</v>
      </c>
      <c r="G9" s="216" t="s">
        <v>93</v>
      </c>
      <c r="H9" s="216" t="s">
        <v>94</v>
      </c>
      <c r="I9" s="216" t="s">
        <v>95</v>
      </c>
      <c r="J9" s="216" t="s">
        <v>96</v>
      </c>
      <c r="K9" s="25"/>
      <c r="M9" s="3" t="s">
        <v>97</v>
      </c>
    </row>
    <row r="10" spans="1:16" x14ac:dyDescent="0.25">
      <c r="A10" s="222"/>
      <c r="B10" s="217"/>
      <c r="C10" s="222"/>
      <c r="D10" s="222"/>
      <c r="E10" s="217"/>
      <c r="F10" s="217"/>
      <c r="G10" s="217"/>
      <c r="H10" s="217"/>
      <c r="I10" s="217"/>
      <c r="J10" s="217"/>
      <c r="K10" s="25"/>
      <c r="M10" s="2" t="s">
        <v>98</v>
      </c>
      <c r="N10" s="2">
        <f>(D17-D14)/(C17-C14)</f>
        <v>0.8</v>
      </c>
    </row>
    <row r="11" spans="1:16" x14ac:dyDescent="0.25">
      <c r="A11" s="223"/>
      <c r="B11" s="218"/>
      <c r="C11" s="223"/>
      <c r="D11" s="223"/>
      <c r="E11" s="218"/>
      <c r="F11" s="218"/>
      <c r="G11" s="218"/>
      <c r="H11" s="218"/>
      <c r="I11" s="218"/>
      <c r="J11" s="218"/>
      <c r="K11" s="25"/>
      <c r="M11" s="2" t="s">
        <v>99</v>
      </c>
      <c r="N11" s="2">
        <f>D17-N10*C17</f>
        <v>34</v>
      </c>
    </row>
    <row r="12" spans="1:16" x14ac:dyDescent="0.25">
      <c r="A12" s="29">
        <v>1</v>
      </c>
      <c r="B12" s="30" t="s">
        <v>100</v>
      </c>
      <c r="C12" s="30">
        <v>56</v>
      </c>
      <c r="D12" s="30">
        <v>79</v>
      </c>
      <c r="E12" s="31">
        <f>C12^2</f>
        <v>3136</v>
      </c>
      <c r="F12" s="31">
        <f>D12^2</f>
        <v>6241</v>
      </c>
      <c r="G12" s="30">
        <f>C12*D12</f>
        <v>4424</v>
      </c>
      <c r="H12" s="32">
        <f>D12-$N$17-$N$16*C12</f>
        <v>2.1901251117068838</v>
      </c>
      <c r="I12" s="32">
        <f>H12^2</f>
        <v>4.7966480049290903</v>
      </c>
      <c r="J12" s="33">
        <f>(D12-$D$20)^2</f>
        <v>23.591836734693917</v>
      </c>
      <c r="K12" s="30"/>
      <c r="M12" s="2" t="s">
        <v>101</v>
      </c>
    </row>
    <row r="13" spans="1:16" x14ac:dyDescent="0.25">
      <c r="A13" s="29">
        <v>2</v>
      </c>
      <c r="B13" s="30" t="s">
        <v>102</v>
      </c>
      <c r="C13" s="30">
        <v>71</v>
      </c>
      <c r="D13" s="30">
        <v>85</v>
      </c>
      <c r="E13" s="31">
        <f t="shared" ref="E13:F18" si="0">C13^2</f>
        <v>5041</v>
      </c>
      <c r="F13" s="31">
        <f t="shared" si="0"/>
        <v>7225</v>
      </c>
      <c r="G13" s="30">
        <f t="shared" ref="G13:G18" si="1">C13*D13</f>
        <v>6035</v>
      </c>
      <c r="H13" s="32">
        <f t="shared" ref="H13:H18" si="2">D13-$N$17-$N$16*C13</f>
        <v>-3.1939231456657708</v>
      </c>
      <c r="I13" s="32">
        <f t="shared" ref="I13:I18" si="3">H13^2</f>
        <v>10.201145060419533</v>
      </c>
      <c r="J13" s="33">
        <f t="shared" ref="J13:J18" si="4">(D13-$D$20)^2</f>
        <v>1.3061224489795826</v>
      </c>
      <c r="K13" s="30"/>
    </row>
    <row r="14" spans="1:16" x14ac:dyDescent="0.25">
      <c r="A14" s="29">
        <v>3</v>
      </c>
      <c r="B14" s="30" t="s">
        <v>103</v>
      </c>
      <c r="C14" s="30">
        <v>50</v>
      </c>
      <c r="D14" s="30">
        <v>74</v>
      </c>
      <c r="E14" s="31">
        <f t="shared" si="0"/>
        <v>2500</v>
      </c>
      <c r="F14" s="31">
        <f t="shared" si="0"/>
        <v>5476</v>
      </c>
      <c r="G14" s="30">
        <f t="shared" si="1"/>
        <v>3700</v>
      </c>
      <c r="H14" s="32">
        <f t="shared" si="2"/>
        <v>1.7437444146559429</v>
      </c>
      <c r="I14" s="32">
        <f t="shared" si="3"/>
        <v>3.0406445836437968</v>
      </c>
      <c r="J14" s="33">
        <f t="shared" si="4"/>
        <v>97.163265306122526</v>
      </c>
      <c r="K14" s="30"/>
      <c r="M14" s="3" t="s">
        <v>104</v>
      </c>
    </row>
    <row r="15" spans="1:16" x14ac:dyDescent="0.25">
      <c r="A15" s="29">
        <v>4</v>
      </c>
      <c r="B15" s="30" t="s">
        <v>105</v>
      </c>
      <c r="C15" s="30">
        <v>65</v>
      </c>
      <c r="D15" s="30">
        <v>82</v>
      </c>
      <c r="E15" s="31">
        <f t="shared" si="0"/>
        <v>4225</v>
      </c>
      <c r="F15" s="31">
        <f t="shared" si="0"/>
        <v>6724</v>
      </c>
      <c r="G15" s="30">
        <f t="shared" si="1"/>
        <v>5330</v>
      </c>
      <c r="H15" s="32">
        <f t="shared" si="2"/>
        <v>-1.6403038427167118</v>
      </c>
      <c r="I15" s="32">
        <f t="shared" si="3"/>
        <v>2.6905966964312111</v>
      </c>
      <c r="J15" s="33">
        <f t="shared" si="4"/>
        <v>3.4489795918367498</v>
      </c>
      <c r="K15" s="30"/>
    </row>
    <row r="16" spans="1:16" x14ac:dyDescent="0.25">
      <c r="A16" s="29">
        <v>5</v>
      </c>
      <c r="B16" s="30" t="s">
        <v>106</v>
      </c>
      <c r="C16" s="30">
        <v>73</v>
      </c>
      <c r="D16" s="30">
        <v>91</v>
      </c>
      <c r="E16" s="31">
        <f t="shared" si="0"/>
        <v>5329</v>
      </c>
      <c r="F16" s="31">
        <f t="shared" si="0"/>
        <v>8281</v>
      </c>
      <c r="G16" s="30">
        <f t="shared" si="1"/>
        <v>6643</v>
      </c>
      <c r="H16" s="32">
        <f t="shared" si="2"/>
        <v>1.2882037533512047</v>
      </c>
      <c r="I16" s="32">
        <f t="shared" si="3"/>
        <v>1.6594689101481315</v>
      </c>
      <c r="J16" s="33">
        <f t="shared" si="4"/>
        <v>51.020408163265245</v>
      </c>
      <c r="K16" s="30"/>
      <c r="M16" s="2" t="s">
        <v>107</v>
      </c>
      <c r="N16" s="34">
        <f>(A18*G19-C19*D19)/(A18*E19-C19^2)</f>
        <v>0.75893655049151032</v>
      </c>
    </row>
    <row r="17" spans="1:17" x14ac:dyDescent="0.25">
      <c r="A17" s="29">
        <v>6</v>
      </c>
      <c r="B17" s="30" t="s">
        <v>108</v>
      </c>
      <c r="C17" s="30">
        <v>80</v>
      </c>
      <c r="D17" s="30">
        <v>98</v>
      </c>
      <c r="E17" s="31">
        <f t="shared" si="0"/>
        <v>6400</v>
      </c>
      <c r="F17" s="31">
        <f t="shared" si="0"/>
        <v>9604</v>
      </c>
      <c r="G17" s="30">
        <f t="shared" si="1"/>
        <v>7840</v>
      </c>
      <c r="H17" s="32">
        <f t="shared" si="2"/>
        <v>2.9756478999106335</v>
      </c>
      <c r="I17" s="32">
        <f t="shared" si="3"/>
        <v>8.8544804242425634</v>
      </c>
      <c r="J17" s="33">
        <f t="shared" si="4"/>
        <v>200.02040816326519</v>
      </c>
      <c r="K17" s="30"/>
      <c r="M17" s="2" t="s">
        <v>109</v>
      </c>
      <c r="N17" s="34">
        <f>(D19/A18)-N16*(C19/A18)</f>
        <v>34.309428060768539</v>
      </c>
    </row>
    <row r="18" spans="1:17" x14ac:dyDescent="0.25">
      <c r="A18" s="29">
        <v>7</v>
      </c>
      <c r="B18" s="30" t="s">
        <v>110</v>
      </c>
      <c r="C18" s="35">
        <v>62</v>
      </c>
      <c r="D18" s="35">
        <v>78</v>
      </c>
      <c r="E18" s="36">
        <f t="shared" si="0"/>
        <v>3844</v>
      </c>
      <c r="F18" s="36">
        <f t="shared" si="0"/>
        <v>6084</v>
      </c>
      <c r="G18" s="35">
        <f t="shared" si="1"/>
        <v>4836</v>
      </c>
      <c r="H18" s="37">
        <f t="shared" si="2"/>
        <v>-3.3634941912421823</v>
      </c>
      <c r="I18" s="37">
        <f t="shared" si="3"/>
        <v>11.313093174519903</v>
      </c>
      <c r="J18" s="38">
        <f t="shared" si="4"/>
        <v>34.306122448979636</v>
      </c>
      <c r="K18" s="35"/>
      <c r="M18" s="2" t="s">
        <v>111</v>
      </c>
    </row>
    <row r="19" spans="1:17" x14ac:dyDescent="0.25">
      <c r="A19" s="26"/>
      <c r="B19" s="25" t="s">
        <v>10</v>
      </c>
      <c r="C19" s="26">
        <f t="shared" ref="C19:J19" si="5">SUM(C12:C18)</f>
        <v>457</v>
      </c>
      <c r="D19" s="26">
        <f t="shared" si="5"/>
        <v>587</v>
      </c>
      <c r="E19" s="39">
        <f t="shared" si="5"/>
        <v>30475</v>
      </c>
      <c r="F19" s="39">
        <f t="shared" si="5"/>
        <v>49635</v>
      </c>
      <c r="G19" s="39">
        <f t="shared" si="5"/>
        <v>38808</v>
      </c>
      <c r="H19" s="40">
        <f t="shared" si="5"/>
        <v>0</v>
      </c>
      <c r="I19" s="41">
        <f t="shared" si="5"/>
        <v>42.556076854334229</v>
      </c>
      <c r="J19" s="42">
        <f t="shared" si="5"/>
        <v>410.85714285714283</v>
      </c>
      <c r="K19" s="26"/>
    </row>
    <row r="20" spans="1:17" ht="16.8" x14ac:dyDescent="0.25">
      <c r="A20" s="27"/>
      <c r="B20" s="28" t="s">
        <v>112</v>
      </c>
      <c r="C20" s="43">
        <f>C19/A18</f>
        <v>65.285714285714292</v>
      </c>
      <c r="D20" s="43">
        <f>D19/A18</f>
        <v>83.857142857142861</v>
      </c>
      <c r="E20" s="27"/>
      <c r="F20" s="27"/>
      <c r="G20" s="27"/>
      <c r="H20" s="28"/>
      <c r="I20" s="27"/>
      <c r="J20" s="27"/>
      <c r="K20" s="26"/>
      <c r="M20" s="3" t="s">
        <v>113</v>
      </c>
      <c r="N20" s="44">
        <f>1-(I19/J19)</f>
        <v>0.89642123157846332</v>
      </c>
    </row>
    <row r="21" spans="1:17" x14ac:dyDescent="0.25">
      <c r="A21" s="26"/>
      <c r="B21" s="25"/>
      <c r="C21" s="41"/>
      <c r="D21" s="41"/>
      <c r="E21" s="26"/>
      <c r="F21" s="26"/>
      <c r="G21" s="26"/>
      <c r="H21" s="25"/>
      <c r="I21" s="26"/>
      <c r="J21" s="26"/>
      <c r="K21" s="26"/>
      <c r="M21" s="3"/>
      <c r="N21" s="44"/>
    </row>
    <row r="22" spans="1:17" x14ac:dyDescent="0.25">
      <c r="M22" s="3" t="s">
        <v>114</v>
      </c>
    </row>
    <row r="23" spans="1:17" x14ac:dyDescent="0.25">
      <c r="M23" s="7" t="s">
        <v>115</v>
      </c>
    </row>
    <row r="24" spans="1:17" x14ac:dyDescent="0.25">
      <c r="M24" s="2" t="s">
        <v>116</v>
      </c>
      <c r="N24" s="2">
        <f>N11+N10*90</f>
        <v>106</v>
      </c>
    </row>
    <row r="26" spans="1:17" x14ac:dyDescent="0.25">
      <c r="M26" s="7" t="s">
        <v>117</v>
      </c>
    </row>
    <row r="27" spans="1:17" x14ac:dyDescent="0.25">
      <c r="M27" s="2" t="str">
        <f>M24</f>
        <v>Forecasted cost:</v>
      </c>
      <c r="N27" s="34">
        <f>N17+N16*90</f>
        <v>102.61371760500447</v>
      </c>
    </row>
    <row r="28" spans="1:17" x14ac:dyDescent="0.25">
      <c r="M28" s="2" t="s">
        <v>118</v>
      </c>
    </row>
    <row r="29" spans="1:17" ht="13.8" customHeight="1" x14ac:dyDescent="0.25">
      <c r="M29" s="213" t="s">
        <v>119</v>
      </c>
      <c r="N29" s="213"/>
      <c r="O29" s="213"/>
      <c r="P29" s="213"/>
      <c r="Q29" s="213"/>
    </row>
    <row r="30" spans="1:17" x14ac:dyDescent="0.25">
      <c r="M30" s="213"/>
      <c r="N30" s="213"/>
      <c r="O30" s="213"/>
      <c r="P30" s="213"/>
      <c r="Q30" s="213"/>
    </row>
    <row r="31" spans="1:17" x14ac:dyDescent="0.25">
      <c r="M31" s="213"/>
      <c r="N31" s="213"/>
      <c r="O31" s="213"/>
      <c r="P31" s="213"/>
      <c r="Q31" s="213"/>
    </row>
    <row r="33" spans="12:12" x14ac:dyDescent="0.25">
      <c r="L33" s="2" t="s">
        <v>120</v>
      </c>
    </row>
  </sheetData>
  <mergeCells count="17">
    <mergeCell ref="J9:J11"/>
    <mergeCell ref="M29:Q31"/>
    <mergeCell ref="F9:F11"/>
    <mergeCell ref="A1:P1"/>
    <mergeCell ref="A2:P2"/>
    <mergeCell ref="A3:P3"/>
    <mergeCell ref="A4:P4"/>
    <mergeCell ref="A5:P5"/>
    <mergeCell ref="A6:P6"/>
    <mergeCell ref="A9:A11"/>
    <mergeCell ref="B9:B11"/>
    <mergeCell ref="C9:C11"/>
    <mergeCell ref="D9:D11"/>
    <mergeCell ref="E9:E11"/>
    <mergeCell ref="G9:G11"/>
    <mergeCell ref="H9:H11"/>
    <mergeCell ref="I9:I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89B05-3B3E-445E-9BC0-EDE848B39FAE}">
  <dimension ref="A1:Q42"/>
  <sheetViews>
    <sheetView workbookViewId="0">
      <selection activeCell="A21" sqref="A21:F22"/>
    </sheetView>
  </sheetViews>
  <sheetFormatPr defaultColWidth="8.88671875" defaultRowHeight="13.8" x14ac:dyDescent="0.25"/>
  <cols>
    <col min="1" max="1" width="20.5546875" style="53" customWidth="1"/>
    <col min="2" max="2" width="25.109375" style="53" customWidth="1"/>
    <col min="3" max="3" width="15.44140625" style="53" customWidth="1"/>
    <col min="4" max="4" width="19.33203125" style="53" customWidth="1"/>
    <col min="5" max="5" width="6.21875" style="53" customWidth="1"/>
    <col min="6" max="6" width="9" style="2" bestFit="1" customWidth="1"/>
    <col min="7" max="7" width="9.6640625" style="2" customWidth="1"/>
    <col min="8" max="8" width="8.88671875" style="2"/>
    <col min="9" max="9" width="27.44140625" style="2" customWidth="1"/>
    <col min="10" max="10" width="27.88671875" style="2" customWidth="1"/>
    <col min="11" max="11" width="9" style="2" bestFit="1" customWidth="1"/>
    <col min="12" max="13" width="12.33203125" style="2" bestFit="1" customWidth="1"/>
    <col min="14" max="17" width="9" style="2" bestFit="1" customWidth="1"/>
    <col min="18" max="16384" width="8.88671875" style="2"/>
  </cols>
  <sheetData>
    <row r="1" spans="1:12" ht="27.6" x14ac:dyDescent="0.25">
      <c r="A1" s="224" t="s">
        <v>121</v>
      </c>
      <c r="B1" s="224"/>
      <c r="C1" s="224"/>
      <c r="D1" s="45" t="s">
        <v>122</v>
      </c>
      <c r="E1" s="46"/>
      <c r="I1" s="2" t="s">
        <v>123</v>
      </c>
    </row>
    <row r="2" spans="1:12" x14ac:dyDescent="0.25">
      <c r="A2" s="47" t="s">
        <v>124</v>
      </c>
      <c r="B2" s="47" t="s">
        <v>125</v>
      </c>
      <c r="C2" s="47" t="s">
        <v>126</v>
      </c>
      <c r="D2" s="48" t="s">
        <v>127</v>
      </c>
      <c r="E2" s="49"/>
      <c r="F2" s="50"/>
      <c r="G2" s="50"/>
      <c r="I2" s="51" t="s">
        <v>128</v>
      </c>
    </row>
    <row r="3" spans="1:12" s="1" customFormat="1" ht="27.6" x14ac:dyDescent="0.25">
      <c r="A3" s="52" t="s">
        <v>129</v>
      </c>
      <c r="B3" s="52" t="s">
        <v>130</v>
      </c>
      <c r="C3" s="52" t="s">
        <v>131</v>
      </c>
      <c r="D3" s="52" t="s">
        <v>132</v>
      </c>
      <c r="E3" s="46"/>
      <c r="F3" s="1" t="s">
        <v>133</v>
      </c>
      <c r="G3" s="1" t="s">
        <v>134</v>
      </c>
      <c r="I3" s="1" t="s">
        <v>135</v>
      </c>
      <c r="J3" s="1" t="s">
        <v>136</v>
      </c>
    </row>
    <row r="4" spans="1:12" x14ac:dyDescent="0.25">
      <c r="A4" s="53">
        <v>1</v>
      </c>
      <c r="B4" s="54">
        <v>100</v>
      </c>
      <c r="C4" s="54">
        <f t="shared" ref="C4:C35" si="0">A4*B4</f>
        <v>100</v>
      </c>
      <c r="D4" s="55">
        <f t="shared" ref="D4:D35" si="1">C4*10</f>
        <v>1000</v>
      </c>
      <c r="E4" s="55"/>
      <c r="F4" s="2">
        <f t="shared" ref="F4:F35" si="2">LN(A4)</f>
        <v>0</v>
      </c>
      <c r="G4" s="2">
        <f t="shared" ref="G4:G35" si="3">LN(D4)</f>
        <v>6.9077552789821368</v>
      </c>
      <c r="I4" s="2" t="s">
        <v>137</v>
      </c>
      <c r="J4" s="2" t="s">
        <v>138</v>
      </c>
    </row>
    <row r="5" spans="1:12" x14ac:dyDescent="0.25">
      <c r="A5" s="56">
        <v>2</v>
      </c>
      <c r="B5" s="57">
        <f t="shared" ref="B5:B35" si="4">$B$4*A5^(LN(0.8)/LN(2))</f>
        <v>80</v>
      </c>
      <c r="C5" s="54">
        <f t="shared" si="0"/>
        <v>160</v>
      </c>
      <c r="D5" s="55">
        <f t="shared" si="1"/>
        <v>1600</v>
      </c>
      <c r="E5" s="55"/>
      <c r="F5" s="2">
        <f t="shared" si="2"/>
        <v>0.69314718055994529</v>
      </c>
      <c r="G5" s="2">
        <f t="shared" si="3"/>
        <v>7.3777589082278725</v>
      </c>
      <c r="I5" s="2" t="s">
        <v>139</v>
      </c>
      <c r="J5" s="2" t="s">
        <v>140</v>
      </c>
    </row>
    <row r="6" spans="1:12" x14ac:dyDescent="0.25">
      <c r="A6" s="53">
        <v>3</v>
      </c>
      <c r="B6" s="54">
        <f t="shared" si="4"/>
        <v>70.210370277856015</v>
      </c>
      <c r="C6" s="54">
        <f t="shared" si="0"/>
        <v>210.63111083356804</v>
      </c>
      <c r="D6" s="55">
        <f t="shared" si="1"/>
        <v>2106.3111083356803</v>
      </c>
      <c r="E6" s="55"/>
      <c r="F6" s="2">
        <f t="shared" si="2"/>
        <v>1.0986122886681098</v>
      </c>
      <c r="G6" s="2">
        <f t="shared" si="3"/>
        <v>7.6526934065394769</v>
      </c>
      <c r="I6" s="2" t="s">
        <v>141</v>
      </c>
      <c r="J6" s="50" t="s">
        <v>142</v>
      </c>
    </row>
    <row r="7" spans="1:12" x14ac:dyDescent="0.25">
      <c r="A7" s="56">
        <v>4</v>
      </c>
      <c r="B7" s="57">
        <f t="shared" si="4"/>
        <v>64.000000000000014</v>
      </c>
      <c r="C7" s="54">
        <f t="shared" si="0"/>
        <v>256.00000000000006</v>
      </c>
      <c r="D7" s="55">
        <f t="shared" si="1"/>
        <v>2560.0000000000005</v>
      </c>
      <c r="E7" s="55"/>
      <c r="F7" s="2">
        <f t="shared" si="2"/>
        <v>1.3862943611198906</v>
      </c>
      <c r="G7" s="2">
        <f t="shared" si="3"/>
        <v>7.8477625374736082</v>
      </c>
      <c r="J7" s="50" t="s">
        <v>143</v>
      </c>
    </row>
    <row r="8" spans="1:12" x14ac:dyDescent="0.25">
      <c r="A8" s="53">
        <v>5</v>
      </c>
      <c r="B8" s="54">
        <f t="shared" si="4"/>
        <v>59.563734361278065</v>
      </c>
      <c r="C8" s="54">
        <f t="shared" si="0"/>
        <v>297.81867180639034</v>
      </c>
      <c r="D8" s="55">
        <f t="shared" si="1"/>
        <v>2978.1867180639033</v>
      </c>
      <c r="E8" s="55"/>
      <c r="F8" s="2">
        <f t="shared" si="2"/>
        <v>1.6094379124341003</v>
      </c>
      <c r="G8" s="2">
        <f t="shared" si="3"/>
        <v>7.9990699104268339</v>
      </c>
      <c r="J8" s="17" t="s">
        <v>144</v>
      </c>
      <c r="K8" s="2">
        <f>LN(0.8)/(LN(2))</f>
        <v>-0.32192809488736229</v>
      </c>
    </row>
    <row r="9" spans="1:12" x14ac:dyDescent="0.25">
      <c r="A9" s="53">
        <v>6</v>
      </c>
      <c r="B9" s="54">
        <f t="shared" si="4"/>
        <v>56.168296222284816</v>
      </c>
      <c r="C9" s="54">
        <f t="shared" si="0"/>
        <v>337.00977733370888</v>
      </c>
      <c r="D9" s="55">
        <f t="shared" si="1"/>
        <v>3370.0977733370887</v>
      </c>
      <c r="E9" s="55"/>
      <c r="F9" s="2">
        <f t="shared" si="2"/>
        <v>1.791759469228055</v>
      </c>
      <c r="G9" s="2">
        <f t="shared" si="3"/>
        <v>8.1226970357852135</v>
      </c>
      <c r="I9" s="51" t="s">
        <v>145</v>
      </c>
    </row>
    <row r="10" spans="1:12" x14ac:dyDescent="0.25">
      <c r="A10" s="53">
        <v>7</v>
      </c>
      <c r="B10" s="54">
        <f t="shared" si="4"/>
        <v>53.448952465612365</v>
      </c>
      <c r="C10" s="54">
        <f t="shared" si="0"/>
        <v>374.14266725928655</v>
      </c>
      <c r="D10" s="55">
        <f t="shared" si="1"/>
        <v>3741.4266725928655</v>
      </c>
      <c r="E10" s="55"/>
      <c r="F10" s="2">
        <f t="shared" si="2"/>
        <v>1.9459101490553132</v>
      </c>
      <c r="G10" s="2">
        <f t="shared" si="3"/>
        <v>8.227222280930091</v>
      </c>
      <c r="I10" s="2" t="s">
        <v>146</v>
      </c>
    </row>
    <row r="11" spans="1:12" x14ac:dyDescent="0.25">
      <c r="A11" s="56">
        <v>8</v>
      </c>
      <c r="B11" s="57">
        <f t="shared" si="4"/>
        <v>51.2</v>
      </c>
      <c r="C11" s="54">
        <f t="shared" si="0"/>
        <v>409.6</v>
      </c>
      <c r="D11" s="55">
        <f t="shared" si="1"/>
        <v>4096</v>
      </c>
      <c r="E11" s="55"/>
      <c r="F11" s="2">
        <f t="shared" si="2"/>
        <v>2.0794415416798357</v>
      </c>
      <c r="G11" s="2">
        <f t="shared" si="3"/>
        <v>8.317766166719343</v>
      </c>
      <c r="I11" s="225" t="s">
        <v>147</v>
      </c>
      <c r="J11" s="225"/>
    </row>
    <row r="12" spans="1:12" x14ac:dyDescent="0.25">
      <c r="A12" s="53">
        <v>9</v>
      </c>
      <c r="B12" s="54">
        <f t="shared" si="4"/>
        <v>49.294960945536474</v>
      </c>
      <c r="C12" s="54">
        <f t="shared" si="0"/>
        <v>443.65464850982823</v>
      </c>
      <c r="D12" s="55">
        <f t="shared" si="1"/>
        <v>4436.5464850982826</v>
      </c>
      <c r="E12" s="55"/>
      <c r="F12" s="2">
        <f t="shared" si="2"/>
        <v>2.1972245773362196</v>
      </c>
      <c r="G12" s="2">
        <f t="shared" si="3"/>
        <v>8.3976315340968171</v>
      </c>
      <c r="I12" s="2" t="s">
        <v>148</v>
      </c>
    </row>
    <row r="13" spans="1:12" x14ac:dyDescent="0.25">
      <c r="A13" s="53">
        <v>10</v>
      </c>
      <c r="B13" s="54">
        <f t="shared" si="4"/>
        <v>47.650987489022448</v>
      </c>
      <c r="C13" s="54">
        <f t="shared" si="0"/>
        <v>476.50987489022447</v>
      </c>
      <c r="D13" s="55">
        <f t="shared" si="1"/>
        <v>4765.0987489022446</v>
      </c>
      <c r="E13" s="55"/>
      <c r="F13" s="2">
        <f t="shared" si="2"/>
        <v>2.3025850929940459</v>
      </c>
      <c r="G13" s="2">
        <f t="shared" si="3"/>
        <v>8.4690735396725696</v>
      </c>
      <c r="I13" s="225" t="s">
        <v>149</v>
      </c>
      <c r="J13" s="225"/>
    </row>
    <row r="14" spans="1:12" x14ac:dyDescent="0.25">
      <c r="A14" s="53">
        <v>11</v>
      </c>
      <c r="B14" s="54">
        <f t="shared" si="4"/>
        <v>46.211113868253392</v>
      </c>
      <c r="C14" s="54">
        <f t="shared" si="0"/>
        <v>508.32225255078731</v>
      </c>
      <c r="D14" s="55">
        <f t="shared" si="1"/>
        <v>5083.2225255078729</v>
      </c>
      <c r="E14" s="55"/>
      <c r="F14" s="2">
        <f t="shared" si="2"/>
        <v>2.3978952727983707</v>
      </c>
      <c r="G14" s="2">
        <f t="shared" si="3"/>
        <v>8.5337006948691165</v>
      </c>
      <c r="I14" s="2" t="s">
        <v>150</v>
      </c>
    </row>
    <row r="15" spans="1:12" x14ac:dyDescent="0.25">
      <c r="A15" s="53">
        <v>12</v>
      </c>
      <c r="B15" s="54">
        <f t="shared" si="4"/>
        <v>44.93463697782785</v>
      </c>
      <c r="C15" s="54">
        <f t="shared" si="0"/>
        <v>539.21564373393426</v>
      </c>
      <c r="D15" s="55">
        <f t="shared" si="1"/>
        <v>5392.156437339343</v>
      </c>
      <c r="E15" s="55"/>
      <c r="F15" s="2">
        <f t="shared" si="2"/>
        <v>2.4849066497880004</v>
      </c>
      <c r="G15" s="2">
        <f t="shared" si="3"/>
        <v>8.5927006650309483</v>
      </c>
      <c r="I15" s="2" t="s">
        <v>151</v>
      </c>
      <c r="J15" s="58"/>
    </row>
    <row r="16" spans="1:12" x14ac:dyDescent="0.25">
      <c r="A16" s="53">
        <v>13</v>
      </c>
      <c r="B16" s="54">
        <f t="shared" si="4"/>
        <v>43.79155216601238</v>
      </c>
      <c r="C16" s="54">
        <f t="shared" si="0"/>
        <v>569.29017815816098</v>
      </c>
      <c r="D16" s="55">
        <f t="shared" si="1"/>
        <v>5692.9017815816096</v>
      </c>
      <c r="E16" s="55"/>
      <c r="F16" s="2">
        <f t="shared" si="2"/>
        <v>2.5649493574615367</v>
      </c>
      <c r="G16" s="2">
        <f t="shared" si="3"/>
        <v>8.6469753763135166</v>
      </c>
      <c r="J16" s="59">
        <f>EXP(J32)</f>
        <v>999.99999999999886</v>
      </c>
      <c r="K16" s="59">
        <f>J33-1</f>
        <v>-0.32192809488736207</v>
      </c>
      <c r="L16" s="2" t="s">
        <v>152</v>
      </c>
    </row>
    <row r="17" spans="1:17" ht="14.4" thickBot="1" x14ac:dyDescent="0.3">
      <c r="A17" s="53">
        <v>14</v>
      </c>
      <c r="B17" s="54">
        <f t="shared" si="4"/>
        <v>42.759161972489892</v>
      </c>
      <c r="C17" s="54">
        <f t="shared" si="0"/>
        <v>598.62826761485849</v>
      </c>
      <c r="D17" s="55">
        <f t="shared" si="1"/>
        <v>5986.2826761485849</v>
      </c>
      <c r="E17" s="55"/>
      <c r="F17" s="2">
        <f t="shared" si="2"/>
        <v>2.6390573296152584</v>
      </c>
      <c r="G17" s="2">
        <f t="shared" si="3"/>
        <v>8.6972259101758258</v>
      </c>
      <c r="I17" s="2" t="s">
        <v>153</v>
      </c>
    </row>
    <row r="18" spans="1:17" x14ac:dyDescent="0.25">
      <c r="A18" s="53">
        <v>15</v>
      </c>
      <c r="B18" s="54">
        <f t="shared" si="4"/>
        <v>41.819918446371886</v>
      </c>
      <c r="C18" s="54">
        <f t="shared" si="0"/>
        <v>627.29877669557834</v>
      </c>
      <c r="D18" s="55">
        <f t="shared" si="1"/>
        <v>6272.9877669557836</v>
      </c>
      <c r="E18" s="55"/>
      <c r="F18" s="2">
        <f t="shared" si="2"/>
        <v>2.7080502011022101</v>
      </c>
      <c r="G18" s="2">
        <f t="shared" si="3"/>
        <v>8.7440080379841749</v>
      </c>
      <c r="I18" s="60" t="s">
        <v>154</v>
      </c>
      <c r="J18" s="60"/>
    </row>
    <row r="19" spans="1:17" x14ac:dyDescent="0.25">
      <c r="A19" s="56">
        <v>16</v>
      </c>
      <c r="B19" s="57">
        <f t="shared" si="4"/>
        <v>40.960000000000008</v>
      </c>
      <c r="C19" s="54">
        <f t="shared" si="0"/>
        <v>655.36000000000013</v>
      </c>
      <c r="D19" s="55">
        <f t="shared" si="1"/>
        <v>6553.6000000000013</v>
      </c>
      <c r="E19" s="55"/>
      <c r="F19" s="2">
        <f t="shared" si="2"/>
        <v>2.7725887222397811</v>
      </c>
      <c r="G19" s="2">
        <f t="shared" si="3"/>
        <v>8.7877697959650796</v>
      </c>
      <c r="I19" s="2" t="s">
        <v>155</v>
      </c>
      <c r="J19" s="2">
        <v>1</v>
      </c>
    </row>
    <row r="20" spans="1:17" x14ac:dyDescent="0.25">
      <c r="A20" s="53">
        <v>17</v>
      </c>
      <c r="B20" s="54">
        <f t="shared" si="4"/>
        <v>40.168343558140911</v>
      </c>
      <c r="C20" s="54">
        <f t="shared" si="0"/>
        <v>682.8618404883955</v>
      </c>
      <c r="D20" s="55">
        <f t="shared" si="1"/>
        <v>6828.618404883955</v>
      </c>
      <c r="E20" s="55"/>
      <c r="F20" s="2">
        <f t="shared" si="2"/>
        <v>2.8332133440562162</v>
      </c>
      <c r="G20" s="2">
        <f t="shared" si="3"/>
        <v>8.8288776487768832</v>
      </c>
      <c r="I20" s="2" t="s">
        <v>156</v>
      </c>
      <c r="J20" s="2">
        <v>1</v>
      </c>
    </row>
    <row r="21" spans="1:17" x14ac:dyDescent="0.25">
      <c r="A21" s="53">
        <v>18</v>
      </c>
      <c r="B21" s="54">
        <f t="shared" si="4"/>
        <v>39.435968756429183</v>
      </c>
      <c r="C21" s="54">
        <f t="shared" si="0"/>
        <v>709.84743761572531</v>
      </c>
      <c r="D21" s="55">
        <f t="shared" si="1"/>
        <v>7098.4743761572536</v>
      </c>
      <c r="E21" s="55"/>
      <c r="F21" s="2">
        <f t="shared" si="2"/>
        <v>2.8903717578961645</v>
      </c>
      <c r="G21" s="2">
        <f t="shared" si="3"/>
        <v>8.8676351633425536</v>
      </c>
      <c r="I21" s="2" t="s">
        <v>157</v>
      </c>
      <c r="J21" s="2">
        <v>1</v>
      </c>
    </row>
    <row r="22" spans="1:17" x14ac:dyDescent="0.25">
      <c r="A22" s="53">
        <v>19</v>
      </c>
      <c r="B22" s="54">
        <f t="shared" si="4"/>
        <v>38.755495105243064</v>
      </c>
      <c r="C22" s="54">
        <f t="shared" si="0"/>
        <v>736.35440699961816</v>
      </c>
      <c r="D22" s="55">
        <f t="shared" si="1"/>
        <v>7363.5440699961819</v>
      </c>
      <c r="E22" s="55"/>
      <c r="F22" s="2">
        <f t="shared" si="2"/>
        <v>2.9444389791664403</v>
      </c>
      <c r="G22" s="2">
        <f t="shared" si="3"/>
        <v>8.9042966270734354</v>
      </c>
      <c r="I22" s="2" t="s">
        <v>158</v>
      </c>
      <c r="J22" s="2">
        <v>5.4134194856816902E-16</v>
      </c>
    </row>
    <row r="23" spans="1:17" ht="14.4" thickBot="1" x14ac:dyDescent="0.3">
      <c r="A23" s="53">
        <v>20</v>
      </c>
      <c r="B23" s="54">
        <f t="shared" si="4"/>
        <v>38.120789991217968</v>
      </c>
      <c r="C23" s="54">
        <f t="shared" si="0"/>
        <v>762.4157998243594</v>
      </c>
      <c r="D23" s="55">
        <f t="shared" si="1"/>
        <v>7624.1579982435942</v>
      </c>
      <c r="E23" s="55"/>
      <c r="F23" s="2">
        <f t="shared" si="2"/>
        <v>2.9957322735539909</v>
      </c>
      <c r="G23" s="2">
        <f t="shared" si="3"/>
        <v>8.9390771689183062</v>
      </c>
      <c r="I23" s="61" t="s">
        <v>159</v>
      </c>
      <c r="J23" s="61">
        <v>32</v>
      </c>
    </row>
    <row r="24" spans="1:17" x14ac:dyDescent="0.25">
      <c r="A24" s="53">
        <v>21</v>
      </c>
      <c r="B24" s="54">
        <f t="shared" si="4"/>
        <v>37.526707435741692</v>
      </c>
      <c r="C24" s="54">
        <f t="shared" si="0"/>
        <v>788.06085615057555</v>
      </c>
      <c r="D24" s="55">
        <f t="shared" si="1"/>
        <v>7880.6085615057555</v>
      </c>
      <c r="E24" s="55"/>
      <c r="F24" s="2">
        <f t="shared" si="2"/>
        <v>3.044522437723423</v>
      </c>
      <c r="G24" s="2">
        <f t="shared" si="3"/>
        <v>8.9721604084874311</v>
      </c>
    </row>
    <row r="25" spans="1:17" ht="14.4" thickBot="1" x14ac:dyDescent="0.3">
      <c r="A25" s="53">
        <v>22</v>
      </c>
      <c r="B25" s="54">
        <f t="shared" si="4"/>
        <v>36.968891094602711</v>
      </c>
      <c r="C25" s="54">
        <f t="shared" si="0"/>
        <v>813.31560408125961</v>
      </c>
      <c r="D25" s="55">
        <f t="shared" si="1"/>
        <v>8133.1560408125961</v>
      </c>
      <c r="E25" s="55"/>
      <c r="F25" s="2">
        <f t="shared" si="2"/>
        <v>3.0910424533583161</v>
      </c>
      <c r="G25" s="2">
        <f t="shared" si="3"/>
        <v>9.0037043241148513</v>
      </c>
      <c r="I25" s="2" t="s">
        <v>160</v>
      </c>
    </row>
    <row r="26" spans="1:17" x14ac:dyDescent="0.25">
      <c r="A26" s="53">
        <v>23</v>
      </c>
      <c r="B26" s="54">
        <f t="shared" si="4"/>
        <v>36.443623559916901</v>
      </c>
      <c r="C26" s="54">
        <f t="shared" si="0"/>
        <v>838.20334187808874</v>
      </c>
      <c r="D26" s="55">
        <f t="shared" si="1"/>
        <v>8382.0334187808876</v>
      </c>
      <c r="E26" s="55"/>
      <c r="F26" s="2">
        <f t="shared" si="2"/>
        <v>3.1354942159291497</v>
      </c>
      <c r="G26" s="2">
        <f t="shared" si="3"/>
        <v>9.0338458154468722</v>
      </c>
      <c r="I26" s="62"/>
      <c r="J26" s="62" t="s">
        <v>161</v>
      </c>
      <c r="K26" s="62" t="s">
        <v>162</v>
      </c>
      <c r="L26" s="62" t="s">
        <v>163</v>
      </c>
      <c r="M26" s="62" t="s">
        <v>164</v>
      </c>
      <c r="N26" s="62" t="s">
        <v>165</v>
      </c>
    </row>
    <row r="27" spans="1:17" x14ac:dyDescent="0.25">
      <c r="A27" s="53">
        <v>24</v>
      </c>
      <c r="B27" s="54">
        <f t="shared" si="4"/>
        <v>35.947709582262291</v>
      </c>
      <c r="C27" s="54">
        <f t="shared" si="0"/>
        <v>862.74502997429499</v>
      </c>
      <c r="D27" s="55">
        <f t="shared" si="1"/>
        <v>8627.4502997429499</v>
      </c>
      <c r="E27" s="55"/>
      <c r="F27" s="2">
        <f t="shared" si="2"/>
        <v>3.1780538303479458</v>
      </c>
      <c r="G27" s="2">
        <f t="shared" si="3"/>
        <v>9.0627042942766849</v>
      </c>
      <c r="I27" s="2" t="s">
        <v>166</v>
      </c>
      <c r="J27" s="2">
        <v>1</v>
      </c>
      <c r="K27" s="2">
        <v>10.440268594467678</v>
      </c>
      <c r="L27" s="2">
        <v>10.440268594467678</v>
      </c>
      <c r="M27" s="2">
        <v>3.5626102090648171E+31</v>
      </c>
      <c r="N27" s="2">
        <v>0</v>
      </c>
    </row>
    <row r="28" spans="1:17" x14ac:dyDescent="0.25">
      <c r="A28" s="53">
        <v>25</v>
      </c>
      <c r="B28" s="54">
        <f t="shared" si="4"/>
        <v>35.478384510608976</v>
      </c>
      <c r="C28" s="54">
        <f t="shared" si="0"/>
        <v>886.95961276522439</v>
      </c>
      <c r="D28" s="55">
        <f t="shared" si="1"/>
        <v>8869.596127652243</v>
      </c>
      <c r="E28" s="55"/>
      <c r="F28" s="2">
        <f t="shared" si="2"/>
        <v>3.2188758248682006</v>
      </c>
      <c r="G28" s="2">
        <f t="shared" si="3"/>
        <v>9.090384541871531</v>
      </c>
      <c r="I28" s="2" t="s">
        <v>167</v>
      </c>
      <c r="J28" s="2">
        <v>30</v>
      </c>
      <c r="K28" s="2">
        <v>8.7915331583874639E-30</v>
      </c>
      <c r="L28" s="2">
        <v>2.9305110527958213E-31</v>
      </c>
    </row>
    <row r="29" spans="1:17" ht="14.4" thickBot="1" x14ac:dyDescent="0.3">
      <c r="A29" s="53">
        <v>26</v>
      </c>
      <c r="B29" s="54">
        <f t="shared" si="4"/>
        <v>35.033241732809905</v>
      </c>
      <c r="C29" s="54">
        <f t="shared" si="0"/>
        <v>910.86428505305753</v>
      </c>
      <c r="D29" s="55">
        <f t="shared" si="1"/>
        <v>9108.6428505305757</v>
      </c>
      <c r="E29" s="55"/>
      <c r="F29" s="2">
        <f t="shared" si="2"/>
        <v>3.2580965380214821</v>
      </c>
      <c r="G29" s="2">
        <f t="shared" si="3"/>
        <v>9.1169790055592532</v>
      </c>
      <c r="I29" s="61" t="s">
        <v>10</v>
      </c>
      <c r="J29" s="61">
        <v>31</v>
      </c>
      <c r="K29" s="61">
        <v>10.440268594467678</v>
      </c>
      <c r="L29" s="61"/>
      <c r="M29" s="61"/>
      <c r="N29" s="61"/>
    </row>
    <row r="30" spans="1:17" ht="14.4" thickBot="1" x14ac:dyDescent="0.3">
      <c r="A30" s="53">
        <v>27</v>
      </c>
      <c r="B30" s="54">
        <f t="shared" si="4"/>
        <v>34.610174608185666</v>
      </c>
      <c r="C30" s="54">
        <f t="shared" si="0"/>
        <v>934.474714421013</v>
      </c>
      <c r="D30" s="55">
        <f t="shared" si="1"/>
        <v>9344.7471442101305</v>
      </c>
      <c r="E30" s="55"/>
      <c r="F30" s="2">
        <f t="shared" si="2"/>
        <v>3.2958368660043291</v>
      </c>
      <c r="G30" s="2">
        <f t="shared" si="3"/>
        <v>9.1425696616541572</v>
      </c>
    </row>
    <row r="31" spans="1:17" x14ac:dyDescent="0.25">
      <c r="A31" s="53">
        <v>28</v>
      </c>
      <c r="B31" s="54">
        <f t="shared" si="4"/>
        <v>34.207329577991921</v>
      </c>
      <c r="C31" s="54">
        <f t="shared" si="0"/>
        <v>957.80522818377381</v>
      </c>
      <c r="D31" s="55">
        <f t="shared" si="1"/>
        <v>9578.0522818377376</v>
      </c>
      <c r="E31" s="55"/>
      <c r="F31" s="2">
        <f t="shared" si="2"/>
        <v>3.3322045101752038</v>
      </c>
      <c r="G31" s="2">
        <f t="shared" si="3"/>
        <v>9.1672295394215606</v>
      </c>
      <c r="I31" s="62"/>
      <c r="J31" s="62" t="s">
        <v>168</v>
      </c>
      <c r="K31" s="62" t="s">
        <v>158</v>
      </c>
      <c r="L31" s="62" t="s">
        <v>169</v>
      </c>
      <c r="M31" s="62" t="s">
        <v>170</v>
      </c>
      <c r="N31" s="62" t="s">
        <v>171</v>
      </c>
      <c r="O31" s="62" t="s">
        <v>172</v>
      </c>
      <c r="P31" s="62" t="s">
        <v>173</v>
      </c>
      <c r="Q31" s="62" t="s">
        <v>174</v>
      </c>
    </row>
    <row r="32" spans="1:17" x14ac:dyDescent="0.25">
      <c r="A32" s="53">
        <v>29</v>
      </c>
      <c r="B32" s="54">
        <f t="shared" si="4"/>
        <v>33.823067986789788</v>
      </c>
      <c r="C32" s="54">
        <f t="shared" si="0"/>
        <v>980.86897161690388</v>
      </c>
      <c r="D32" s="55">
        <f t="shared" si="1"/>
        <v>9808.6897161690395</v>
      </c>
      <c r="E32" s="55"/>
      <c r="F32" s="2">
        <f t="shared" si="2"/>
        <v>3.3672958299864741</v>
      </c>
      <c r="G32" s="2">
        <f t="shared" si="3"/>
        <v>9.1910239774989062</v>
      </c>
      <c r="I32" s="2" t="s">
        <v>175</v>
      </c>
      <c r="J32" s="2">
        <v>6.9077552789821359</v>
      </c>
      <c r="K32" s="2">
        <v>3.0494430107318358E-16</v>
      </c>
      <c r="L32" s="2">
        <v>2.2652514753257656E+16</v>
      </c>
      <c r="M32" s="2">
        <v>0</v>
      </c>
      <c r="N32" s="2">
        <v>6.907755278982135</v>
      </c>
      <c r="O32" s="2">
        <v>6.9077552789821368</v>
      </c>
      <c r="P32" s="2">
        <v>6.907755278982135</v>
      </c>
      <c r="Q32" s="2">
        <v>6.9077552789821368</v>
      </c>
    </row>
    <row r="33" spans="1:17" ht="14.4" thickBot="1" x14ac:dyDescent="0.3">
      <c r="A33" s="53">
        <v>30</v>
      </c>
      <c r="B33" s="54">
        <f t="shared" si="4"/>
        <v>33.455934757097502</v>
      </c>
      <c r="C33" s="54">
        <f t="shared" si="0"/>
        <v>1003.678042712925</v>
      </c>
      <c r="D33" s="55">
        <f t="shared" si="1"/>
        <v>10036.78042712925</v>
      </c>
      <c r="E33" s="55"/>
      <c r="F33" s="2">
        <f t="shared" si="2"/>
        <v>3.4011973816621555</v>
      </c>
      <c r="G33" s="2">
        <f t="shared" si="3"/>
        <v>9.2140116672299097</v>
      </c>
      <c r="I33" s="61" t="s">
        <v>176</v>
      </c>
      <c r="J33" s="61">
        <v>0.67807190511263793</v>
      </c>
      <c r="K33" s="61">
        <v>1.1360346982574709E-16</v>
      </c>
      <c r="L33" s="61">
        <v>5968760515437705</v>
      </c>
      <c r="M33" s="61">
        <v>0</v>
      </c>
      <c r="N33" s="61">
        <v>0.67807190511263771</v>
      </c>
      <c r="O33" s="61">
        <v>0.67807190511263815</v>
      </c>
      <c r="P33" s="61">
        <v>0.67807190511263771</v>
      </c>
      <c r="Q33" s="61">
        <v>0.67807190511263815</v>
      </c>
    </row>
    <row r="34" spans="1:17" x14ac:dyDescent="0.25">
      <c r="A34" s="53">
        <v>31</v>
      </c>
      <c r="B34" s="54">
        <f t="shared" si="4"/>
        <v>33.104632503560588</v>
      </c>
      <c r="C34" s="54">
        <f t="shared" si="0"/>
        <v>1026.2436076103781</v>
      </c>
      <c r="D34" s="55">
        <f t="shared" si="1"/>
        <v>10262.436076103782</v>
      </c>
      <c r="E34" s="55"/>
      <c r="F34" s="2">
        <f t="shared" si="2"/>
        <v>3.4339872044851463</v>
      </c>
      <c r="G34" s="2">
        <f t="shared" si="3"/>
        <v>9.2362455248598021</v>
      </c>
    </row>
    <row r="35" spans="1:17" x14ac:dyDescent="0.25">
      <c r="A35" s="56">
        <v>32</v>
      </c>
      <c r="B35" s="57">
        <f t="shared" si="4"/>
        <v>32.768000000000008</v>
      </c>
      <c r="C35" s="54">
        <f t="shared" si="0"/>
        <v>1048.5760000000002</v>
      </c>
      <c r="D35" s="55">
        <f t="shared" si="1"/>
        <v>10485.760000000002</v>
      </c>
      <c r="E35" s="55"/>
      <c r="F35" s="2">
        <f t="shared" si="2"/>
        <v>3.4657359027997265</v>
      </c>
      <c r="G35" s="2">
        <f t="shared" si="3"/>
        <v>9.2577734252108144</v>
      </c>
    </row>
    <row r="42" spans="1:17" x14ac:dyDescent="0.25">
      <c r="B42" s="2"/>
      <c r="C42" s="63"/>
    </row>
  </sheetData>
  <mergeCells count="3">
    <mergeCell ref="A1:C1"/>
    <mergeCell ref="I11:J11"/>
    <mergeCell ref="I13:J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D1AEB-0B1F-4C52-9074-FE37180040E0}">
  <dimension ref="A1:Q35"/>
  <sheetViews>
    <sheetView workbookViewId="0">
      <selection activeCell="A21" sqref="A21:F22"/>
    </sheetView>
  </sheetViews>
  <sheetFormatPr defaultColWidth="8.88671875" defaultRowHeight="13.8" x14ac:dyDescent="0.25"/>
  <cols>
    <col min="1" max="1" width="20" style="53" customWidth="1"/>
    <col min="2" max="2" width="22.33203125" style="53" customWidth="1"/>
    <col min="3" max="3" width="17.33203125" style="53" customWidth="1"/>
    <col min="4" max="4" width="19.44140625" style="53" customWidth="1"/>
    <col min="5" max="5" width="8.109375" style="53" customWidth="1"/>
    <col min="6" max="6" width="9" style="53" customWidth="1"/>
    <col min="7" max="8" width="8.44140625" style="53" customWidth="1"/>
    <col min="9" max="16384" width="8.88671875" style="2"/>
  </cols>
  <sheetData>
    <row r="1" spans="1:17" ht="27.6" x14ac:dyDescent="0.25">
      <c r="A1" s="224" t="s">
        <v>177</v>
      </c>
      <c r="B1" s="224"/>
      <c r="C1" s="224"/>
      <c r="D1" s="45" t="s">
        <v>122</v>
      </c>
      <c r="E1" s="46"/>
      <c r="F1" s="46"/>
      <c r="G1" s="46"/>
      <c r="H1" s="46"/>
    </row>
    <row r="2" spans="1:17" x14ac:dyDescent="0.25">
      <c r="A2" s="47" t="s">
        <v>124</v>
      </c>
      <c r="B2" s="47" t="s">
        <v>178</v>
      </c>
      <c r="C2" s="47" t="s">
        <v>179</v>
      </c>
      <c r="D2" s="48" t="s">
        <v>180</v>
      </c>
      <c r="E2" s="49"/>
      <c r="F2" s="49"/>
      <c r="G2" s="46"/>
      <c r="H2" s="46"/>
      <c r="I2" s="225" t="s">
        <v>144</v>
      </c>
      <c r="J2" s="225"/>
      <c r="K2" s="2">
        <f>LN(0.8)/(LN(2))</f>
        <v>-0.32192809488736229</v>
      </c>
    </row>
    <row r="3" spans="1:17" s="1" customFormat="1" ht="27.6" x14ac:dyDescent="0.25">
      <c r="A3" s="52" t="s">
        <v>129</v>
      </c>
      <c r="B3" s="52" t="s">
        <v>181</v>
      </c>
      <c r="C3" s="52" t="s">
        <v>131</v>
      </c>
      <c r="D3" s="52" t="s">
        <v>182</v>
      </c>
      <c r="E3" s="46"/>
      <c r="F3" s="46" t="s">
        <v>183</v>
      </c>
      <c r="G3" s="46" t="s">
        <v>133</v>
      </c>
      <c r="H3" s="46"/>
    </row>
    <row r="4" spans="1:17" x14ac:dyDescent="0.25">
      <c r="A4" s="53">
        <v>1</v>
      </c>
      <c r="B4" s="54">
        <v>100</v>
      </c>
      <c r="C4" s="54">
        <f>A4*B4</f>
        <v>100</v>
      </c>
      <c r="D4" s="55">
        <f>C4*10</f>
        <v>1000</v>
      </c>
      <c r="E4" s="55"/>
      <c r="F4" s="55" t="s">
        <v>184</v>
      </c>
      <c r="G4" s="55" t="s">
        <v>184</v>
      </c>
      <c r="H4" s="55"/>
      <c r="I4" s="51" t="s">
        <v>185</v>
      </c>
    </row>
    <row r="5" spans="1:17" ht="13.8" customHeight="1" x14ac:dyDescent="0.25">
      <c r="A5" s="56">
        <v>2</v>
      </c>
      <c r="B5" s="57">
        <f>$B$4*A5^(LN(0.8)/LN(2))</f>
        <v>80</v>
      </c>
      <c r="C5" s="54">
        <f>C4+B5</f>
        <v>180</v>
      </c>
      <c r="D5" s="55">
        <f t="shared" ref="D5:D35" si="0">C5*10</f>
        <v>1800</v>
      </c>
      <c r="E5" s="55"/>
      <c r="F5" s="55">
        <f>LN(D5-D4)</f>
        <v>6.6846117276679271</v>
      </c>
      <c r="G5" s="55">
        <f>LN(A5)</f>
        <v>0.69314718055994529</v>
      </c>
      <c r="H5" s="55"/>
      <c r="I5" s="226" t="s">
        <v>186</v>
      </c>
      <c r="J5" s="226"/>
      <c r="K5" s="226"/>
      <c r="L5" s="226"/>
      <c r="M5" s="226"/>
      <c r="N5" s="226"/>
      <c r="O5" s="226"/>
      <c r="P5" s="226"/>
    </row>
    <row r="6" spans="1:17" x14ac:dyDescent="0.25">
      <c r="A6" s="53">
        <v>3</v>
      </c>
      <c r="B6" s="54">
        <f t="shared" ref="B6:B35" si="1">$B$4*A6^(LN(0.8)/LN(2))</f>
        <v>70.210370277856015</v>
      </c>
      <c r="C6" s="54">
        <f>C5+B6</f>
        <v>250.21037027785601</v>
      </c>
      <c r="D6" s="55">
        <f t="shared" si="0"/>
        <v>2502.1037027785601</v>
      </c>
      <c r="E6" s="55"/>
      <c r="F6" s="55">
        <f t="shared" ref="F6:F35" si="2">LN(D6-D5)</f>
        <v>6.5540811178713678</v>
      </c>
      <c r="G6" s="55">
        <f t="shared" ref="G6:G35" si="3">LN(A6)</f>
        <v>1.0986122886681098</v>
      </c>
      <c r="H6" s="55"/>
      <c r="I6" s="226"/>
      <c r="J6" s="226"/>
      <c r="K6" s="226"/>
      <c r="L6" s="226"/>
      <c r="M6" s="226"/>
      <c r="N6" s="226"/>
      <c r="O6" s="226"/>
      <c r="P6" s="226"/>
    </row>
    <row r="7" spans="1:17" x14ac:dyDescent="0.25">
      <c r="A7" s="56">
        <v>4</v>
      </c>
      <c r="B7" s="57">
        <f t="shared" si="1"/>
        <v>64.000000000000014</v>
      </c>
      <c r="C7" s="54">
        <f t="shared" ref="C7:C35" si="4">C6+B7</f>
        <v>314.21037027785604</v>
      </c>
      <c r="D7" s="55">
        <f t="shared" si="0"/>
        <v>3142.1037027785605</v>
      </c>
      <c r="E7" s="55"/>
      <c r="F7" s="55">
        <f t="shared" si="2"/>
        <v>6.4614681763537183</v>
      </c>
      <c r="G7" s="55">
        <f t="shared" si="3"/>
        <v>1.3862943611198906</v>
      </c>
      <c r="H7" s="55"/>
      <c r="I7" s="226"/>
      <c r="J7" s="226"/>
      <c r="K7" s="226"/>
      <c r="L7" s="226"/>
      <c r="M7" s="226"/>
      <c r="N7" s="226"/>
      <c r="O7" s="226"/>
      <c r="P7" s="226"/>
    </row>
    <row r="8" spans="1:17" x14ac:dyDescent="0.25">
      <c r="A8" s="53">
        <v>5</v>
      </c>
      <c r="B8" s="54">
        <f t="shared" si="1"/>
        <v>59.563734361278065</v>
      </c>
      <c r="C8" s="54">
        <f t="shared" si="4"/>
        <v>373.77410463913412</v>
      </c>
      <c r="D8" s="55">
        <f t="shared" si="0"/>
        <v>3737.7410463913411</v>
      </c>
      <c r="E8" s="55"/>
      <c r="F8" s="55">
        <f t="shared" si="2"/>
        <v>6.3896319979927334</v>
      </c>
      <c r="G8" s="55">
        <f t="shared" si="3"/>
        <v>1.6094379124341003</v>
      </c>
      <c r="H8" s="55"/>
      <c r="I8" s="2" t="s">
        <v>187</v>
      </c>
    </row>
    <row r="9" spans="1:17" x14ac:dyDescent="0.25">
      <c r="A9" s="53">
        <v>6</v>
      </c>
      <c r="B9" s="54">
        <f t="shared" si="1"/>
        <v>56.168296222284816</v>
      </c>
      <c r="C9" s="54">
        <f t="shared" si="4"/>
        <v>429.94240086141895</v>
      </c>
      <c r="D9" s="55">
        <f t="shared" si="0"/>
        <v>4299.424008614189</v>
      </c>
      <c r="E9" s="55"/>
      <c r="F9" s="55">
        <f t="shared" si="2"/>
        <v>6.3309375665571572</v>
      </c>
      <c r="G9" s="55">
        <f t="shared" si="3"/>
        <v>1.791759469228055</v>
      </c>
      <c r="H9" s="55"/>
      <c r="I9" s="2" t="s">
        <v>188</v>
      </c>
    </row>
    <row r="10" spans="1:17" x14ac:dyDescent="0.25">
      <c r="A10" s="53">
        <v>7</v>
      </c>
      <c r="B10" s="54">
        <f t="shared" si="1"/>
        <v>53.448952465612365</v>
      </c>
      <c r="C10" s="54">
        <f t="shared" si="4"/>
        <v>483.39135332703131</v>
      </c>
      <c r="D10" s="55">
        <f t="shared" si="0"/>
        <v>4833.9135332703136</v>
      </c>
      <c r="E10" s="55"/>
      <c r="F10" s="55">
        <f t="shared" si="2"/>
        <v>6.2813121318747784</v>
      </c>
      <c r="G10" s="55">
        <f t="shared" si="3"/>
        <v>1.9459101490553132</v>
      </c>
      <c r="H10" s="55"/>
      <c r="I10" s="2" t="s">
        <v>189</v>
      </c>
    </row>
    <row r="11" spans="1:17" x14ac:dyDescent="0.25">
      <c r="A11" s="56">
        <v>8</v>
      </c>
      <c r="B11" s="57">
        <f t="shared" si="1"/>
        <v>51.2</v>
      </c>
      <c r="C11" s="54">
        <f t="shared" si="4"/>
        <v>534.59135332703136</v>
      </c>
      <c r="D11" s="55">
        <f t="shared" si="0"/>
        <v>5345.9135332703136</v>
      </c>
      <c r="E11" s="55"/>
      <c r="F11" s="55">
        <f t="shared" si="2"/>
        <v>6.2383246250395077</v>
      </c>
      <c r="G11" s="55">
        <f t="shared" si="3"/>
        <v>2.0794415416798357</v>
      </c>
      <c r="H11" s="55"/>
      <c r="I11" s="225" t="s">
        <v>190</v>
      </c>
      <c r="J11" s="225"/>
      <c r="K11" s="225"/>
      <c r="L11" s="225"/>
      <c r="M11" s="225"/>
      <c r="N11" s="225"/>
    </row>
    <row r="12" spans="1:17" x14ac:dyDescent="0.25">
      <c r="A12" s="53">
        <v>9</v>
      </c>
      <c r="B12" s="54">
        <f t="shared" si="1"/>
        <v>49.294960945536474</v>
      </c>
      <c r="C12" s="54">
        <f t="shared" si="4"/>
        <v>583.8863142725678</v>
      </c>
      <c r="D12" s="55">
        <f t="shared" si="0"/>
        <v>5838.8631427256778</v>
      </c>
      <c r="E12" s="55"/>
      <c r="F12" s="55">
        <f>LN(D12-D11)</f>
        <v>6.2004069567605971</v>
      </c>
      <c r="G12" s="55">
        <f t="shared" si="3"/>
        <v>2.1972245773362196</v>
      </c>
      <c r="H12" s="55"/>
      <c r="I12" s="2" t="s">
        <v>191</v>
      </c>
    </row>
    <row r="13" spans="1:17" x14ac:dyDescent="0.25">
      <c r="A13" s="53">
        <v>10</v>
      </c>
      <c r="B13" s="54">
        <f t="shared" si="1"/>
        <v>47.650987489022448</v>
      </c>
      <c r="C13" s="54">
        <f t="shared" si="4"/>
        <v>631.53730176159024</v>
      </c>
      <c r="D13" s="55">
        <f t="shared" si="0"/>
        <v>6315.3730176159024</v>
      </c>
      <c r="E13" s="55"/>
      <c r="F13" s="55">
        <f t="shared" si="2"/>
        <v>6.1664884466785246</v>
      </c>
      <c r="G13" s="55">
        <f t="shared" si="3"/>
        <v>2.3025850929940459</v>
      </c>
      <c r="H13" s="55"/>
      <c r="I13" s="2" t="s">
        <v>151</v>
      </c>
    </row>
    <row r="14" spans="1:17" x14ac:dyDescent="0.25">
      <c r="A14" s="53">
        <v>11</v>
      </c>
      <c r="B14" s="54">
        <f t="shared" si="1"/>
        <v>46.211113868253392</v>
      </c>
      <c r="C14" s="54">
        <f t="shared" si="4"/>
        <v>677.74841562984363</v>
      </c>
      <c r="D14" s="55">
        <f t="shared" si="0"/>
        <v>6777.4841562984366</v>
      </c>
      <c r="E14" s="55"/>
      <c r="F14" s="55">
        <f t="shared" si="2"/>
        <v>6.1358054220707459</v>
      </c>
      <c r="G14" s="55">
        <f t="shared" si="3"/>
        <v>2.3978952727983707</v>
      </c>
      <c r="H14" s="55"/>
      <c r="K14" s="59">
        <f>EXP(J31)</f>
        <v>999.99999999999977</v>
      </c>
      <c r="L14" s="59">
        <f>J32</f>
        <v>-0.32192809488736224</v>
      </c>
      <c r="M14" s="2" t="s">
        <v>152</v>
      </c>
    </row>
    <row r="15" spans="1:17" ht="14.4" x14ac:dyDescent="0.3">
      <c r="A15" s="53">
        <v>12</v>
      </c>
      <c r="B15" s="54">
        <f t="shared" si="1"/>
        <v>44.93463697782785</v>
      </c>
      <c r="C15" s="54">
        <f t="shared" si="4"/>
        <v>722.68305260767147</v>
      </c>
      <c r="D15" s="55">
        <f t="shared" si="0"/>
        <v>7226.8305260767147</v>
      </c>
      <c r="E15" s="55"/>
      <c r="F15" s="55">
        <f t="shared" si="2"/>
        <v>6.1077940152429475</v>
      </c>
      <c r="G15" s="55">
        <f t="shared" si="3"/>
        <v>2.4849066497880004</v>
      </c>
      <c r="H15" s="55"/>
      <c r="I15" s="64" t="s">
        <v>153</v>
      </c>
      <c r="J15" s="64"/>
      <c r="K15" s="64"/>
      <c r="L15" s="64"/>
      <c r="M15" s="64"/>
      <c r="N15" s="64"/>
      <c r="O15" s="64"/>
      <c r="Q15" s="64"/>
    </row>
    <row r="16" spans="1:17" ht="15" thickBot="1" x14ac:dyDescent="0.35">
      <c r="A16" s="53">
        <v>13</v>
      </c>
      <c r="B16" s="54">
        <f t="shared" si="1"/>
        <v>43.79155216601238</v>
      </c>
      <c r="C16" s="54">
        <f t="shared" si="4"/>
        <v>766.47460477368384</v>
      </c>
      <c r="D16" s="55">
        <f t="shared" si="0"/>
        <v>7664.7460477368386</v>
      </c>
      <c r="E16" s="55"/>
      <c r="F16" s="55">
        <f t="shared" si="2"/>
        <v>6.0820260188519804</v>
      </c>
      <c r="G16" s="55">
        <f t="shared" si="3"/>
        <v>2.5649493574615367</v>
      </c>
      <c r="H16" s="55"/>
      <c r="I16" s="64"/>
      <c r="J16" s="64"/>
      <c r="K16" s="64"/>
      <c r="L16" s="64"/>
      <c r="M16" s="64"/>
      <c r="N16" s="64"/>
      <c r="O16" s="64"/>
      <c r="P16" s="64"/>
      <c r="Q16" s="64"/>
    </row>
    <row r="17" spans="1:17" ht="14.4" x14ac:dyDescent="0.3">
      <c r="A17" s="53">
        <v>14</v>
      </c>
      <c r="B17" s="54">
        <f t="shared" si="1"/>
        <v>42.759161972489892</v>
      </c>
      <c r="C17" s="54">
        <f t="shared" si="4"/>
        <v>809.23376674617373</v>
      </c>
      <c r="D17" s="55">
        <f t="shared" si="0"/>
        <v>8092.3376674617375</v>
      </c>
      <c r="E17" s="55"/>
      <c r="F17" s="55">
        <f t="shared" si="2"/>
        <v>6.058168580560567</v>
      </c>
      <c r="G17" s="55">
        <f t="shared" si="3"/>
        <v>2.6390573296152584</v>
      </c>
      <c r="H17" s="55"/>
      <c r="I17" s="65" t="s">
        <v>154</v>
      </c>
      <c r="J17" s="65"/>
      <c r="K17" s="64"/>
      <c r="L17" s="64"/>
      <c r="M17" s="64"/>
      <c r="N17" s="64"/>
      <c r="O17" s="64"/>
      <c r="P17" s="64"/>
      <c r="Q17" s="64"/>
    </row>
    <row r="18" spans="1:17" ht="14.4" x14ac:dyDescent="0.3">
      <c r="A18" s="53">
        <v>15</v>
      </c>
      <c r="B18" s="54">
        <f t="shared" si="1"/>
        <v>41.819918446371886</v>
      </c>
      <c r="C18" s="54">
        <f t="shared" si="4"/>
        <v>851.05368519254557</v>
      </c>
      <c r="D18" s="55">
        <f t="shared" si="0"/>
        <v>8510.5368519254553</v>
      </c>
      <c r="E18" s="55"/>
      <c r="F18" s="55">
        <f t="shared" si="2"/>
        <v>6.0359578368819617</v>
      </c>
      <c r="G18" s="55">
        <f t="shared" si="3"/>
        <v>2.7080502011022101</v>
      </c>
      <c r="H18" s="55"/>
      <c r="I18" s="64" t="s">
        <v>155</v>
      </c>
      <c r="J18" s="64">
        <v>1</v>
      </c>
      <c r="K18" s="64"/>
      <c r="L18" s="64"/>
      <c r="M18" s="64"/>
      <c r="N18" s="64"/>
      <c r="O18" s="64"/>
      <c r="P18" s="64"/>
      <c r="Q18" s="64"/>
    </row>
    <row r="19" spans="1:17" ht="14.4" x14ac:dyDescent="0.3">
      <c r="A19" s="56">
        <v>16</v>
      </c>
      <c r="B19" s="57">
        <f t="shared" si="1"/>
        <v>40.960000000000008</v>
      </c>
      <c r="C19" s="54">
        <f t="shared" si="4"/>
        <v>892.01368519254561</v>
      </c>
      <c r="D19" s="55">
        <f t="shared" si="0"/>
        <v>8920.1368519254556</v>
      </c>
      <c r="E19" s="55"/>
      <c r="F19" s="55">
        <f t="shared" si="2"/>
        <v>6.0151810737252989</v>
      </c>
      <c r="G19" s="55">
        <f t="shared" si="3"/>
        <v>2.7725887222397811</v>
      </c>
      <c r="H19" s="55"/>
      <c r="I19" s="64" t="s">
        <v>156</v>
      </c>
      <c r="J19" s="64">
        <v>1</v>
      </c>
      <c r="K19" s="64"/>
      <c r="L19" s="64"/>
      <c r="M19" s="64"/>
      <c r="N19" s="64"/>
      <c r="O19" s="64"/>
      <c r="P19" s="64"/>
      <c r="Q19" s="64"/>
    </row>
    <row r="20" spans="1:17" ht="14.4" x14ac:dyDescent="0.3">
      <c r="A20" s="53">
        <v>17</v>
      </c>
      <c r="B20" s="54">
        <f t="shared" si="1"/>
        <v>40.168343558140911</v>
      </c>
      <c r="C20" s="54">
        <f t="shared" si="4"/>
        <v>932.18202875068653</v>
      </c>
      <c r="D20" s="54">
        <f t="shared" si="0"/>
        <v>9321.8202875068655</v>
      </c>
      <c r="E20" s="54"/>
      <c r="F20" s="55">
        <f t="shared" si="2"/>
        <v>5.9956643047206688</v>
      </c>
      <c r="G20" s="55">
        <f t="shared" si="3"/>
        <v>2.8332133440562162</v>
      </c>
      <c r="H20" s="55"/>
      <c r="I20" s="64" t="s">
        <v>157</v>
      </c>
      <c r="J20" s="64">
        <v>1</v>
      </c>
      <c r="K20" s="64"/>
      <c r="L20" s="64"/>
      <c r="M20" s="64"/>
      <c r="N20" s="64"/>
      <c r="O20" s="64"/>
      <c r="P20" s="64"/>
      <c r="Q20" s="64"/>
    </row>
    <row r="21" spans="1:17" ht="14.4" x14ac:dyDescent="0.3">
      <c r="A21" s="53">
        <v>18</v>
      </c>
      <c r="B21" s="54">
        <f t="shared" si="1"/>
        <v>39.435968756429183</v>
      </c>
      <c r="C21" s="54">
        <f t="shared" si="4"/>
        <v>971.61799750711566</v>
      </c>
      <c r="D21" s="54">
        <f t="shared" si="0"/>
        <v>9716.1799750711562</v>
      </c>
      <c r="E21" s="54"/>
      <c r="F21" s="55">
        <f t="shared" si="2"/>
        <v>5.9772634054463856</v>
      </c>
      <c r="G21" s="55">
        <f t="shared" si="3"/>
        <v>2.8903717578961645</v>
      </c>
      <c r="H21" s="55"/>
      <c r="I21" s="64" t="s">
        <v>158</v>
      </c>
      <c r="J21" s="64">
        <v>1.5920060406960543E-15</v>
      </c>
      <c r="K21" s="64"/>
      <c r="L21" s="64"/>
      <c r="M21" s="64"/>
      <c r="N21" s="64"/>
      <c r="O21" s="64"/>
      <c r="P21" s="64"/>
      <c r="Q21" s="64"/>
    </row>
    <row r="22" spans="1:17" ht="15" thickBot="1" x14ac:dyDescent="0.35">
      <c r="A22" s="53">
        <v>19</v>
      </c>
      <c r="B22" s="54">
        <f t="shared" si="1"/>
        <v>38.755495105243064</v>
      </c>
      <c r="C22" s="54">
        <f t="shared" si="4"/>
        <v>1010.3734926123587</v>
      </c>
      <c r="D22" s="54">
        <f t="shared" si="0"/>
        <v>10103.734926123587</v>
      </c>
      <c r="E22" s="54"/>
      <c r="F22" s="55">
        <f t="shared" si="2"/>
        <v>5.9598576479069951</v>
      </c>
      <c r="G22" s="55">
        <f t="shared" si="3"/>
        <v>2.9444389791664403</v>
      </c>
      <c r="H22" s="55"/>
      <c r="I22" s="66" t="s">
        <v>159</v>
      </c>
      <c r="J22" s="66">
        <v>31</v>
      </c>
      <c r="K22" s="64"/>
      <c r="L22" s="64"/>
      <c r="M22" s="64"/>
      <c r="N22" s="64"/>
      <c r="O22" s="64"/>
      <c r="P22" s="64"/>
      <c r="Q22" s="64"/>
    </row>
    <row r="23" spans="1:17" ht="14.4" x14ac:dyDescent="0.3">
      <c r="A23" s="53">
        <v>20</v>
      </c>
      <c r="B23" s="54">
        <f t="shared" si="1"/>
        <v>38.120789991217968</v>
      </c>
      <c r="C23" s="54">
        <f t="shared" si="4"/>
        <v>1048.4942826035767</v>
      </c>
      <c r="D23" s="54">
        <f t="shared" si="0"/>
        <v>10484.942826035767</v>
      </c>
      <c r="E23" s="54"/>
      <c r="F23" s="55">
        <f t="shared" si="2"/>
        <v>5.9433448953643166</v>
      </c>
      <c r="G23" s="55">
        <f t="shared" si="3"/>
        <v>2.9957322735539909</v>
      </c>
      <c r="H23" s="55"/>
      <c r="P23" s="64"/>
      <c r="Q23" s="64"/>
    </row>
    <row r="24" spans="1:17" ht="15" thickBot="1" x14ac:dyDescent="0.35">
      <c r="A24" s="53">
        <v>21</v>
      </c>
      <c r="B24" s="54">
        <f t="shared" si="1"/>
        <v>37.526707435741692</v>
      </c>
      <c r="C24" s="54">
        <f t="shared" si="4"/>
        <v>1086.0209900393183</v>
      </c>
      <c r="D24" s="54">
        <f t="shared" si="0"/>
        <v>10860.209900393183</v>
      </c>
      <c r="E24" s="54"/>
      <c r="F24" s="55">
        <f t="shared" si="2"/>
        <v>5.9276379707640059</v>
      </c>
      <c r="G24" s="55">
        <f t="shared" si="3"/>
        <v>3.044522437723423</v>
      </c>
      <c r="H24" s="55"/>
      <c r="I24" s="64" t="s">
        <v>160</v>
      </c>
      <c r="J24" s="64"/>
      <c r="K24" s="64"/>
      <c r="L24" s="64"/>
      <c r="M24" s="64"/>
      <c r="N24" s="64"/>
      <c r="O24" s="64"/>
      <c r="P24" s="64"/>
      <c r="Q24" s="64"/>
    </row>
    <row r="25" spans="1:17" ht="14.4" x14ac:dyDescent="0.3">
      <c r="A25" s="53">
        <v>22</v>
      </c>
      <c r="B25" s="54">
        <f t="shared" si="1"/>
        <v>36.968891094602711</v>
      </c>
      <c r="C25" s="54">
        <f t="shared" si="4"/>
        <v>1122.989881133921</v>
      </c>
      <c r="D25" s="54">
        <f t="shared" si="0"/>
        <v>11229.89881133921</v>
      </c>
      <c r="E25" s="54"/>
      <c r="F25" s="55">
        <f t="shared" si="2"/>
        <v>5.9126618707565335</v>
      </c>
      <c r="G25" s="55">
        <f t="shared" si="3"/>
        <v>3.0910424533583161</v>
      </c>
      <c r="H25" s="55"/>
      <c r="I25" s="67"/>
      <c r="J25" s="67" t="s">
        <v>161</v>
      </c>
      <c r="K25" s="67" t="s">
        <v>162</v>
      </c>
      <c r="L25" s="67" t="s">
        <v>163</v>
      </c>
      <c r="M25" s="67" t="s">
        <v>164</v>
      </c>
      <c r="N25" s="67" t="s">
        <v>165</v>
      </c>
      <c r="O25" s="64"/>
      <c r="P25" s="64"/>
      <c r="Q25" s="64"/>
    </row>
    <row r="26" spans="1:17" ht="14.4" x14ac:dyDescent="0.3">
      <c r="A26" s="53">
        <v>23</v>
      </c>
      <c r="B26" s="54">
        <f t="shared" si="1"/>
        <v>36.443623559916901</v>
      </c>
      <c r="C26" s="54">
        <f t="shared" si="4"/>
        <v>1159.4335046938379</v>
      </c>
      <c r="D26" s="54">
        <f t="shared" si="0"/>
        <v>11594.335046938379</v>
      </c>
      <c r="E26" s="54"/>
      <c r="F26" s="55">
        <f t="shared" si="2"/>
        <v>5.8983515995177216</v>
      </c>
      <c r="G26" s="55">
        <f t="shared" si="3"/>
        <v>3.1354942159291497</v>
      </c>
      <c r="H26" s="55"/>
      <c r="I26" s="64" t="s">
        <v>166</v>
      </c>
      <c r="J26" s="64">
        <v>1</v>
      </c>
      <c r="K26" s="64">
        <v>1.658377075649146</v>
      </c>
      <c r="L26" s="64">
        <v>1.658377075649146</v>
      </c>
      <c r="M26" s="64">
        <v>6.5432552626724098E+29</v>
      </c>
      <c r="N26" s="64">
        <v>0</v>
      </c>
      <c r="O26" s="64"/>
      <c r="P26" s="64"/>
      <c r="Q26" s="64"/>
    </row>
    <row r="27" spans="1:17" ht="14.4" x14ac:dyDescent="0.3">
      <c r="A27" s="53">
        <v>24</v>
      </c>
      <c r="B27" s="54">
        <f t="shared" si="1"/>
        <v>35.947709582262291</v>
      </c>
      <c r="C27" s="54">
        <f t="shared" si="4"/>
        <v>1195.3812142761003</v>
      </c>
      <c r="D27" s="54">
        <f t="shared" si="0"/>
        <v>11953.812142761002</v>
      </c>
      <c r="E27" s="54"/>
      <c r="F27" s="55">
        <f t="shared" si="2"/>
        <v>5.8846504639287405</v>
      </c>
      <c r="G27" s="55">
        <f t="shared" si="3"/>
        <v>3.1780538303479458</v>
      </c>
      <c r="H27" s="55"/>
      <c r="I27" s="64" t="s">
        <v>167</v>
      </c>
      <c r="J27" s="64">
        <v>29</v>
      </c>
      <c r="K27" s="64">
        <v>7.350001377476907E-29</v>
      </c>
      <c r="L27" s="64">
        <v>2.5344832336127267E-30</v>
      </c>
      <c r="M27" s="64"/>
      <c r="N27" s="64"/>
      <c r="O27" s="64"/>
      <c r="P27" s="64"/>
      <c r="Q27" s="64"/>
    </row>
    <row r="28" spans="1:17" ht="15" thickBot="1" x14ac:dyDescent="0.35">
      <c r="A28" s="53">
        <v>25</v>
      </c>
      <c r="B28" s="54">
        <f t="shared" si="1"/>
        <v>35.478384510608976</v>
      </c>
      <c r="C28" s="54">
        <f t="shared" si="4"/>
        <v>1230.8595987867093</v>
      </c>
      <c r="D28" s="54">
        <f t="shared" si="0"/>
        <v>12308.595987867093</v>
      </c>
      <c r="E28" s="54"/>
      <c r="F28" s="55">
        <f t="shared" si="2"/>
        <v>5.8715087170033327</v>
      </c>
      <c r="G28" s="55">
        <f t="shared" si="3"/>
        <v>3.2188758248682006</v>
      </c>
      <c r="H28" s="55"/>
      <c r="I28" s="66" t="s">
        <v>10</v>
      </c>
      <c r="J28" s="66">
        <v>30</v>
      </c>
      <c r="K28" s="66">
        <v>1.658377075649146</v>
      </c>
      <c r="L28" s="66"/>
      <c r="M28" s="66"/>
      <c r="N28" s="66"/>
      <c r="O28" s="64"/>
      <c r="P28" s="64"/>
      <c r="Q28" s="64"/>
    </row>
    <row r="29" spans="1:17" ht="15" thickBot="1" x14ac:dyDescent="0.35">
      <c r="A29" s="53">
        <v>26</v>
      </c>
      <c r="B29" s="54">
        <f t="shared" si="1"/>
        <v>35.033241732809905</v>
      </c>
      <c r="C29" s="54">
        <f t="shared" si="4"/>
        <v>1265.8928405195193</v>
      </c>
      <c r="D29" s="54">
        <f t="shared" si="0"/>
        <v>12658.928405195193</v>
      </c>
      <c r="E29" s="54"/>
      <c r="F29" s="55">
        <f t="shared" si="2"/>
        <v>5.8588824675377724</v>
      </c>
      <c r="G29" s="55">
        <f t="shared" si="3"/>
        <v>3.2580965380214821</v>
      </c>
      <c r="H29" s="55"/>
      <c r="I29" s="64"/>
      <c r="J29" s="64"/>
      <c r="K29" s="64"/>
      <c r="L29" s="64"/>
      <c r="M29" s="64"/>
      <c r="N29" s="64"/>
      <c r="O29" s="64"/>
      <c r="P29" s="64"/>
      <c r="Q29" s="64"/>
    </row>
    <row r="30" spans="1:17" ht="14.4" x14ac:dyDescent="0.3">
      <c r="A30" s="53">
        <v>27</v>
      </c>
      <c r="B30" s="54">
        <f t="shared" si="1"/>
        <v>34.610174608185666</v>
      </c>
      <c r="C30" s="54">
        <f t="shared" si="4"/>
        <v>1300.5030151277049</v>
      </c>
      <c r="D30" s="54">
        <f t="shared" si="0"/>
        <v>13005.030151277049</v>
      </c>
      <c r="E30" s="54"/>
      <c r="F30" s="55">
        <f t="shared" si="2"/>
        <v>5.8467327956498281</v>
      </c>
      <c r="G30" s="55">
        <f t="shared" si="3"/>
        <v>3.2958368660043291</v>
      </c>
      <c r="H30" s="55"/>
      <c r="I30" s="67"/>
      <c r="J30" s="67" t="s">
        <v>168</v>
      </c>
      <c r="K30" s="67" t="s">
        <v>158</v>
      </c>
      <c r="L30" s="67" t="s">
        <v>169</v>
      </c>
      <c r="M30" s="67" t="s">
        <v>170</v>
      </c>
      <c r="N30" s="67" t="s">
        <v>171</v>
      </c>
      <c r="O30" s="67" t="s">
        <v>172</v>
      </c>
      <c r="P30" s="67" t="s">
        <v>173</v>
      </c>
      <c r="Q30" s="67" t="s">
        <v>174</v>
      </c>
    </row>
    <row r="31" spans="1:17" ht="14.4" x14ac:dyDescent="0.3">
      <c r="A31" s="53">
        <v>28</v>
      </c>
      <c r="B31" s="54">
        <f t="shared" si="1"/>
        <v>34.207329577991921</v>
      </c>
      <c r="C31" s="54">
        <f t="shared" si="4"/>
        <v>1334.7103447056968</v>
      </c>
      <c r="D31" s="54">
        <f t="shared" si="0"/>
        <v>13347.103447056968</v>
      </c>
      <c r="E31" s="54"/>
      <c r="F31" s="55">
        <f t="shared" si="2"/>
        <v>5.8350250292463572</v>
      </c>
      <c r="G31" s="55">
        <f t="shared" si="3"/>
        <v>3.3322045101752038</v>
      </c>
      <c r="H31" s="55"/>
      <c r="I31" s="64" t="s">
        <v>175</v>
      </c>
      <c r="J31" s="64">
        <v>6.9077552789821368</v>
      </c>
      <c r="K31" s="64">
        <v>1.0853879989679392E-15</v>
      </c>
      <c r="L31" s="64">
        <v>6364318829349966</v>
      </c>
      <c r="M31" s="64">
        <v>0</v>
      </c>
      <c r="N31" s="64">
        <v>6.907755278982135</v>
      </c>
      <c r="O31" s="64">
        <v>6.9077552789821386</v>
      </c>
      <c r="P31" s="64">
        <v>6.907755278982135</v>
      </c>
      <c r="Q31" s="64">
        <v>6.9077552789821386</v>
      </c>
    </row>
    <row r="32" spans="1:17" ht="15" thickBot="1" x14ac:dyDescent="0.35">
      <c r="A32" s="53">
        <v>29</v>
      </c>
      <c r="B32" s="54">
        <f t="shared" si="1"/>
        <v>33.823067986789788</v>
      </c>
      <c r="C32" s="54">
        <f t="shared" si="4"/>
        <v>1368.5334126924865</v>
      </c>
      <c r="D32" s="54">
        <f t="shared" si="0"/>
        <v>13685.334126924865</v>
      </c>
      <c r="E32" s="54"/>
      <c r="F32" s="55">
        <f t="shared" si="2"/>
        <v>5.8237281475124281</v>
      </c>
      <c r="G32" s="55">
        <f t="shared" si="3"/>
        <v>3.3672958299864741</v>
      </c>
      <c r="H32" s="55"/>
      <c r="I32" s="66" t="s">
        <v>176</v>
      </c>
      <c r="J32" s="66">
        <v>-0.32192809488736224</v>
      </c>
      <c r="K32" s="66">
        <v>3.9798064171366088E-16</v>
      </c>
      <c r="L32" s="66">
        <v>-808903904223017.63</v>
      </c>
      <c r="M32" s="66">
        <v>0</v>
      </c>
      <c r="N32" s="66">
        <v>-0.32192809488736307</v>
      </c>
      <c r="O32" s="66">
        <v>-0.3219280948873614</v>
      </c>
      <c r="P32" s="66">
        <v>-0.32192809488736307</v>
      </c>
      <c r="Q32" s="66">
        <v>-0.3219280948873614</v>
      </c>
    </row>
    <row r="33" spans="1:17" ht="14.4" x14ac:dyDescent="0.3">
      <c r="A33" s="53">
        <v>30</v>
      </c>
      <c r="B33" s="54">
        <f t="shared" si="1"/>
        <v>33.455934757097502</v>
      </c>
      <c r="C33" s="54">
        <f t="shared" si="4"/>
        <v>1401.9893474495841</v>
      </c>
      <c r="D33" s="54">
        <f t="shared" si="0"/>
        <v>14019.893474495841</v>
      </c>
      <c r="E33" s="54"/>
      <c r="F33" s="55">
        <f t="shared" si="2"/>
        <v>5.8128142855677565</v>
      </c>
      <c r="G33" s="55">
        <f t="shared" si="3"/>
        <v>3.4011973816621555</v>
      </c>
      <c r="H33" s="55"/>
      <c r="I33" s="64"/>
      <c r="J33" s="64"/>
      <c r="K33" s="64"/>
      <c r="L33" s="64"/>
      <c r="M33" s="64"/>
      <c r="N33" s="64"/>
      <c r="O33" s="64"/>
      <c r="P33" s="64"/>
      <c r="Q33" s="64"/>
    </row>
    <row r="34" spans="1:17" ht="14.4" x14ac:dyDescent="0.3">
      <c r="A34" s="53">
        <v>31</v>
      </c>
      <c r="B34" s="54">
        <f t="shared" si="1"/>
        <v>33.104632503560588</v>
      </c>
      <c r="C34" s="54">
        <f t="shared" si="4"/>
        <v>1435.0939799531448</v>
      </c>
      <c r="D34" s="54">
        <f t="shared" si="0"/>
        <v>14350.939799531447</v>
      </c>
      <c r="E34" s="54"/>
      <c r="F34" s="55">
        <f t="shared" si="2"/>
        <v>5.8022583203746558</v>
      </c>
      <c r="G34" s="55">
        <f t="shared" si="3"/>
        <v>3.4339872044851463</v>
      </c>
      <c r="H34" s="55"/>
      <c r="I34" s="64"/>
      <c r="J34" s="64"/>
      <c r="K34" s="64"/>
      <c r="L34" s="64"/>
      <c r="M34" s="64"/>
      <c r="N34" s="64"/>
      <c r="O34" s="64"/>
      <c r="P34" s="64"/>
      <c r="Q34" s="64"/>
    </row>
    <row r="35" spans="1:17" ht="14.4" x14ac:dyDescent="0.3">
      <c r="A35" s="56">
        <v>32</v>
      </c>
      <c r="B35" s="57">
        <f t="shared" si="1"/>
        <v>32.768000000000008</v>
      </c>
      <c r="C35" s="54">
        <f t="shared" si="4"/>
        <v>1467.8619799531448</v>
      </c>
      <c r="D35" s="54">
        <f t="shared" si="0"/>
        <v>14678.619799531447</v>
      </c>
      <c r="E35" s="54"/>
      <c r="F35" s="55">
        <f t="shared" si="2"/>
        <v>5.7920375224110892</v>
      </c>
      <c r="G35" s="55">
        <f t="shared" si="3"/>
        <v>3.4657359027997265</v>
      </c>
      <c r="H35" s="55"/>
      <c r="I35" s="64"/>
      <c r="J35" s="64"/>
      <c r="K35" s="64"/>
      <c r="L35" s="64"/>
      <c r="M35" s="64"/>
      <c r="N35" s="64"/>
      <c r="O35" s="64"/>
      <c r="P35" s="64"/>
      <c r="Q35" s="64"/>
    </row>
  </sheetData>
  <mergeCells count="4">
    <mergeCell ref="A1:C1"/>
    <mergeCell ref="I2:J2"/>
    <mergeCell ref="I5:P7"/>
    <mergeCell ref="I11:N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D6104-A1D6-4602-9B19-A7C7DA780900}">
  <dimension ref="A1:AC23"/>
  <sheetViews>
    <sheetView workbookViewId="0">
      <selection activeCell="A21" sqref="A21:F22"/>
    </sheetView>
  </sheetViews>
  <sheetFormatPr defaultColWidth="8.88671875" defaultRowHeight="13.8" x14ac:dyDescent="0.25"/>
  <cols>
    <col min="1" max="1" width="9" style="2" bestFit="1" customWidth="1"/>
    <col min="2" max="2" width="11.109375" style="53" customWidth="1"/>
    <col min="3" max="3" width="10.88671875" style="2" customWidth="1"/>
    <col min="4" max="4" width="12.88671875" style="2" customWidth="1"/>
    <col min="5" max="5" width="16.33203125" style="2" customWidth="1"/>
    <col min="6" max="6" width="19.44140625" style="2" customWidth="1"/>
    <col min="7" max="7" width="20.88671875" style="2" customWidth="1"/>
    <col min="8" max="8" width="17.33203125" style="2" customWidth="1"/>
    <col min="9" max="10" width="9" style="2" bestFit="1" customWidth="1"/>
    <col min="11" max="13" width="8.88671875" style="2"/>
    <col min="14" max="14" width="12.6640625" style="2" customWidth="1"/>
    <col min="15" max="15" width="8.88671875" style="2"/>
    <col min="16" max="16" width="8.6640625" style="2" customWidth="1"/>
    <col min="17" max="21" width="8.88671875" style="2"/>
    <col min="22" max="23" width="9" style="2" bestFit="1" customWidth="1"/>
    <col min="24" max="24" width="13.109375" style="2" bestFit="1" customWidth="1"/>
    <col min="25" max="25" width="12.33203125" style="2" bestFit="1" customWidth="1"/>
    <col min="26" max="29" width="9" style="2" bestFit="1" customWidth="1"/>
    <col min="30" max="16384" width="8.88671875" style="2"/>
  </cols>
  <sheetData>
    <row r="1" spans="1:29" x14ac:dyDescent="0.25">
      <c r="A1" s="227" t="s">
        <v>192</v>
      </c>
      <c r="B1" s="227"/>
      <c r="C1" s="227"/>
      <c r="D1" s="227"/>
      <c r="E1" s="227"/>
      <c r="F1" s="227"/>
      <c r="G1" s="227"/>
      <c r="H1" s="227"/>
      <c r="I1" s="227"/>
      <c r="J1" s="227"/>
      <c r="K1" s="227"/>
      <c r="L1" s="227"/>
      <c r="M1" s="227"/>
      <c r="N1" s="227"/>
    </row>
    <row r="2" spans="1:29" x14ac:dyDescent="0.25">
      <c r="A2" s="227"/>
      <c r="B2" s="227"/>
      <c r="C2" s="227"/>
      <c r="D2" s="227"/>
      <c r="E2" s="227"/>
      <c r="F2" s="227"/>
      <c r="G2" s="227"/>
      <c r="H2" s="227"/>
      <c r="I2" s="227"/>
      <c r="J2" s="227"/>
      <c r="K2" s="227"/>
      <c r="L2" s="227"/>
      <c r="M2" s="227"/>
      <c r="N2" s="227"/>
    </row>
    <row r="3" spans="1:29" x14ac:dyDescent="0.25">
      <c r="B3" s="2"/>
      <c r="D3" s="69" t="s">
        <v>193</v>
      </c>
      <c r="E3" s="69" t="s">
        <v>194</v>
      </c>
    </row>
    <row r="4" spans="1:29" x14ac:dyDescent="0.25">
      <c r="B4" s="2"/>
      <c r="D4" s="70" t="s">
        <v>195</v>
      </c>
      <c r="E4" s="71">
        <v>2200</v>
      </c>
    </row>
    <row r="5" spans="1:29" x14ac:dyDescent="0.25">
      <c r="B5" s="2"/>
      <c r="D5" s="72">
        <v>2</v>
      </c>
      <c r="E5" s="73">
        <v>3000</v>
      </c>
    </row>
    <row r="6" spans="1:29" x14ac:dyDescent="0.25">
      <c r="B6" s="2"/>
      <c r="D6" s="70">
        <v>3</v>
      </c>
      <c r="E6" s="71">
        <v>2800</v>
      </c>
    </row>
    <row r="7" spans="1:29" x14ac:dyDescent="0.25">
      <c r="A7" s="74" t="s">
        <v>196</v>
      </c>
    </row>
    <row r="8" spans="1:29" x14ac:dyDescent="0.25">
      <c r="A8" s="75" t="s">
        <v>197</v>
      </c>
    </row>
    <row r="9" spans="1:29" x14ac:dyDescent="0.25">
      <c r="A9" s="76" t="s">
        <v>1</v>
      </c>
      <c r="C9" s="8"/>
      <c r="H9" s="8"/>
      <c r="U9" s="77"/>
      <c r="V9" s="77"/>
      <c r="W9" s="77"/>
      <c r="X9" s="77"/>
      <c r="Y9" s="77"/>
      <c r="Z9" s="77"/>
      <c r="AA9" s="77"/>
      <c r="AB9" s="77"/>
      <c r="AC9" s="77"/>
    </row>
    <row r="10" spans="1:29" ht="41.4" x14ac:dyDescent="0.25">
      <c r="A10" s="78" t="s">
        <v>198</v>
      </c>
      <c r="B10" s="79" t="s">
        <v>194</v>
      </c>
      <c r="C10" s="79" t="s">
        <v>99</v>
      </c>
      <c r="D10" s="79" t="s">
        <v>199</v>
      </c>
      <c r="E10" s="80" t="s">
        <v>200</v>
      </c>
      <c r="F10" s="80" t="s">
        <v>201</v>
      </c>
      <c r="G10" s="80" t="s">
        <v>202</v>
      </c>
      <c r="H10" s="78" t="s">
        <v>203</v>
      </c>
      <c r="U10" s="77"/>
      <c r="V10" s="77"/>
      <c r="W10" s="77"/>
      <c r="X10" s="77"/>
      <c r="Y10" s="77"/>
      <c r="Z10" s="77"/>
      <c r="AA10" s="77"/>
      <c r="AB10" s="77"/>
      <c r="AC10" s="77"/>
    </row>
    <row r="11" spans="1:29" x14ac:dyDescent="0.25">
      <c r="A11" s="81">
        <v>1</v>
      </c>
      <c r="B11" s="82">
        <v>2200</v>
      </c>
      <c r="C11" s="82">
        <v>10000</v>
      </c>
      <c r="D11" s="82">
        <f>5*B11</f>
        <v>11000</v>
      </c>
      <c r="E11" s="82">
        <f>C11+D11</f>
        <v>21000</v>
      </c>
      <c r="F11" s="81" t="s">
        <v>184</v>
      </c>
      <c r="G11" s="81" t="s">
        <v>184</v>
      </c>
      <c r="H11" s="82">
        <f>C11+D11</f>
        <v>21000</v>
      </c>
      <c r="U11" s="77"/>
      <c r="V11" s="77"/>
      <c r="W11" s="77"/>
      <c r="X11" s="77"/>
      <c r="Y11" s="77"/>
      <c r="Z11" s="77"/>
      <c r="AA11" s="77"/>
      <c r="AB11" s="77"/>
      <c r="AC11" s="77"/>
    </row>
    <row r="12" spans="1:29" x14ac:dyDescent="0.25">
      <c r="A12" s="81">
        <v>2</v>
      </c>
      <c r="B12" s="82">
        <v>3000</v>
      </c>
      <c r="C12" s="82">
        <v>10000</v>
      </c>
      <c r="D12" s="82">
        <f>5*B12</f>
        <v>15000</v>
      </c>
      <c r="E12" s="82">
        <f>C12+D12</f>
        <v>25000</v>
      </c>
      <c r="F12" s="82">
        <f>E12-E11</f>
        <v>4000</v>
      </c>
      <c r="G12" s="81">
        <f>IF(F12&gt;0,0,F12*0.2)</f>
        <v>0</v>
      </c>
      <c r="H12" s="82">
        <f>E11+F12-G12</f>
        <v>25000</v>
      </c>
      <c r="U12" s="77"/>
      <c r="V12" s="77"/>
      <c r="W12" s="77"/>
      <c r="X12" s="77"/>
      <c r="Y12" s="77"/>
      <c r="Z12" s="77"/>
      <c r="AA12" s="77"/>
      <c r="AB12" s="77"/>
      <c r="AC12" s="77"/>
    </row>
    <row r="13" spans="1:29" x14ac:dyDescent="0.25">
      <c r="A13" s="81">
        <v>3</v>
      </c>
      <c r="B13" s="82">
        <v>2800</v>
      </c>
      <c r="C13" s="82">
        <v>10000</v>
      </c>
      <c r="D13" s="82">
        <f>5*B13</f>
        <v>14000</v>
      </c>
      <c r="E13" s="82">
        <f>C13+D13</f>
        <v>24000</v>
      </c>
      <c r="F13" s="82">
        <f>E13-E12</f>
        <v>-1000</v>
      </c>
      <c r="G13" s="81">
        <f>IF(F13&gt;0,0,-F13*0.2)</f>
        <v>200</v>
      </c>
      <c r="H13" s="82">
        <f>E12+F13+G13</f>
        <v>24200</v>
      </c>
      <c r="U13" s="77" t="s">
        <v>204</v>
      </c>
      <c r="V13" s="77">
        <v>7</v>
      </c>
      <c r="W13" s="77">
        <v>2.4301964590600578E-25</v>
      </c>
      <c r="X13" s="77">
        <v>3.4717092272286538E-26</v>
      </c>
      <c r="Y13" s="77"/>
      <c r="Z13" s="77"/>
      <c r="AA13" s="77"/>
      <c r="AB13" s="77"/>
      <c r="AC13" s="77"/>
    </row>
    <row r="14" spans="1:29" x14ac:dyDescent="0.25">
      <c r="U14" s="77"/>
      <c r="V14" s="77"/>
      <c r="W14" s="77"/>
      <c r="X14" s="77"/>
      <c r="Y14" s="77"/>
      <c r="Z14" s="77"/>
      <c r="AA14" s="77"/>
      <c r="AB14" s="77"/>
      <c r="AC14" s="77"/>
    </row>
    <row r="15" spans="1:29" ht="14.4" thickBot="1" x14ac:dyDescent="0.3">
      <c r="U15" s="83" t="s">
        <v>205</v>
      </c>
      <c r="V15" s="83">
        <v>9</v>
      </c>
      <c r="W15" s="83">
        <v>28364000</v>
      </c>
      <c r="X15" s="83"/>
      <c r="Y15" s="83"/>
      <c r="Z15" s="83"/>
      <c r="AA15" s="77"/>
      <c r="AB15" s="77"/>
      <c r="AC15" s="77"/>
    </row>
    <row r="16" spans="1:29" x14ac:dyDescent="0.25">
      <c r="B16"/>
      <c r="U16" s="77"/>
      <c r="V16" s="77"/>
      <c r="W16" s="77"/>
      <c r="X16" s="77"/>
      <c r="Y16" s="77"/>
      <c r="Z16" s="77"/>
      <c r="AA16" s="77"/>
      <c r="AB16" s="77"/>
      <c r="AC16" s="77"/>
    </row>
    <row r="17" spans="1:2" x14ac:dyDescent="0.25">
      <c r="A17" s="74"/>
      <c r="B17"/>
    </row>
    <row r="18" spans="1:2" x14ac:dyDescent="0.25">
      <c r="B18" s="2"/>
    </row>
    <row r="19" spans="1:2" x14ac:dyDescent="0.25">
      <c r="B19" s="2"/>
    </row>
    <row r="20" spans="1:2" x14ac:dyDescent="0.25">
      <c r="B20" s="2"/>
    </row>
    <row r="21" spans="1:2" x14ac:dyDescent="0.25">
      <c r="B21" s="2"/>
    </row>
    <row r="22" spans="1:2" x14ac:dyDescent="0.25">
      <c r="B22"/>
    </row>
    <row r="23" spans="1:2" x14ac:dyDescent="0.25">
      <c r="B23"/>
    </row>
  </sheetData>
  <mergeCells count="1">
    <mergeCell ref="A1:N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F7EAA-B9F4-43DF-B236-54C72C55FFDC}">
  <dimension ref="A1:I110"/>
  <sheetViews>
    <sheetView zoomScaleNormal="100" workbookViewId="0">
      <selection activeCell="A21" sqref="A21:F22"/>
    </sheetView>
  </sheetViews>
  <sheetFormatPr defaultColWidth="8.88671875" defaultRowHeight="13.2" customHeight="1" x14ac:dyDescent="0.25"/>
  <cols>
    <col min="1" max="1" width="9" style="2" customWidth="1"/>
    <col min="2" max="4" width="8.88671875" style="2"/>
    <col min="5" max="5" width="10.33203125" style="2" customWidth="1"/>
    <col min="6" max="6" width="10.6640625" style="2" customWidth="1"/>
    <col min="7" max="7" width="1.6640625" style="2" customWidth="1"/>
    <col min="8" max="8" width="42.5546875" style="2" customWidth="1"/>
    <col min="9" max="9" width="10.6640625" style="17" customWidth="1"/>
    <col min="10" max="16384" width="8.88671875" style="2"/>
  </cols>
  <sheetData>
    <row r="1" spans="1:9" ht="13.2" customHeight="1" x14ac:dyDescent="0.25">
      <c r="A1" s="234" t="s">
        <v>206</v>
      </c>
      <c r="B1" s="234"/>
      <c r="C1" s="234"/>
      <c r="D1" s="234"/>
      <c r="E1" s="234"/>
      <c r="F1" s="234"/>
      <c r="H1" s="84" t="s">
        <v>207</v>
      </c>
      <c r="I1" s="85"/>
    </row>
    <row r="2" spans="1:9" ht="13.2" customHeight="1" x14ac:dyDescent="0.25">
      <c r="A2" s="237" t="s">
        <v>208</v>
      </c>
      <c r="B2" s="237"/>
      <c r="C2" s="237"/>
      <c r="D2" s="238" t="s">
        <v>209</v>
      </c>
      <c r="E2" s="238"/>
      <c r="F2" s="238"/>
      <c r="H2" s="1" t="s">
        <v>210</v>
      </c>
      <c r="I2" s="86">
        <v>120000</v>
      </c>
    </row>
    <row r="3" spans="1:9" ht="13.2" customHeight="1" x14ac:dyDescent="0.25">
      <c r="A3" s="237" t="s">
        <v>211</v>
      </c>
      <c r="B3" s="237"/>
      <c r="C3" s="237"/>
      <c r="D3" s="239">
        <v>120000</v>
      </c>
      <c r="E3" s="239"/>
      <c r="F3" s="239"/>
      <c r="H3" s="2" t="s">
        <v>212</v>
      </c>
      <c r="I3" s="87">
        <v>40</v>
      </c>
    </row>
    <row r="4" spans="1:9" ht="13.2" customHeight="1" x14ac:dyDescent="0.25">
      <c r="A4" s="234" t="s">
        <v>213</v>
      </c>
      <c r="B4" s="234"/>
      <c r="C4" s="234"/>
      <c r="D4" s="234"/>
      <c r="E4" s="234"/>
      <c r="F4" s="234"/>
      <c r="H4" s="2" t="s">
        <v>214</v>
      </c>
      <c r="I4" s="88">
        <f>I2*I3</f>
        <v>4800000</v>
      </c>
    </row>
    <row r="5" spans="1:9" ht="13.2" customHeight="1" x14ac:dyDescent="0.25">
      <c r="A5" s="234"/>
      <c r="B5" s="234"/>
      <c r="C5" s="234"/>
      <c r="D5" s="234"/>
      <c r="E5" s="234"/>
      <c r="F5" s="234"/>
      <c r="H5" s="84" t="s">
        <v>215</v>
      </c>
      <c r="I5" s="85"/>
    </row>
    <row r="6" spans="1:9" ht="13.2" customHeight="1" x14ac:dyDescent="0.25">
      <c r="A6" s="234"/>
      <c r="B6" s="234"/>
      <c r="C6" s="234"/>
      <c r="D6" s="234"/>
      <c r="E6" s="234"/>
      <c r="F6" s="234"/>
      <c r="H6" s="2" t="s">
        <v>216</v>
      </c>
      <c r="I6" s="88">
        <v>1800000</v>
      </c>
    </row>
    <row r="7" spans="1:9" ht="13.2" customHeight="1" x14ac:dyDescent="0.25">
      <c r="A7" s="234"/>
      <c r="B7" s="234"/>
      <c r="C7" s="234"/>
      <c r="D7" s="234"/>
      <c r="E7" s="234"/>
      <c r="F7" s="234"/>
      <c r="H7" s="2" t="s">
        <v>217</v>
      </c>
      <c r="I7" s="89">
        <f>I4*60%</f>
        <v>2880000</v>
      </c>
    </row>
    <row r="8" spans="1:9" ht="13.2" customHeight="1" x14ac:dyDescent="0.25">
      <c r="A8" s="236" t="s">
        <v>218</v>
      </c>
      <c r="B8" s="236"/>
      <c r="C8" s="236"/>
      <c r="D8" s="236"/>
      <c r="E8" s="236"/>
      <c r="F8" s="236"/>
      <c r="H8" s="2" t="s">
        <v>219</v>
      </c>
      <c r="I8" s="88">
        <f>SUM(I6:I7)</f>
        <v>4680000</v>
      </c>
    </row>
    <row r="9" spans="1:9" ht="13.2" customHeight="1" x14ac:dyDescent="0.25">
      <c r="A9" s="234" t="s">
        <v>220</v>
      </c>
      <c r="B9" s="234"/>
      <c r="C9" s="234"/>
      <c r="D9" s="234"/>
      <c r="E9" s="234"/>
      <c r="F9" s="234"/>
      <c r="H9" s="2" t="s">
        <v>221</v>
      </c>
      <c r="I9" s="86">
        <f>I4*40%</f>
        <v>1920000</v>
      </c>
    </row>
    <row r="10" spans="1:9" ht="13.2" customHeight="1" x14ac:dyDescent="0.25">
      <c r="A10" s="234"/>
      <c r="B10" s="234"/>
      <c r="C10" s="234"/>
      <c r="D10" s="234"/>
      <c r="E10" s="234"/>
      <c r="F10" s="234"/>
      <c r="H10" s="84" t="s">
        <v>222</v>
      </c>
      <c r="I10" s="85"/>
    </row>
    <row r="11" spans="1:9" ht="13.2" customHeight="1" x14ac:dyDescent="0.25">
      <c r="A11" s="234"/>
      <c r="B11" s="234"/>
      <c r="C11" s="234"/>
      <c r="D11" s="234"/>
      <c r="E11" s="234"/>
      <c r="F11" s="234"/>
      <c r="H11" s="1" t="str">
        <f>H2</f>
        <v>Forecasted Sales in units</v>
      </c>
      <c r="I11" s="88">
        <f>I2</f>
        <v>120000</v>
      </c>
    </row>
    <row r="12" spans="1:9" ht="13.2" customHeight="1" x14ac:dyDescent="0.25">
      <c r="A12" s="234"/>
      <c r="B12" s="234"/>
      <c r="C12" s="234"/>
      <c r="D12" s="234"/>
      <c r="E12" s="234"/>
      <c r="F12" s="234"/>
      <c r="H12" s="2" t="s">
        <v>223</v>
      </c>
      <c r="I12" s="88">
        <f>150000*20%</f>
        <v>30000</v>
      </c>
    </row>
    <row r="13" spans="1:9" ht="13.2" customHeight="1" x14ac:dyDescent="0.25">
      <c r="A13" s="233" t="s">
        <v>224</v>
      </c>
      <c r="B13" s="233"/>
      <c r="C13" s="233"/>
      <c r="D13" s="233"/>
      <c r="E13" s="233"/>
      <c r="F13" s="233"/>
      <c r="H13" s="2" t="s">
        <v>225</v>
      </c>
      <c r="I13" s="89">
        <v>-24000</v>
      </c>
    </row>
    <row r="14" spans="1:9" ht="14.4" customHeight="1" x14ac:dyDescent="0.25">
      <c r="A14" s="234" t="s">
        <v>226</v>
      </c>
      <c r="B14" s="234"/>
      <c r="C14" s="234"/>
      <c r="D14" s="234"/>
      <c r="E14" s="234"/>
      <c r="F14" s="234"/>
      <c r="H14" s="2" t="s">
        <v>227</v>
      </c>
      <c r="I14" s="88">
        <f>SUM(I11:I13)</f>
        <v>126000</v>
      </c>
    </row>
    <row r="15" spans="1:9" ht="13.2" customHeight="1" x14ac:dyDescent="0.25">
      <c r="A15" s="234"/>
      <c r="B15" s="234"/>
      <c r="C15" s="234"/>
      <c r="D15" s="234"/>
      <c r="E15" s="234"/>
      <c r="F15" s="234"/>
      <c r="H15" s="90" t="s">
        <v>228</v>
      </c>
      <c r="I15" s="85"/>
    </row>
    <row r="16" spans="1:9" ht="13.2" customHeight="1" x14ac:dyDescent="0.25">
      <c r="A16" s="234"/>
      <c r="B16" s="234"/>
      <c r="C16" s="234"/>
      <c r="D16" s="234"/>
      <c r="E16" s="234"/>
      <c r="F16" s="234"/>
      <c r="H16" s="2" t="str">
        <f>H14</f>
        <v>Units to be produced</v>
      </c>
      <c r="I16" s="88">
        <f>I14</f>
        <v>126000</v>
      </c>
    </row>
    <row r="17" spans="1:9" ht="13.2" customHeight="1" x14ac:dyDescent="0.25">
      <c r="A17" s="234"/>
      <c r="B17" s="234"/>
      <c r="C17" s="234"/>
      <c r="D17" s="234"/>
      <c r="E17" s="234"/>
      <c r="F17" s="234"/>
      <c r="H17" s="2" t="s">
        <v>229</v>
      </c>
      <c r="I17" s="89">
        <v>5</v>
      </c>
    </row>
    <row r="18" spans="1:9" ht="13.2" customHeight="1" x14ac:dyDescent="0.25">
      <c r="A18" s="234"/>
      <c r="B18" s="234"/>
      <c r="C18" s="234"/>
      <c r="D18" s="234"/>
      <c r="E18" s="234"/>
      <c r="F18" s="234"/>
      <c r="H18" s="1" t="s">
        <v>230</v>
      </c>
      <c r="I18" s="88">
        <f>I16*I17</f>
        <v>630000</v>
      </c>
    </row>
    <row r="19" spans="1:9" ht="13.2" customHeight="1" x14ac:dyDescent="0.25">
      <c r="A19" s="234"/>
      <c r="B19" s="234"/>
      <c r="C19" s="234"/>
      <c r="D19" s="234"/>
      <c r="E19" s="234"/>
      <c r="F19" s="234"/>
      <c r="H19" s="1" t="s">
        <v>223</v>
      </c>
      <c r="I19" s="91">
        <v>50000</v>
      </c>
    </row>
    <row r="20" spans="1:9" ht="13.2" customHeight="1" x14ac:dyDescent="0.25">
      <c r="A20" s="234"/>
      <c r="B20" s="234"/>
      <c r="C20" s="234"/>
      <c r="D20" s="234"/>
      <c r="E20" s="234"/>
      <c r="F20" s="234"/>
      <c r="H20" s="2" t="s">
        <v>225</v>
      </c>
      <c r="I20" s="89">
        <v>-20000</v>
      </c>
    </row>
    <row r="21" spans="1:9" ht="13.2" customHeight="1" x14ac:dyDescent="0.25">
      <c r="A21" s="236" t="s">
        <v>231</v>
      </c>
      <c r="B21" s="236"/>
      <c r="C21" s="236"/>
      <c r="D21" s="236"/>
      <c r="E21" s="236"/>
      <c r="F21" s="236"/>
      <c r="H21" s="2" t="s">
        <v>232</v>
      </c>
      <c r="I21" s="88">
        <f>SUM(I18:I20)</f>
        <v>660000</v>
      </c>
    </row>
    <row r="22" spans="1:9" ht="13.8" x14ac:dyDescent="0.25">
      <c r="A22" s="236"/>
      <c r="B22" s="236"/>
      <c r="C22" s="236"/>
      <c r="D22" s="236"/>
      <c r="E22" s="236"/>
      <c r="F22" s="236"/>
      <c r="H22" s="2" t="s">
        <v>233</v>
      </c>
      <c r="I22" s="92">
        <v>2</v>
      </c>
    </row>
    <row r="23" spans="1:9" ht="13.2" customHeight="1" x14ac:dyDescent="0.25">
      <c r="A23" s="225"/>
      <c r="B23" s="225"/>
      <c r="C23" s="225"/>
      <c r="D23" s="225"/>
      <c r="E23" s="225"/>
      <c r="F23" s="225"/>
      <c r="H23" s="2" t="s">
        <v>234</v>
      </c>
      <c r="I23" s="91">
        <f>I21*I22</f>
        <v>1320000</v>
      </c>
    </row>
    <row r="24" spans="1:9" ht="13.2" customHeight="1" x14ac:dyDescent="0.25">
      <c r="A24" s="225"/>
      <c r="B24" s="225"/>
      <c r="C24" s="225"/>
      <c r="D24" s="225"/>
      <c r="E24" s="225"/>
      <c r="F24" s="225"/>
      <c r="H24" s="90" t="s">
        <v>235</v>
      </c>
      <c r="I24" s="85"/>
    </row>
    <row r="25" spans="1:9" ht="13.2" customHeight="1" x14ac:dyDescent="0.25">
      <c r="A25" s="225"/>
      <c r="B25" s="225"/>
      <c r="C25" s="225"/>
      <c r="D25" s="225"/>
      <c r="E25" s="225"/>
      <c r="F25" s="225"/>
      <c r="H25" s="2" t="s">
        <v>236</v>
      </c>
      <c r="I25" s="88">
        <v>500000</v>
      </c>
    </row>
    <row r="26" spans="1:9" ht="13.2" customHeight="1" x14ac:dyDescent="0.25">
      <c r="A26" s="225"/>
      <c r="B26" s="225"/>
      <c r="C26" s="225"/>
      <c r="D26" s="225"/>
      <c r="E26" s="225"/>
      <c r="F26" s="225"/>
      <c r="H26" s="2" t="s">
        <v>237</v>
      </c>
      <c r="I26" s="89">
        <f>I23*50%</f>
        <v>660000</v>
      </c>
    </row>
    <row r="27" spans="1:9" ht="13.2" customHeight="1" x14ac:dyDescent="0.25">
      <c r="A27" s="225"/>
      <c r="B27" s="225"/>
      <c r="C27" s="225"/>
      <c r="D27" s="225"/>
      <c r="E27" s="225"/>
      <c r="F27" s="225"/>
      <c r="H27" s="2" t="s">
        <v>10</v>
      </c>
      <c r="I27" s="88">
        <f>SUM(I25:I26)</f>
        <v>1160000</v>
      </c>
    </row>
    <row r="28" spans="1:9" ht="13.2" customHeight="1" x14ac:dyDescent="0.25">
      <c r="A28" s="228" t="s">
        <v>238</v>
      </c>
      <c r="B28" s="228"/>
      <c r="C28" s="228"/>
      <c r="D28" s="228"/>
      <c r="E28" s="228"/>
      <c r="F28" s="228"/>
      <c r="H28" s="2" t="s">
        <v>239</v>
      </c>
      <c r="I28" s="91">
        <f>I23*50%</f>
        <v>660000</v>
      </c>
    </row>
    <row r="29" spans="1:9" ht="13.2" customHeight="1" x14ac:dyDescent="0.25">
      <c r="A29" s="228"/>
      <c r="B29" s="228"/>
      <c r="C29" s="228"/>
      <c r="D29" s="228"/>
      <c r="E29" s="228"/>
      <c r="F29" s="228"/>
      <c r="H29" s="90" t="s">
        <v>240</v>
      </c>
      <c r="I29" s="85"/>
    </row>
    <row r="30" spans="1:9" ht="13.2" customHeight="1" x14ac:dyDescent="0.25">
      <c r="A30" s="233" t="s">
        <v>241</v>
      </c>
      <c r="B30" s="233"/>
      <c r="C30" s="233"/>
      <c r="D30" s="233"/>
      <c r="E30" s="233"/>
      <c r="F30" s="233"/>
      <c r="H30" s="2" t="str">
        <f>H14</f>
        <v>Units to be produced</v>
      </c>
      <c r="I30" s="91">
        <f>I14</f>
        <v>126000</v>
      </c>
    </row>
    <row r="31" spans="1:9" ht="13.2" customHeight="1" x14ac:dyDescent="0.25">
      <c r="A31" s="225"/>
      <c r="B31" s="225"/>
      <c r="C31" s="225"/>
      <c r="D31" s="225"/>
      <c r="E31" s="225"/>
      <c r="F31" s="225"/>
      <c r="H31" s="2" t="s">
        <v>242</v>
      </c>
      <c r="I31" s="87">
        <v>0.5</v>
      </c>
    </row>
    <row r="32" spans="1:9" ht="13.2" customHeight="1" x14ac:dyDescent="0.25">
      <c r="A32" s="225"/>
      <c r="B32" s="225"/>
      <c r="C32" s="225"/>
      <c r="D32" s="225"/>
      <c r="E32" s="225"/>
      <c r="F32" s="225"/>
      <c r="H32" s="2" t="s">
        <v>243</v>
      </c>
      <c r="I32" s="88">
        <f>I30*I31</f>
        <v>63000</v>
      </c>
    </row>
    <row r="33" spans="1:9" ht="13.2" customHeight="1" x14ac:dyDescent="0.25">
      <c r="A33" s="225"/>
      <c r="B33" s="225"/>
      <c r="C33" s="225"/>
      <c r="D33" s="225"/>
      <c r="E33" s="225"/>
      <c r="F33" s="225"/>
      <c r="H33" s="2" t="s">
        <v>244</v>
      </c>
      <c r="I33" s="89">
        <v>16</v>
      </c>
    </row>
    <row r="34" spans="1:9" ht="13.2" customHeight="1" x14ac:dyDescent="0.25">
      <c r="A34" s="234" t="s">
        <v>245</v>
      </c>
      <c r="B34" s="234"/>
      <c r="C34" s="234"/>
      <c r="D34" s="234"/>
      <c r="E34" s="234"/>
      <c r="F34" s="234"/>
      <c r="H34" s="2" t="s">
        <v>246</v>
      </c>
      <c r="I34" s="88">
        <f>I32*I33</f>
        <v>1008000</v>
      </c>
    </row>
    <row r="35" spans="1:9" ht="13.2" customHeight="1" x14ac:dyDescent="0.25">
      <c r="A35" s="234"/>
      <c r="B35" s="234"/>
      <c r="C35" s="234"/>
      <c r="D35" s="234"/>
      <c r="E35" s="234"/>
      <c r="F35" s="234"/>
      <c r="H35" s="90" t="s">
        <v>247</v>
      </c>
      <c r="I35" s="85">
        <v>1</v>
      </c>
    </row>
    <row r="36" spans="1:9" ht="13.2" customHeight="1" x14ac:dyDescent="0.25">
      <c r="A36" s="234"/>
      <c r="B36" s="234"/>
      <c r="C36" s="234"/>
      <c r="D36" s="234"/>
      <c r="E36" s="234"/>
      <c r="F36" s="234"/>
      <c r="H36" s="2" t="str">
        <f>H32</f>
        <v>Total required DLH</v>
      </c>
      <c r="I36" s="88">
        <f>I32</f>
        <v>63000</v>
      </c>
    </row>
    <row r="37" spans="1:9" ht="13.2" customHeight="1" x14ac:dyDescent="0.25">
      <c r="A37" s="231" t="s">
        <v>248</v>
      </c>
      <c r="B37" s="231"/>
      <c r="C37" s="231"/>
      <c r="D37" s="231"/>
      <c r="E37" s="231"/>
      <c r="F37" s="231"/>
      <c r="H37" s="2" t="s">
        <v>249</v>
      </c>
      <c r="I37" s="87">
        <v>5</v>
      </c>
    </row>
    <row r="38" spans="1:9" ht="13.2" customHeight="1" x14ac:dyDescent="0.25">
      <c r="A38" s="231"/>
      <c r="B38" s="231"/>
      <c r="C38" s="231"/>
      <c r="D38" s="231"/>
      <c r="E38" s="231"/>
      <c r="F38" s="231"/>
      <c r="H38" s="2" t="s">
        <v>250</v>
      </c>
      <c r="I38" s="88">
        <f>I36*I37</f>
        <v>315000</v>
      </c>
    </row>
    <row r="39" spans="1:9" ht="13.2" customHeight="1" x14ac:dyDescent="0.25">
      <c r="A39" s="225"/>
      <c r="B39" s="225"/>
      <c r="C39" s="225"/>
      <c r="D39" s="225"/>
      <c r="E39" s="225"/>
      <c r="F39" s="225"/>
      <c r="H39" s="2" t="s">
        <v>251</v>
      </c>
      <c r="I39" s="93">
        <v>819000</v>
      </c>
    </row>
    <row r="40" spans="1:9" ht="13.2" customHeight="1" x14ac:dyDescent="0.25">
      <c r="A40" s="225"/>
      <c r="B40" s="225"/>
      <c r="C40" s="225"/>
      <c r="D40" s="225"/>
      <c r="E40" s="225"/>
      <c r="F40" s="225"/>
      <c r="H40" s="2" t="s">
        <v>252</v>
      </c>
      <c r="I40" s="88">
        <f>I38+I39</f>
        <v>1134000</v>
      </c>
    </row>
    <row r="41" spans="1:9" ht="13.2" customHeight="1" x14ac:dyDescent="0.25">
      <c r="A41" s="225"/>
      <c r="B41" s="225"/>
      <c r="C41" s="225"/>
      <c r="D41" s="225"/>
      <c r="E41" s="225"/>
      <c r="F41" s="225"/>
      <c r="H41" s="2" t="s">
        <v>253</v>
      </c>
      <c r="I41" s="88">
        <f>I36</f>
        <v>63000</v>
      </c>
    </row>
    <row r="42" spans="1:9" ht="13.2" customHeight="1" x14ac:dyDescent="0.25">
      <c r="A42" s="234" t="s">
        <v>254</v>
      </c>
      <c r="B42" s="234"/>
      <c r="C42" s="234"/>
      <c r="D42" s="234"/>
      <c r="E42" s="234"/>
      <c r="F42" s="234"/>
      <c r="H42" s="2" t="s">
        <v>255</v>
      </c>
      <c r="I42" s="94">
        <f>I40/I41</f>
        <v>18</v>
      </c>
    </row>
    <row r="43" spans="1:9" ht="13.2" customHeight="1" x14ac:dyDescent="0.25">
      <c r="A43" s="234"/>
      <c r="B43" s="234"/>
      <c r="C43" s="234"/>
      <c r="D43" s="234"/>
      <c r="E43" s="234"/>
      <c r="F43" s="234"/>
      <c r="H43" s="90" t="s">
        <v>256</v>
      </c>
      <c r="I43" s="95"/>
    </row>
    <row r="44" spans="1:9" ht="13.2" customHeight="1" x14ac:dyDescent="0.25">
      <c r="A44" s="229" t="s">
        <v>257</v>
      </c>
      <c r="B44" s="229"/>
      <c r="C44" s="229"/>
      <c r="D44" s="229"/>
      <c r="E44" s="229"/>
      <c r="F44" s="229"/>
      <c r="H44" s="7" t="s">
        <v>258</v>
      </c>
      <c r="I44" s="87"/>
    </row>
    <row r="45" spans="1:9" ht="13.2" customHeight="1" x14ac:dyDescent="0.25">
      <c r="A45" s="225"/>
      <c r="B45" s="225"/>
      <c r="C45" s="225"/>
      <c r="D45" s="225"/>
      <c r="E45" s="225"/>
      <c r="F45" s="225"/>
      <c r="H45" s="2" t="s">
        <v>259</v>
      </c>
      <c r="I45" s="17">
        <f>I17*I22</f>
        <v>10</v>
      </c>
    </row>
    <row r="46" spans="1:9" ht="13.2" customHeight="1" x14ac:dyDescent="0.25">
      <c r="A46" s="225"/>
      <c r="B46" s="225"/>
      <c r="C46" s="225"/>
      <c r="D46" s="225"/>
      <c r="E46" s="225"/>
      <c r="F46" s="225"/>
      <c r="H46" s="2" t="s">
        <v>260</v>
      </c>
      <c r="I46" s="17">
        <f>I31*I33</f>
        <v>8</v>
      </c>
    </row>
    <row r="47" spans="1:9" ht="13.2" customHeight="1" x14ac:dyDescent="0.25">
      <c r="A47" s="225"/>
      <c r="B47" s="225"/>
      <c r="C47" s="225"/>
      <c r="D47" s="225"/>
      <c r="E47" s="225"/>
      <c r="F47" s="225"/>
      <c r="H47" s="2" t="s">
        <v>261</v>
      </c>
      <c r="I47" s="87">
        <f>I31*I42</f>
        <v>9</v>
      </c>
    </row>
    <row r="48" spans="1:9" ht="13.2" customHeight="1" x14ac:dyDescent="0.25">
      <c r="A48" s="225"/>
      <c r="B48" s="225"/>
      <c r="C48" s="225"/>
      <c r="D48" s="225"/>
      <c r="E48" s="225"/>
      <c r="F48" s="225"/>
      <c r="H48" s="2" t="s">
        <v>262</v>
      </c>
      <c r="I48" s="17">
        <f>SUM(I45:I47)</f>
        <v>27</v>
      </c>
    </row>
    <row r="49" spans="1:9" ht="13.2" customHeight="1" x14ac:dyDescent="0.25">
      <c r="A49" s="225"/>
      <c r="B49" s="225"/>
      <c r="C49" s="225"/>
      <c r="D49" s="225"/>
      <c r="E49" s="225"/>
      <c r="F49" s="225"/>
    </row>
    <row r="50" spans="1:9" ht="13.2" customHeight="1" x14ac:dyDescent="0.25">
      <c r="A50" s="225"/>
      <c r="B50" s="225"/>
      <c r="C50" s="225"/>
      <c r="D50" s="225"/>
      <c r="E50" s="225"/>
      <c r="F50" s="225"/>
      <c r="H50" s="2" t="s">
        <v>263</v>
      </c>
      <c r="I50" s="88">
        <f>I12*I48</f>
        <v>810000</v>
      </c>
    </row>
    <row r="51" spans="1:9" ht="13.2" customHeight="1" x14ac:dyDescent="0.25">
      <c r="A51" s="225"/>
      <c r="B51" s="225"/>
      <c r="C51" s="225"/>
      <c r="D51" s="225"/>
      <c r="E51" s="225"/>
      <c r="F51" s="225"/>
      <c r="H51" s="2" t="s">
        <v>264</v>
      </c>
      <c r="I51" s="88">
        <f>I19*I22</f>
        <v>100000</v>
      </c>
    </row>
    <row r="52" spans="1:9" ht="13.2" customHeight="1" x14ac:dyDescent="0.25">
      <c r="A52" s="225"/>
      <c r="B52" s="225"/>
      <c r="C52" s="225"/>
      <c r="D52" s="225"/>
      <c r="E52" s="225"/>
      <c r="F52" s="225"/>
      <c r="H52" s="2" t="s">
        <v>265</v>
      </c>
      <c r="I52" s="88">
        <v>0</v>
      </c>
    </row>
    <row r="53" spans="1:9" ht="13.2" customHeight="1" x14ac:dyDescent="0.25">
      <c r="A53" s="225"/>
      <c r="B53" s="225"/>
      <c r="C53" s="225"/>
      <c r="D53" s="225"/>
      <c r="E53" s="225"/>
      <c r="F53" s="225"/>
      <c r="H53" s="90" t="s">
        <v>266</v>
      </c>
      <c r="I53" s="96"/>
    </row>
    <row r="54" spans="1:9" ht="13.2" customHeight="1" x14ac:dyDescent="0.25">
      <c r="A54" s="235" t="s">
        <v>267</v>
      </c>
      <c r="B54" s="235"/>
      <c r="C54" s="235"/>
      <c r="D54" s="235"/>
      <c r="E54" s="235"/>
      <c r="F54" s="235"/>
      <c r="H54" s="2" t="s">
        <v>268</v>
      </c>
      <c r="I54" s="17">
        <v>0</v>
      </c>
    </row>
    <row r="55" spans="1:9" ht="13.2" customHeight="1" x14ac:dyDescent="0.25">
      <c r="A55" s="236" t="s">
        <v>269</v>
      </c>
      <c r="B55" s="236"/>
      <c r="C55" s="236"/>
      <c r="D55" s="236"/>
      <c r="E55" s="236"/>
      <c r="F55" s="236"/>
      <c r="H55" s="7" t="s">
        <v>270</v>
      </c>
    </row>
    <row r="56" spans="1:9" ht="13.2" customHeight="1" x14ac:dyDescent="0.25">
      <c r="A56" s="236"/>
      <c r="B56" s="236"/>
      <c r="C56" s="236"/>
      <c r="D56" s="236"/>
      <c r="E56" s="236"/>
      <c r="F56" s="236"/>
      <c r="H56" s="2" t="s">
        <v>271</v>
      </c>
      <c r="I56" s="91">
        <f>I18*I22</f>
        <v>1260000</v>
      </c>
    </row>
    <row r="57" spans="1:9" ht="13.2" customHeight="1" x14ac:dyDescent="0.25">
      <c r="A57" s="232"/>
      <c r="B57" s="232"/>
      <c r="C57" s="232"/>
      <c r="D57" s="232"/>
      <c r="E57" s="232"/>
      <c r="F57" s="232"/>
      <c r="H57" s="2" t="s">
        <v>272</v>
      </c>
      <c r="I57" s="88">
        <f>I34</f>
        <v>1008000</v>
      </c>
    </row>
    <row r="58" spans="1:9" ht="13.2" customHeight="1" x14ac:dyDescent="0.25">
      <c r="A58" s="232"/>
      <c r="B58" s="232"/>
      <c r="C58" s="232"/>
      <c r="D58" s="232"/>
      <c r="E58" s="232"/>
      <c r="F58" s="232"/>
      <c r="H58" s="2" t="s">
        <v>61</v>
      </c>
      <c r="I58" s="88">
        <f>I40</f>
        <v>1134000</v>
      </c>
    </row>
    <row r="59" spans="1:9" ht="13.2" customHeight="1" x14ac:dyDescent="0.25">
      <c r="A59" s="232"/>
      <c r="B59" s="232"/>
      <c r="C59" s="232"/>
      <c r="D59" s="232"/>
      <c r="E59" s="232"/>
      <c r="F59" s="232"/>
      <c r="H59" s="2" t="s">
        <v>273</v>
      </c>
      <c r="I59" s="89">
        <v>0</v>
      </c>
    </row>
    <row r="60" spans="1:9" ht="13.2" customHeight="1" x14ac:dyDescent="0.25">
      <c r="A60" s="232"/>
      <c r="B60" s="232"/>
      <c r="C60" s="232"/>
      <c r="D60" s="232"/>
      <c r="E60" s="232"/>
      <c r="F60" s="232"/>
      <c r="H60" s="2" t="s">
        <v>70</v>
      </c>
      <c r="I60" s="91">
        <f>SUM(I54:I59)</f>
        <v>3402000</v>
      </c>
    </row>
    <row r="61" spans="1:9" ht="13.2" customHeight="1" x14ac:dyDescent="0.25">
      <c r="A61" s="232"/>
      <c r="B61" s="232"/>
      <c r="C61" s="232"/>
      <c r="D61" s="232"/>
      <c r="E61" s="232"/>
      <c r="F61" s="232"/>
      <c r="H61" s="90" t="s">
        <v>274</v>
      </c>
      <c r="I61" s="97"/>
    </row>
    <row r="62" spans="1:9" ht="13.2" customHeight="1" x14ac:dyDescent="0.25">
      <c r="A62" s="232"/>
      <c r="B62" s="232"/>
      <c r="C62" s="232"/>
      <c r="D62" s="232"/>
      <c r="E62" s="232"/>
      <c r="F62" s="232"/>
      <c r="H62" s="2" t="s">
        <v>275</v>
      </c>
      <c r="I62" s="86">
        <v>592000</v>
      </c>
    </row>
    <row r="63" spans="1:9" ht="13.2" customHeight="1" x14ac:dyDescent="0.25">
      <c r="A63" s="232"/>
      <c r="B63" s="232"/>
      <c r="C63" s="232"/>
      <c r="D63" s="232"/>
      <c r="E63" s="232"/>
      <c r="F63" s="232"/>
      <c r="H63" s="2" t="s">
        <v>276</v>
      </c>
      <c r="I63" s="91">
        <f>I60</f>
        <v>3402000</v>
      </c>
    </row>
    <row r="64" spans="1:9" ht="13.2" customHeight="1" x14ac:dyDescent="0.25">
      <c r="A64" s="232"/>
      <c r="B64" s="232"/>
      <c r="C64" s="232"/>
      <c r="D64" s="232"/>
      <c r="E64" s="232"/>
      <c r="F64" s="232"/>
      <c r="H64" s="2" t="s">
        <v>277</v>
      </c>
      <c r="I64" s="98">
        <f>-I50</f>
        <v>-810000</v>
      </c>
    </row>
    <row r="65" spans="1:9" ht="13.2" customHeight="1" x14ac:dyDescent="0.25">
      <c r="A65" s="232"/>
      <c r="B65" s="232"/>
      <c r="C65" s="232"/>
      <c r="D65" s="232"/>
      <c r="E65" s="232"/>
      <c r="F65" s="232"/>
      <c r="H65" s="2" t="s">
        <v>278</v>
      </c>
      <c r="I65" s="86">
        <f>SUM(I62:I64)</f>
        <v>3184000</v>
      </c>
    </row>
    <row r="66" spans="1:9" ht="13.2" customHeight="1" x14ac:dyDescent="0.25">
      <c r="A66" s="232"/>
      <c r="B66" s="232"/>
      <c r="C66" s="232"/>
      <c r="D66" s="232"/>
      <c r="E66" s="232"/>
      <c r="F66" s="232"/>
      <c r="H66" s="90" t="s">
        <v>279</v>
      </c>
      <c r="I66" s="85"/>
    </row>
    <row r="67" spans="1:9" ht="13.2" customHeight="1" x14ac:dyDescent="0.25">
      <c r="A67" s="232"/>
      <c r="B67" s="232"/>
      <c r="C67" s="232"/>
      <c r="D67" s="232"/>
      <c r="E67" s="232"/>
      <c r="F67" s="232"/>
      <c r="H67" s="2" t="str">
        <f>H2</f>
        <v>Forecasted Sales in units</v>
      </c>
      <c r="I67" s="86">
        <f>I2</f>
        <v>120000</v>
      </c>
    </row>
    <row r="68" spans="1:9" ht="13.2" customHeight="1" x14ac:dyDescent="0.25">
      <c r="A68" s="228" t="s">
        <v>280</v>
      </c>
      <c r="B68" s="228"/>
      <c r="C68" s="228"/>
      <c r="D68" s="228"/>
      <c r="E68" s="228"/>
      <c r="F68" s="228"/>
      <c r="H68" s="2" t="s">
        <v>281</v>
      </c>
      <c r="I68" s="17">
        <v>1.8</v>
      </c>
    </row>
    <row r="69" spans="1:9" ht="13.2" customHeight="1" x14ac:dyDescent="0.25">
      <c r="A69" s="228"/>
      <c r="B69" s="228"/>
      <c r="C69" s="228"/>
      <c r="D69" s="228"/>
      <c r="E69" s="228"/>
      <c r="F69" s="228"/>
      <c r="H69" s="2" t="s">
        <v>282</v>
      </c>
      <c r="I69" s="91">
        <f>I67*I68</f>
        <v>216000</v>
      </c>
    </row>
    <row r="70" spans="1:9" ht="13.2" customHeight="1" x14ac:dyDescent="0.25">
      <c r="A70" s="229" t="s">
        <v>283</v>
      </c>
      <c r="B70" s="229"/>
      <c r="C70" s="229"/>
      <c r="D70" s="229"/>
      <c r="E70" s="229"/>
      <c r="F70" s="229"/>
      <c r="H70" s="2" t="s">
        <v>284</v>
      </c>
      <c r="I70" s="93">
        <v>400000</v>
      </c>
    </row>
    <row r="71" spans="1:9" ht="13.2" customHeight="1" x14ac:dyDescent="0.25">
      <c r="H71" s="2" t="s">
        <v>285</v>
      </c>
      <c r="I71" s="86">
        <f>I69+I70</f>
        <v>616000</v>
      </c>
    </row>
    <row r="72" spans="1:9" ht="13.2" customHeight="1" x14ac:dyDescent="0.25">
      <c r="A72" s="230" t="s">
        <v>286</v>
      </c>
      <c r="B72" s="230"/>
      <c r="C72" s="230"/>
      <c r="D72" s="230"/>
      <c r="E72" s="230"/>
      <c r="F72" s="230"/>
      <c r="H72" s="90" t="s">
        <v>287</v>
      </c>
      <c r="I72" s="85"/>
    </row>
    <row r="73" spans="1:9" ht="13.2" customHeight="1" x14ac:dyDescent="0.25">
      <c r="A73" s="230"/>
      <c r="B73" s="230"/>
      <c r="C73" s="230"/>
      <c r="D73" s="230"/>
      <c r="E73" s="230"/>
      <c r="F73" s="230"/>
      <c r="H73" s="2" t="s">
        <v>288</v>
      </c>
      <c r="I73" s="88">
        <v>770000</v>
      </c>
    </row>
    <row r="74" spans="1:9" ht="13.2" customHeight="1" x14ac:dyDescent="0.25">
      <c r="A74" s="230"/>
      <c r="B74" s="230"/>
      <c r="C74" s="230"/>
      <c r="D74" s="230"/>
      <c r="E74" s="230"/>
      <c r="F74" s="230"/>
      <c r="H74" s="2" t="s">
        <v>289</v>
      </c>
      <c r="I74" s="88">
        <f>I8</f>
        <v>4680000</v>
      </c>
    </row>
    <row r="75" spans="1:9" ht="13.2" customHeight="1" x14ac:dyDescent="0.25">
      <c r="A75" s="230"/>
      <c r="B75" s="230"/>
      <c r="C75" s="230"/>
      <c r="D75" s="230"/>
      <c r="E75" s="230"/>
      <c r="F75" s="230"/>
      <c r="H75" s="7" t="s">
        <v>290</v>
      </c>
      <c r="I75" s="88"/>
    </row>
    <row r="76" spans="1:9" ht="13.2" customHeight="1" x14ac:dyDescent="0.25">
      <c r="A76" s="230"/>
      <c r="B76" s="230"/>
      <c r="C76" s="230"/>
      <c r="D76" s="230"/>
      <c r="E76" s="230"/>
      <c r="F76" s="230"/>
      <c r="H76" s="2" t="s">
        <v>51</v>
      </c>
      <c r="I76" s="88">
        <f>I27</f>
        <v>1160000</v>
      </c>
    </row>
    <row r="77" spans="1:9" ht="13.2" customHeight="1" x14ac:dyDescent="0.25">
      <c r="A77" s="230"/>
      <c r="B77" s="230"/>
      <c r="C77" s="230"/>
      <c r="D77" s="230"/>
      <c r="E77" s="230"/>
      <c r="F77" s="230"/>
      <c r="H77" s="2" t="s">
        <v>272</v>
      </c>
      <c r="I77" s="86">
        <f>I34</f>
        <v>1008000</v>
      </c>
    </row>
    <row r="78" spans="1:9" ht="13.2" customHeight="1" x14ac:dyDescent="0.25">
      <c r="A78" s="230"/>
      <c r="B78" s="230"/>
      <c r="C78" s="230"/>
      <c r="D78" s="230"/>
      <c r="E78" s="230"/>
      <c r="F78" s="230"/>
      <c r="H78" s="2" t="s">
        <v>61</v>
      </c>
      <c r="I78" s="86">
        <f>I40-80000</f>
        <v>1054000</v>
      </c>
    </row>
    <row r="79" spans="1:9" ht="13.2" customHeight="1" x14ac:dyDescent="0.25">
      <c r="A79" s="230"/>
      <c r="B79" s="230"/>
      <c r="C79" s="230"/>
      <c r="D79" s="230"/>
      <c r="E79" s="230"/>
      <c r="F79" s="230"/>
      <c r="H79" s="2" t="s">
        <v>291</v>
      </c>
      <c r="I79" s="86">
        <f>I71-60000</f>
        <v>556000</v>
      </c>
    </row>
    <row r="80" spans="1:9" ht="13.2" customHeight="1" x14ac:dyDescent="0.25">
      <c r="A80" s="230"/>
      <c r="B80" s="230"/>
      <c r="C80" s="230"/>
      <c r="D80" s="230"/>
      <c r="E80" s="230"/>
      <c r="F80" s="230"/>
      <c r="H80" s="2" t="s">
        <v>292</v>
      </c>
      <c r="I80" s="86">
        <v>140000</v>
      </c>
    </row>
    <row r="81" spans="1:9" ht="13.2" customHeight="1" x14ac:dyDescent="0.25">
      <c r="A81" s="230"/>
      <c r="B81" s="230"/>
      <c r="C81" s="230"/>
      <c r="D81" s="230"/>
      <c r="E81" s="230"/>
      <c r="F81" s="230"/>
      <c r="H81" s="2" t="s">
        <v>293</v>
      </c>
      <c r="I81" s="93">
        <v>32000</v>
      </c>
    </row>
    <row r="82" spans="1:9" ht="13.2" customHeight="1" x14ac:dyDescent="0.25">
      <c r="A82" s="230"/>
      <c r="B82" s="230"/>
      <c r="C82" s="230"/>
      <c r="D82" s="230"/>
      <c r="E82" s="230"/>
      <c r="F82" s="230"/>
      <c r="H82" s="2" t="s">
        <v>294</v>
      </c>
      <c r="I82" s="89">
        <f>SUM(I76:I81)</f>
        <v>3950000</v>
      </c>
    </row>
    <row r="83" spans="1:9" ht="13.2" customHeight="1" x14ac:dyDescent="0.25">
      <c r="A83" s="230"/>
      <c r="B83" s="230"/>
      <c r="C83" s="230"/>
      <c r="D83" s="230"/>
      <c r="E83" s="230"/>
      <c r="F83" s="230"/>
      <c r="H83" s="2" t="s">
        <v>295</v>
      </c>
      <c r="I83" s="86">
        <f>I73+I74-I82</f>
        <v>1500000</v>
      </c>
    </row>
    <row r="84" spans="1:9" ht="13.2" customHeight="1" x14ac:dyDescent="0.25">
      <c r="A84" s="230"/>
      <c r="B84" s="230"/>
      <c r="C84" s="230"/>
      <c r="D84" s="230"/>
      <c r="E84" s="230"/>
      <c r="F84" s="230"/>
      <c r="H84" s="7" t="s">
        <v>296</v>
      </c>
    </row>
    <row r="85" spans="1:9" ht="13.2" customHeight="1" x14ac:dyDescent="0.25">
      <c r="A85" s="230"/>
      <c r="B85" s="230"/>
      <c r="C85" s="230"/>
      <c r="D85" s="230"/>
      <c r="E85" s="230"/>
      <c r="F85" s="230"/>
      <c r="H85" s="2" t="s">
        <v>297</v>
      </c>
      <c r="I85" s="86">
        <v>500000</v>
      </c>
    </row>
    <row r="86" spans="1:9" ht="13.2" customHeight="1" x14ac:dyDescent="0.25">
      <c r="A86" s="230"/>
      <c r="B86" s="230"/>
      <c r="C86" s="230"/>
      <c r="D86" s="230"/>
      <c r="E86" s="230"/>
      <c r="F86" s="230"/>
      <c r="H86" s="2" t="s">
        <v>298</v>
      </c>
      <c r="I86" s="17">
        <v>0</v>
      </c>
    </row>
    <row r="87" spans="1:9" ht="13.2" customHeight="1" x14ac:dyDescent="0.25">
      <c r="A87" s="230"/>
      <c r="B87" s="230"/>
      <c r="C87" s="230"/>
      <c r="D87" s="230"/>
      <c r="E87" s="230"/>
      <c r="F87" s="230"/>
      <c r="H87" s="2" t="s">
        <v>299</v>
      </c>
      <c r="I87" s="17">
        <v>0</v>
      </c>
    </row>
    <row r="88" spans="1:9" ht="13.2" customHeight="1" x14ac:dyDescent="0.25">
      <c r="A88" s="230"/>
      <c r="B88" s="230"/>
      <c r="C88" s="230"/>
      <c r="D88" s="230"/>
      <c r="E88" s="230"/>
      <c r="F88" s="230"/>
      <c r="H88" s="2" t="s">
        <v>300</v>
      </c>
      <c r="I88" s="93">
        <f>SUM(I85:I87)</f>
        <v>500000</v>
      </c>
    </row>
    <row r="89" spans="1:9" ht="13.2" customHeight="1" x14ac:dyDescent="0.25">
      <c r="A89" s="231" t="s">
        <v>301</v>
      </c>
      <c r="B89" s="231"/>
      <c r="C89" s="231"/>
      <c r="D89" s="231"/>
      <c r="E89" s="231"/>
      <c r="F89" s="231"/>
      <c r="H89" s="2" t="s">
        <v>302</v>
      </c>
      <c r="I89" s="86">
        <f>I83+I88</f>
        <v>2000000</v>
      </c>
    </row>
    <row r="90" spans="1:9" ht="13.2" customHeight="1" x14ac:dyDescent="0.25">
      <c r="A90" s="231"/>
      <c r="B90" s="231"/>
      <c r="C90" s="231"/>
      <c r="D90" s="231"/>
      <c r="E90" s="231"/>
      <c r="F90" s="231"/>
      <c r="H90" s="90" t="s">
        <v>303</v>
      </c>
      <c r="I90" s="85"/>
    </row>
    <row r="91" spans="1:9" ht="13.2" customHeight="1" x14ac:dyDescent="0.25">
      <c r="A91" s="225"/>
      <c r="B91" s="225"/>
      <c r="C91" s="225"/>
      <c r="D91" s="225"/>
      <c r="E91" s="225"/>
      <c r="F91" s="225"/>
      <c r="H91" s="2" t="s">
        <v>214</v>
      </c>
      <c r="I91" s="88">
        <f>I4</f>
        <v>4800000</v>
      </c>
    </row>
    <row r="92" spans="1:9" ht="13.2" customHeight="1" x14ac:dyDescent="0.25">
      <c r="A92" s="225"/>
      <c r="B92" s="225"/>
      <c r="C92" s="225"/>
      <c r="D92" s="225"/>
      <c r="E92" s="225"/>
      <c r="F92" s="225"/>
      <c r="H92" s="2" t="s">
        <v>304</v>
      </c>
      <c r="I92" s="89">
        <f>-I65</f>
        <v>-3184000</v>
      </c>
    </row>
    <row r="93" spans="1:9" ht="13.2" customHeight="1" x14ac:dyDescent="0.25">
      <c r="A93" s="225"/>
      <c r="B93" s="225"/>
      <c r="C93" s="225"/>
      <c r="D93" s="225"/>
      <c r="E93" s="225"/>
      <c r="F93" s="225"/>
      <c r="H93" s="2" t="s">
        <v>33</v>
      </c>
      <c r="I93" s="88">
        <f>SUM(I91:I92)</f>
        <v>1616000</v>
      </c>
    </row>
    <row r="94" spans="1:9" ht="13.2" customHeight="1" x14ac:dyDescent="0.25">
      <c r="A94" s="225"/>
      <c r="B94" s="225"/>
      <c r="C94" s="225"/>
      <c r="D94" s="225"/>
      <c r="E94" s="225"/>
      <c r="F94" s="225"/>
      <c r="H94" s="2" t="s">
        <v>305</v>
      </c>
      <c r="I94" s="89">
        <f>-I71</f>
        <v>-616000</v>
      </c>
    </row>
    <row r="95" spans="1:9" ht="13.2" customHeight="1" x14ac:dyDescent="0.25">
      <c r="A95" s="225"/>
      <c r="B95" s="225"/>
      <c r="C95" s="225"/>
      <c r="D95" s="225"/>
      <c r="E95" s="225"/>
      <c r="F95" s="225"/>
      <c r="H95" s="2" t="s">
        <v>76</v>
      </c>
      <c r="I95" s="88">
        <f>SUM(I93:I94)</f>
        <v>1000000</v>
      </c>
    </row>
    <row r="96" spans="1:9" ht="13.2" customHeight="1" x14ac:dyDescent="0.25">
      <c r="A96" s="225"/>
      <c r="B96" s="225"/>
      <c r="C96" s="225"/>
      <c r="D96" s="225"/>
      <c r="E96" s="225"/>
      <c r="F96" s="225"/>
      <c r="H96" s="2" t="s">
        <v>306</v>
      </c>
      <c r="I96" s="89">
        <f>-I85*10%</f>
        <v>-50000</v>
      </c>
    </row>
    <row r="97" spans="1:9" ht="13.2" customHeight="1" x14ac:dyDescent="0.25">
      <c r="A97" s="225"/>
      <c r="B97" s="225"/>
      <c r="C97" s="225"/>
      <c r="D97" s="225"/>
      <c r="E97" s="225"/>
      <c r="F97" s="225"/>
      <c r="H97" s="2" t="s">
        <v>307</v>
      </c>
      <c r="I97" s="88">
        <f>SUM(I95:I96)</f>
        <v>950000</v>
      </c>
    </row>
    <row r="100" spans="1:9" ht="17.399999999999999" customHeight="1" x14ac:dyDescent="0.25"/>
    <row r="101" spans="1:9" ht="17.399999999999999" customHeight="1" x14ac:dyDescent="0.25"/>
    <row r="104" spans="1:9" ht="20.399999999999999" customHeight="1" x14ac:dyDescent="0.25"/>
    <row r="110" spans="1:9" ht="18" customHeight="1" x14ac:dyDescent="0.25"/>
  </sheetData>
  <mergeCells count="29">
    <mergeCell ref="A23:F27"/>
    <mergeCell ref="A1:F1"/>
    <mergeCell ref="A2:C2"/>
    <mergeCell ref="D2:F2"/>
    <mergeCell ref="A3:C3"/>
    <mergeCell ref="D3:F3"/>
    <mergeCell ref="A4:F7"/>
    <mergeCell ref="A8:F8"/>
    <mergeCell ref="A9:F12"/>
    <mergeCell ref="A13:F13"/>
    <mergeCell ref="A14:F20"/>
    <mergeCell ref="A21:F22"/>
    <mergeCell ref="A57:F67"/>
    <mergeCell ref="A28:F29"/>
    <mergeCell ref="A30:F30"/>
    <mergeCell ref="A31:F33"/>
    <mergeCell ref="A34:F36"/>
    <mergeCell ref="A37:F38"/>
    <mergeCell ref="A39:F41"/>
    <mergeCell ref="A42:F43"/>
    <mergeCell ref="A44:F44"/>
    <mergeCell ref="A45:F53"/>
    <mergeCell ref="A54:F54"/>
    <mergeCell ref="A55:F56"/>
    <mergeCell ref="A68:F69"/>
    <mergeCell ref="A70:F70"/>
    <mergeCell ref="A72:F88"/>
    <mergeCell ref="A89:F90"/>
    <mergeCell ref="A91:F9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6ECD-EED2-46CA-B8C2-E3A9CDA1CD49}">
  <dimension ref="A1:P23"/>
  <sheetViews>
    <sheetView workbookViewId="0">
      <selection activeCell="C22" sqref="C22"/>
    </sheetView>
  </sheetViews>
  <sheetFormatPr defaultColWidth="8.88671875" defaultRowHeight="13.8" x14ac:dyDescent="0.25"/>
  <cols>
    <col min="1" max="1" width="27.6640625" style="99" customWidth="1"/>
    <col min="2" max="2" width="18.33203125" style="99" customWidth="1"/>
    <col min="3" max="4" width="8.88671875" style="99"/>
    <col min="5" max="5" width="3.6640625" style="99" customWidth="1"/>
    <col min="6" max="6" width="31.33203125" style="99" customWidth="1"/>
    <col min="7" max="7" width="14.5546875" style="99" customWidth="1"/>
    <col min="8" max="8" width="12.44140625" style="99" customWidth="1"/>
    <col min="9" max="9" width="14.44140625" style="99" customWidth="1"/>
    <col min="10" max="10" width="16.6640625" style="99" customWidth="1"/>
    <col min="11" max="11" width="6.44140625" style="99" customWidth="1"/>
    <col min="12" max="12" width="16.5546875" style="99" customWidth="1"/>
    <col min="13" max="13" width="3.33203125" style="99" customWidth="1"/>
    <col min="14" max="14" width="19.5546875" style="99" customWidth="1"/>
    <col min="15" max="15" width="4.33203125" style="99" customWidth="1"/>
    <col min="16" max="16" width="13.6640625" style="99" customWidth="1"/>
    <col min="17" max="16384" width="8.88671875" style="99"/>
  </cols>
  <sheetData>
    <row r="1" spans="1:16" ht="13.8" customHeight="1" x14ac:dyDescent="0.25">
      <c r="A1" s="227" t="s">
        <v>352</v>
      </c>
      <c r="B1" s="227"/>
      <c r="C1" s="227"/>
      <c r="D1" s="227"/>
      <c r="F1" s="111" t="s">
        <v>1</v>
      </c>
    </row>
    <row r="2" spans="1:16" ht="30" customHeight="1" x14ac:dyDescent="0.25">
      <c r="A2" s="227"/>
      <c r="B2" s="227"/>
      <c r="C2" s="227"/>
      <c r="D2" s="227"/>
      <c r="E2" s="106"/>
      <c r="F2" s="130" t="s">
        <v>351</v>
      </c>
      <c r="G2" s="129" t="s">
        <v>124</v>
      </c>
      <c r="H2" s="129" t="s">
        <v>350</v>
      </c>
      <c r="I2" s="129" t="s">
        <v>349</v>
      </c>
      <c r="J2" s="129" t="s">
        <v>348</v>
      </c>
      <c r="K2" s="129"/>
      <c r="L2" s="129" t="s">
        <v>347</v>
      </c>
      <c r="M2" s="129"/>
      <c r="N2" s="129" t="s">
        <v>346</v>
      </c>
      <c r="O2" s="129"/>
    </row>
    <row r="3" spans="1:16" ht="28.2" thickBot="1" x14ac:dyDescent="0.3">
      <c r="A3" s="227"/>
      <c r="B3" s="227"/>
      <c r="C3" s="227"/>
      <c r="D3" s="227"/>
      <c r="E3" s="106"/>
      <c r="G3" s="127" t="s">
        <v>345</v>
      </c>
      <c r="H3" s="127" t="s">
        <v>344</v>
      </c>
      <c r="I3" s="128" t="s">
        <v>343</v>
      </c>
      <c r="J3" s="127" t="s">
        <v>342</v>
      </c>
      <c r="K3" s="127"/>
      <c r="L3" s="127" t="s">
        <v>341</v>
      </c>
      <c r="M3" s="111"/>
      <c r="N3" s="127" t="s">
        <v>340</v>
      </c>
      <c r="O3" s="111"/>
      <c r="P3" s="126" t="s">
        <v>339</v>
      </c>
    </row>
    <row r="4" spans="1:16" ht="14.4" thickBot="1" x14ac:dyDescent="0.3">
      <c r="A4" s="125" t="s">
        <v>325</v>
      </c>
      <c r="B4" s="124" t="s">
        <v>338</v>
      </c>
      <c r="F4" s="99" t="s">
        <v>337</v>
      </c>
      <c r="G4" s="117">
        <v>130000</v>
      </c>
      <c r="H4" s="115">
        <v>150000</v>
      </c>
      <c r="I4" s="115">
        <v>150000</v>
      </c>
      <c r="J4" s="115">
        <f>I4-G4</f>
        <v>20000</v>
      </c>
      <c r="K4" s="115" t="s">
        <v>164</v>
      </c>
      <c r="L4" s="115">
        <f>H4-G4</f>
        <v>20000</v>
      </c>
      <c r="M4" s="116" t="s">
        <v>164</v>
      </c>
      <c r="N4" s="115">
        <f>I4-H4</f>
        <v>0</v>
      </c>
      <c r="O4" s="116"/>
      <c r="P4" s="115">
        <f>L4+N4</f>
        <v>20000</v>
      </c>
    </row>
    <row r="5" spans="1:16" ht="14.4" thickBot="1" x14ac:dyDescent="0.3">
      <c r="A5" s="123" t="s">
        <v>323</v>
      </c>
      <c r="B5" s="122" t="s">
        <v>336</v>
      </c>
      <c r="F5" s="99" t="s">
        <v>335</v>
      </c>
      <c r="G5" s="117">
        <v>60</v>
      </c>
      <c r="H5" s="115">
        <f>G5</f>
        <v>60</v>
      </c>
      <c r="I5" s="116">
        <f>I6/I4</f>
        <v>55</v>
      </c>
      <c r="J5" s="115">
        <f>I5-G5</f>
        <v>-5</v>
      </c>
      <c r="K5" s="115" t="s">
        <v>322</v>
      </c>
      <c r="L5" s="115">
        <f>H5-G5</f>
        <v>0</v>
      </c>
      <c r="M5" s="116"/>
      <c r="N5" s="115">
        <f>I5-H5</f>
        <v>-5</v>
      </c>
      <c r="O5" s="116" t="s">
        <v>322</v>
      </c>
      <c r="P5" s="115">
        <f>L5+N5</f>
        <v>-5</v>
      </c>
    </row>
    <row r="6" spans="1:16" ht="14.4" thickBot="1" x14ac:dyDescent="0.3">
      <c r="A6" s="123" t="s">
        <v>321</v>
      </c>
      <c r="B6" s="122" t="s">
        <v>334</v>
      </c>
      <c r="F6" s="99" t="s">
        <v>333</v>
      </c>
      <c r="G6" s="117">
        <f>G4*G5</f>
        <v>7800000</v>
      </c>
      <c r="H6" s="117">
        <f>H4*H5</f>
        <v>9000000</v>
      </c>
      <c r="I6" s="115">
        <v>8250000</v>
      </c>
      <c r="J6" s="115">
        <f>I6-G6</f>
        <v>450000</v>
      </c>
      <c r="K6" s="115" t="s">
        <v>164</v>
      </c>
      <c r="L6" s="115">
        <f>H6-G6</f>
        <v>1200000</v>
      </c>
      <c r="M6" s="116" t="s">
        <v>164</v>
      </c>
      <c r="N6" s="115">
        <f>I6-H6</f>
        <v>-750000</v>
      </c>
      <c r="O6" s="116" t="s">
        <v>322</v>
      </c>
      <c r="P6" s="115">
        <f>L6+N6</f>
        <v>450000</v>
      </c>
    </row>
    <row r="7" spans="1:16" ht="14.4" thickBot="1" x14ac:dyDescent="0.3">
      <c r="A7" s="74" t="s">
        <v>332</v>
      </c>
      <c r="F7" s="99" t="s">
        <v>327</v>
      </c>
      <c r="G7" s="118"/>
      <c r="H7" s="121"/>
      <c r="I7" s="121"/>
      <c r="J7" s="115"/>
      <c r="K7" s="115"/>
      <c r="L7" s="115"/>
      <c r="M7" s="116"/>
      <c r="N7" s="115"/>
      <c r="O7" s="116"/>
      <c r="P7" s="115"/>
    </row>
    <row r="8" spans="1:16" x14ac:dyDescent="0.25">
      <c r="A8" s="120" t="s">
        <v>331</v>
      </c>
      <c r="B8" s="119">
        <v>150000</v>
      </c>
      <c r="F8" s="99" t="s">
        <v>330</v>
      </c>
      <c r="G8" s="117">
        <f>2000000+2*G4</f>
        <v>2260000</v>
      </c>
      <c r="H8" s="117">
        <f>2000000+2*H4</f>
        <v>2300000</v>
      </c>
      <c r="I8" s="117">
        <v>2350000</v>
      </c>
      <c r="J8" s="115">
        <f>I8-G8</f>
        <v>90000</v>
      </c>
      <c r="K8" s="115" t="s">
        <v>322</v>
      </c>
      <c r="L8" s="115">
        <f>H8-G8</f>
        <v>40000</v>
      </c>
      <c r="M8" s="116" t="s">
        <v>322</v>
      </c>
      <c r="N8" s="115">
        <f>I8-H8</f>
        <v>50000</v>
      </c>
      <c r="O8" s="116" t="s">
        <v>322</v>
      </c>
      <c r="P8" s="115">
        <f>L8+N8</f>
        <v>90000</v>
      </c>
    </row>
    <row r="9" spans="1:16" x14ac:dyDescent="0.25">
      <c r="A9" s="190" t="s">
        <v>329</v>
      </c>
      <c r="B9" s="191">
        <v>8250000</v>
      </c>
      <c r="C9" s="101"/>
      <c r="D9" s="101"/>
      <c r="E9" s="101"/>
      <c r="F9" s="99" t="s">
        <v>328</v>
      </c>
      <c r="G9" s="117">
        <f>12*G4</f>
        <v>1560000</v>
      </c>
      <c r="H9" s="117">
        <f>12*H4</f>
        <v>1800000</v>
      </c>
      <c r="I9" s="117">
        <v>1830000</v>
      </c>
      <c r="J9" s="115">
        <f>I9-G9</f>
        <v>270000</v>
      </c>
      <c r="K9" s="115" t="s">
        <v>322</v>
      </c>
      <c r="L9" s="115">
        <f>H9-G9</f>
        <v>240000</v>
      </c>
      <c r="M9" s="116" t="s">
        <v>322</v>
      </c>
      <c r="N9" s="115">
        <f>I9-H9</f>
        <v>30000</v>
      </c>
      <c r="O9" s="116" t="s">
        <v>322</v>
      </c>
      <c r="P9" s="115">
        <f>L9+N9</f>
        <v>270000</v>
      </c>
    </row>
    <row r="10" spans="1:16" x14ac:dyDescent="0.25">
      <c r="A10" s="192" t="s">
        <v>327</v>
      </c>
      <c r="B10" s="193"/>
      <c r="C10" s="101"/>
      <c r="D10" s="101"/>
      <c r="E10" s="101"/>
      <c r="F10" s="99" t="s">
        <v>326</v>
      </c>
      <c r="G10" s="118">
        <f>80000+13*G4</f>
        <v>1770000</v>
      </c>
      <c r="H10" s="118">
        <f>80000+13*H4</f>
        <v>2030000</v>
      </c>
      <c r="I10" s="118">
        <v>1800000</v>
      </c>
      <c r="J10" s="115">
        <f>I10-G10</f>
        <v>30000</v>
      </c>
      <c r="K10" s="115" t="s">
        <v>322</v>
      </c>
      <c r="L10" s="115">
        <f>H10-G10</f>
        <v>260000</v>
      </c>
      <c r="M10" s="116" t="s">
        <v>322</v>
      </c>
      <c r="N10" s="115">
        <f>I10-H10</f>
        <v>-230000</v>
      </c>
      <c r="O10" s="116" t="s">
        <v>164</v>
      </c>
      <c r="P10" s="115">
        <f>L10+N10</f>
        <v>30000</v>
      </c>
    </row>
    <row r="11" spans="1:16" x14ac:dyDescent="0.25">
      <c r="A11" s="113" t="s">
        <v>325</v>
      </c>
      <c r="B11" s="112">
        <v>2350000</v>
      </c>
      <c r="F11" s="99" t="s">
        <v>324</v>
      </c>
      <c r="G11" s="118">
        <f>SUM(G8:G10)</f>
        <v>5590000</v>
      </c>
      <c r="H11" s="118">
        <f>SUM(H8:H10)</f>
        <v>6130000</v>
      </c>
      <c r="I11" s="118">
        <f>SUM(I8:I10)</f>
        <v>5980000</v>
      </c>
      <c r="J11" s="115">
        <f>I11-G11</f>
        <v>390000</v>
      </c>
      <c r="K11" s="115" t="s">
        <v>322</v>
      </c>
      <c r="L11" s="115">
        <f>H11-G11</f>
        <v>540000</v>
      </c>
      <c r="M11" s="116" t="s">
        <v>322</v>
      </c>
      <c r="N11" s="115">
        <f>I11-H11</f>
        <v>-150000</v>
      </c>
      <c r="O11" s="116" t="s">
        <v>164</v>
      </c>
      <c r="P11" s="115">
        <f>L11+N11</f>
        <v>390000</v>
      </c>
    </row>
    <row r="12" spans="1:16" x14ac:dyDescent="0.25">
      <c r="A12" s="113" t="s">
        <v>323</v>
      </c>
      <c r="B12" s="112">
        <v>1830000</v>
      </c>
      <c r="F12" s="99" t="s">
        <v>76</v>
      </c>
      <c r="G12" s="117">
        <f>G6-G11</f>
        <v>2210000</v>
      </c>
      <c r="H12" s="117">
        <f>H6-H11</f>
        <v>2870000</v>
      </c>
      <c r="I12" s="117">
        <f>I6-I11</f>
        <v>2270000</v>
      </c>
      <c r="J12" s="115">
        <f>I12-G12</f>
        <v>60000</v>
      </c>
      <c r="K12" s="115" t="s">
        <v>164</v>
      </c>
      <c r="L12" s="115">
        <f>H12-G12</f>
        <v>660000</v>
      </c>
      <c r="M12" s="116" t="s">
        <v>164</v>
      </c>
      <c r="N12" s="115">
        <f>I12-H12</f>
        <v>-600000</v>
      </c>
      <c r="O12" s="116" t="s">
        <v>322</v>
      </c>
      <c r="P12" s="115">
        <f>L12+N12</f>
        <v>60000</v>
      </c>
    </row>
    <row r="13" spans="1:16" x14ac:dyDescent="0.25">
      <c r="A13" s="113" t="s">
        <v>321</v>
      </c>
      <c r="B13" s="114">
        <v>1800000</v>
      </c>
    </row>
    <row r="14" spans="1:16" x14ac:dyDescent="0.25">
      <c r="A14" s="113" t="s">
        <v>320</v>
      </c>
      <c r="B14" s="112">
        <v>5980000</v>
      </c>
      <c r="F14" s="111" t="s">
        <v>319</v>
      </c>
    </row>
    <row r="15" spans="1:16" ht="14.4" thickBot="1" x14ac:dyDescent="0.3">
      <c r="A15" s="110" t="s">
        <v>76</v>
      </c>
      <c r="B15" s="109">
        <v>2270000</v>
      </c>
      <c r="F15" s="99" t="s">
        <v>318</v>
      </c>
      <c r="G15" s="105">
        <f>G5</f>
        <v>60</v>
      </c>
      <c r="P15" s="103"/>
    </row>
    <row r="16" spans="1:16" x14ac:dyDescent="0.25">
      <c r="A16" s="75" t="s">
        <v>80</v>
      </c>
      <c r="F16" s="101" t="s">
        <v>199</v>
      </c>
      <c r="G16" s="99">
        <f>2+12+13</f>
        <v>27</v>
      </c>
      <c r="P16" s="103"/>
    </row>
    <row r="17" spans="1:16" x14ac:dyDescent="0.25">
      <c r="A17" s="240" t="s">
        <v>317</v>
      </c>
      <c r="B17" s="240"/>
      <c r="C17" s="101"/>
      <c r="D17" s="101"/>
      <c r="E17" s="101"/>
      <c r="F17" s="101" t="s">
        <v>316</v>
      </c>
      <c r="G17" s="105">
        <f>G15-G16</f>
        <v>33</v>
      </c>
      <c r="P17" s="103"/>
    </row>
    <row r="18" spans="1:16" x14ac:dyDescent="0.25">
      <c r="A18" s="240" t="s">
        <v>315</v>
      </c>
      <c r="B18" s="240"/>
      <c r="C18" s="101"/>
      <c r="D18" s="101"/>
      <c r="E18" s="101"/>
      <c r="F18" s="101" t="s">
        <v>314</v>
      </c>
      <c r="G18" s="105">
        <f>G17*G4</f>
        <v>4290000</v>
      </c>
      <c r="P18" s="103"/>
    </row>
    <row r="19" spans="1:16" x14ac:dyDescent="0.25">
      <c r="A19" s="240" t="s">
        <v>313</v>
      </c>
      <c r="B19" s="240"/>
      <c r="C19" s="101"/>
      <c r="D19" s="101"/>
      <c r="E19" s="101"/>
      <c r="F19" s="101" t="str">
        <f>F12</f>
        <v>Operating Income</v>
      </c>
      <c r="G19" s="107">
        <f>G12</f>
        <v>2210000</v>
      </c>
      <c r="P19" s="103"/>
    </row>
    <row r="20" spans="1:16" x14ac:dyDescent="0.25">
      <c r="A20" s="227" t="s">
        <v>312</v>
      </c>
      <c r="B20" s="227"/>
      <c r="C20" s="101"/>
      <c r="D20" s="101"/>
      <c r="E20" s="101"/>
      <c r="F20" s="106" t="s">
        <v>311</v>
      </c>
      <c r="G20" s="99">
        <f>G18/G19</f>
        <v>1.9411764705882353</v>
      </c>
      <c r="H20" s="105"/>
      <c r="P20" s="103"/>
    </row>
    <row r="21" spans="1:16" x14ac:dyDescent="0.25">
      <c r="A21" s="227"/>
      <c r="B21" s="227"/>
      <c r="C21" s="102"/>
      <c r="D21" s="102"/>
      <c r="E21" s="102"/>
      <c r="F21" s="101" t="s">
        <v>310</v>
      </c>
      <c r="G21" s="104">
        <f>(H4-G4)/G4</f>
        <v>0.15384615384615385</v>
      </c>
      <c r="H21" s="103"/>
      <c r="P21" s="103"/>
    </row>
    <row r="22" spans="1:16" x14ac:dyDescent="0.25">
      <c r="A22" s="227" t="s">
        <v>309</v>
      </c>
      <c r="B22" s="227"/>
      <c r="C22" s="102"/>
      <c r="D22" s="102"/>
      <c r="E22" s="102"/>
      <c r="F22" s="101" t="s">
        <v>308</v>
      </c>
      <c r="G22" s="100">
        <f>G19*(1+G21*G20)</f>
        <v>2870000</v>
      </c>
    </row>
    <row r="23" spans="1:16" x14ac:dyDescent="0.25">
      <c r="A23" s="227"/>
      <c r="B23" s="227"/>
    </row>
  </sheetData>
  <mergeCells count="6">
    <mergeCell ref="A19:B19"/>
    <mergeCell ref="A1:D3"/>
    <mergeCell ref="A20:B21"/>
    <mergeCell ref="A22:B23"/>
    <mergeCell ref="A17:B17"/>
    <mergeCell ref="A18:B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6E82-00C7-48CE-B3F2-9C6AC0CB60BF}">
  <dimension ref="A1:H33"/>
  <sheetViews>
    <sheetView workbookViewId="0">
      <selection activeCell="C22" sqref="C22"/>
    </sheetView>
  </sheetViews>
  <sheetFormatPr defaultColWidth="8.88671875" defaultRowHeight="13.8" x14ac:dyDescent="0.25"/>
  <cols>
    <col min="1" max="1" width="46.6640625" style="99" customWidth="1"/>
    <col min="2" max="4" width="8.88671875" style="99"/>
    <col min="5" max="5" width="34.6640625" style="99" customWidth="1"/>
    <col min="6" max="6" width="22.33203125" style="116" bestFit="1" customWidth="1"/>
    <col min="7" max="7" width="25.44140625" style="116" customWidth="1"/>
    <col min="8" max="8" width="10.6640625" style="99" customWidth="1"/>
    <col min="9" max="16384" width="8.88671875" style="99"/>
  </cols>
  <sheetData>
    <row r="1" spans="1:8" ht="14.4" thickBot="1" x14ac:dyDescent="0.3">
      <c r="A1" s="241" t="s">
        <v>380</v>
      </c>
      <c r="B1" s="241"/>
      <c r="E1" s="111" t="s">
        <v>1</v>
      </c>
    </row>
    <row r="2" spans="1:8" x14ac:dyDescent="0.25">
      <c r="A2" s="246" t="s">
        <v>379</v>
      </c>
      <c r="B2" s="246"/>
      <c r="E2" s="111" t="s">
        <v>378</v>
      </c>
      <c r="F2" s="144" t="s">
        <v>377</v>
      </c>
      <c r="G2" s="144" t="s">
        <v>376</v>
      </c>
    </row>
    <row r="3" spans="1:8" x14ac:dyDescent="0.25">
      <c r="A3" s="141" t="s">
        <v>51</v>
      </c>
      <c r="B3" s="141">
        <v>20</v>
      </c>
      <c r="E3" s="99" t="str">
        <f>A3</f>
        <v>Direct Materials</v>
      </c>
      <c r="F3" s="135">
        <f>B3</f>
        <v>20</v>
      </c>
      <c r="G3" s="135">
        <f>F3</f>
        <v>20</v>
      </c>
      <c r="H3" s="136"/>
    </row>
    <row r="4" spans="1:8" x14ac:dyDescent="0.25">
      <c r="A4" s="141" t="s">
        <v>272</v>
      </c>
      <c r="B4" s="141">
        <v>10</v>
      </c>
      <c r="E4" s="99" t="str">
        <f>A4</f>
        <v>Direct Labor</v>
      </c>
      <c r="F4" s="135">
        <f>B4</f>
        <v>10</v>
      </c>
      <c r="G4" s="135">
        <f>F4</f>
        <v>10</v>
      </c>
      <c r="H4" s="136"/>
    </row>
    <row r="5" spans="1:8" x14ac:dyDescent="0.25">
      <c r="A5" s="141" t="s">
        <v>61</v>
      </c>
      <c r="B5" s="141">
        <v>8</v>
      </c>
      <c r="E5" s="99" t="s">
        <v>375</v>
      </c>
      <c r="F5" s="135">
        <f>B5</f>
        <v>8</v>
      </c>
      <c r="G5" s="135">
        <f>F5</f>
        <v>8</v>
      </c>
      <c r="H5" s="136"/>
    </row>
    <row r="6" spans="1:8" x14ac:dyDescent="0.25">
      <c r="A6" s="141" t="s">
        <v>374</v>
      </c>
      <c r="B6" s="141">
        <v>5</v>
      </c>
      <c r="E6" s="99" t="s">
        <v>373</v>
      </c>
      <c r="F6" s="135">
        <f>B8/B12</f>
        <v>15</v>
      </c>
      <c r="G6" s="135"/>
      <c r="H6" s="136"/>
    </row>
    <row r="7" spans="1:8" x14ac:dyDescent="0.25">
      <c r="A7" s="145" t="s">
        <v>372</v>
      </c>
      <c r="E7" s="99" t="s">
        <v>371</v>
      </c>
      <c r="F7" s="135"/>
      <c r="G7" s="135"/>
      <c r="H7" s="136"/>
    </row>
    <row r="8" spans="1:8" x14ac:dyDescent="0.25">
      <c r="A8" s="141" t="s">
        <v>61</v>
      </c>
      <c r="B8" s="142">
        <v>180000</v>
      </c>
      <c r="E8" s="111" t="s">
        <v>10</v>
      </c>
      <c r="F8" s="143">
        <f>SUM(F3:F7)</f>
        <v>53</v>
      </c>
      <c r="G8" s="143">
        <f>SUM(G3:G7)</f>
        <v>38</v>
      </c>
      <c r="H8" s="136"/>
    </row>
    <row r="9" spans="1:8" x14ac:dyDescent="0.25">
      <c r="A9" s="187" t="s">
        <v>370</v>
      </c>
      <c r="B9" s="188">
        <v>150000</v>
      </c>
      <c r="C9" s="101"/>
      <c r="D9" s="101"/>
      <c r="E9" s="101"/>
      <c r="F9" s="135"/>
      <c r="G9" s="135"/>
      <c r="H9" s="136"/>
    </row>
    <row r="10" spans="1:8" x14ac:dyDescent="0.25">
      <c r="A10" s="189" t="s">
        <v>369</v>
      </c>
      <c r="B10" s="101"/>
      <c r="C10" s="101"/>
      <c r="D10" s="101"/>
      <c r="E10" s="242" t="s">
        <v>368</v>
      </c>
      <c r="F10" s="243"/>
      <c r="G10" s="244" t="s">
        <v>367</v>
      </c>
      <c r="H10" s="244"/>
    </row>
    <row r="11" spans="1:8" x14ac:dyDescent="0.25">
      <c r="A11" s="141" t="s">
        <v>366</v>
      </c>
      <c r="B11" s="141">
        <v>0</v>
      </c>
      <c r="E11" s="99" t="s">
        <v>214</v>
      </c>
      <c r="F11" s="135">
        <f>B13*B14</f>
        <v>1012500</v>
      </c>
      <c r="G11" s="137" t="str">
        <f>E11</f>
        <v>Sales Revenues</v>
      </c>
      <c r="H11" s="136">
        <f>F11</f>
        <v>1012500</v>
      </c>
    </row>
    <row r="12" spans="1:8" x14ac:dyDescent="0.25">
      <c r="A12" s="141" t="s">
        <v>365</v>
      </c>
      <c r="B12" s="142">
        <v>12000</v>
      </c>
      <c r="E12" s="99" t="s">
        <v>304</v>
      </c>
      <c r="F12" s="140">
        <f>-F8*B13</f>
        <v>-596250</v>
      </c>
      <c r="G12" s="137" t="s">
        <v>364</v>
      </c>
      <c r="H12" s="136">
        <f>-SUM(G3:G5)*B13</f>
        <v>-427500</v>
      </c>
    </row>
    <row r="13" spans="1:8" x14ac:dyDescent="0.25">
      <c r="A13" s="141" t="s">
        <v>363</v>
      </c>
      <c r="B13" s="142">
        <v>11250</v>
      </c>
      <c r="E13" s="99" t="s">
        <v>33</v>
      </c>
      <c r="F13" s="135">
        <f>F11+F12</f>
        <v>416250</v>
      </c>
      <c r="G13" s="137" t="s">
        <v>282</v>
      </c>
      <c r="H13" s="138">
        <f>-B6*B13</f>
        <v>-56250</v>
      </c>
    </row>
    <row r="14" spans="1:8" x14ac:dyDescent="0.25">
      <c r="A14" s="141" t="s">
        <v>362</v>
      </c>
      <c r="B14" s="141">
        <v>90</v>
      </c>
      <c r="E14" s="99" t="s">
        <v>361</v>
      </c>
      <c r="F14" s="140">
        <f>-(B6*B13+B9)</f>
        <v>-206250</v>
      </c>
      <c r="G14" s="137" t="s">
        <v>360</v>
      </c>
      <c r="H14" s="136">
        <f>SUM(H11:H13)</f>
        <v>528750</v>
      </c>
    </row>
    <row r="15" spans="1:8" ht="13.8" customHeight="1" x14ac:dyDescent="0.25">
      <c r="A15" s="248" t="s">
        <v>359</v>
      </c>
      <c r="B15" s="248"/>
      <c r="E15" s="99" t="s">
        <v>76</v>
      </c>
      <c r="F15" s="135">
        <f>F13+F14</f>
        <v>210000</v>
      </c>
      <c r="G15" s="139" t="s">
        <v>358</v>
      </c>
      <c r="H15" s="136"/>
    </row>
    <row r="16" spans="1:8" x14ac:dyDescent="0.25">
      <c r="A16" s="248"/>
      <c r="B16" s="248"/>
      <c r="F16" s="135"/>
      <c r="G16" s="137" t="s">
        <v>357</v>
      </c>
      <c r="H16" s="136">
        <f>-B8</f>
        <v>-180000</v>
      </c>
    </row>
    <row r="17" spans="1:8" x14ac:dyDescent="0.25">
      <c r="A17" s="248"/>
      <c r="B17" s="248"/>
      <c r="F17" s="135"/>
      <c r="G17" s="137" t="s">
        <v>356</v>
      </c>
      <c r="H17" s="138">
        <f>-B9</f>
        <v>-150000</v>
      </c>
    </row>
    <row r="18" spans="1:8" x14ac:dyDescent="0.25">
      <c r="A18" s="248"/>
      <c r="B18" s="248"/>
      <c r="F18" s="135"/>
      <c r="G18" s="137" t="s">
        <v>76</v>
      </c>
      <c r="H18" s="136">
        <f>SUM(H14:H17)</f>
        <v>198750</v>
      </c>
    </row>
    <row r="19" spans="1:8" x14ac:dyDescent="0.25">
      <c r="A19" s="248"/>
      <c r="B19" s="248"/>
      <c r="F19" s="247"/>
      <c r="G19" s="247"/>
      <c r="H19" s="247"/>
    </row>
    <row r="20" spans="1:8" ht="14.4" x14ac:dyDescent="0.3">
      <c r="A20" s="248"/>
      <c r="B20" s="248"/>
      <c r="E20" s="134" t="s">
        <v>339</v>
      </c>
      <c r="F20" s="133" t="str">
        <f>F2</f>
        <v>Full Absorprion Costing</v>
      </c>
      <c r="G20" s="133" t="str">
        <f>G2</f>
        <v>Variable Costing</v>
      </c>
      <c r="H20" s="133" t="s">
        <v>355</v>
      </c>
    </row>
    <row r="21" spans="1:8" x14ac:dyDescent="0.25">
      <c r="A21" s="106"/>
      <c r="B21" s="106"/>
      <c r="E21" s="132" t="s">
        <v>76</v>
      </c>
      <c r="F21" s="131">
        <f>F15</f>
        <v>210000</v>
      </c>
      <c r="G21" s="131">
        <f>H18</f>
        <v>198750</v>
      </c>
      <c r="H21" s="131">
        <f>F21-G21</f>
        <v>11250</v>
      </c>
    </row>
    <row r="22" spans="1:8" x14ac:dyDescent="0.25">
      <c r="E22" s="132" t="s">
        <v>354</v>
      </c>
      <c r="F22" s="131">
        <f>(B12-B13)*F8</f>
        <v>39750</v>
      </c>
      <c r="G22" s="131">
        <f>(B12-B13)*G8</f>
        <v>28500</v>
      </c>
      <c r="H22" s="131">
        <f>F22-G22</f>
        <v>11250</v>
      </c>
    </row>
    <row r="23" spans="1:8" x14ac:dyDescent="0.25">
      <c r="E23" s="245" t="s">
        <v>353</v>
      </c>
      <c r="F23" s="245"/>
      <c r="G23" s="245"/>
      <c r="H23" s="245"/>
    </row>
    <row r="24" spans="1:8" x14ac:dyDescent="0.25">
      <c r="F24" s="99"/>
      <c r="G24" s="99"/>
    </row>
    <row r="25" spans="1:8" x14ac:dyDescent="0.25">
      <c r="F25" s="99"/>
      <c r="G25" s="99"/>
    </row>
    <row r="26" spans="1:8" x14ac:dyDescent="0.25">
      <c r="F26" s="99"/>
      <c r="G26" s="99"/>
    </row>
    <row r="27" spans="1:8" x14ac:dyDescent="0.25">
      <c r="F27" s="99"/>
      <c r="G27" s="99"/>
    </row>
    <row r="28" spans="1:8" x14ac:dyDescent="0.25">
      <c r="F28" s="99"/>
      <c r="G28" s="99"/>
    </row>
    <row r="29" spans="1:8" x14ac:dyDescent="0.25">
      <c r="F29" s="99"/>
      <c r="G29" s="99"/>
    </row>
    <row r="30" spans="1:8" x14ac:dyDescent="0.25">
      <c r="F30" s="99"/>
      <c r="G30" s="99"/>
    </row>
    <row r="31" spans="1:8" x14ac:dyDescent="0.25">
      <c r="F31" s="99"/>
      <c r="G31" s="99"/>
    </row>
    <row r="32" spans="1:8" x14ac:dyDescent="0.25">
      <c r="F32" s="99"/>
      <c r="G32" s="99"/>
    </row>
    <row r="33" s="99" customFormat="1" x14ac:dyDescent="0.25"/>
  </sheetData>
  <mergeCells count="7">
    <mergeCell ref="A1:B1"/>
    <mergeCell ref="E10:F10"/>
    <mergeCell ref="G10:H10"/>
    <mergeCell ref="E23:H23"/>
    <mergeCell ref="A2:B2"/>
    <mergeCell ref="F19:H19"/>
    <mergeCell ref="A15: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Ex1</vt:lpstr>
      <vt:lpstr>Ex2</vt:lpstr>
      <vt:lpstr>Ex3</vt:lpstr>
      <vt:lpstr>Ex4a</vt:lpstr>
      <vt:lpstr>Ex4b</vt:lpstr>
      <vt:lpstr>Ex5</vt:lpstr>
      <vt:lpstr>Ex6</vt:lpstr>
      <vt:lpstr>Ex7</vt:lpstr>
      <vt:lpstr>Ex8</vt:lpstr>
      <vt:lpstr>Ex9</vt:lpstr>
      <vt:lpstr>Ex10</vt:lpstr>
      <vt:lpstr>Ex11</vt:lpstr>
      <vt:lpstr>Ex13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NIKOLAOS KARAMPINIS</dc:creator>
  <cp:lastModifiedBy>NIKOLAOS KARAMPINIS</cp:lastModifiedBy>
  <dcterms:created xsi:type="dcterms:W3CDTF">2024-11-02T11:40:11Z</dcterms:created>
  <dcterms:modified xsi:type="dcterms:W3CDTF">2024-11-22T17:06:09Z</dcterms:modified>
</cp:coreProperties>
</file>