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15" windowWidth="6225" windowHeight="1170" tabRatio="805" activeTab="13"/>
  </bookViews>
  <sheets>
    <sheet name="Bar Chart" sheetId="2" r:id="rId1"/>
    <sheet name="Line Chart" sheetId="4" r:id="rId2"/>
    <sheet name="Line Chart 2" sheetId="481" r:id="rId3"/>
    <sheet name="Scatter Chart" sheetId="685" r:id="rId4"/>
    <sheet name="Central" sheetId="482" r:id="rId5"/>
    <sheet name="Geo Mean" sheetId="8" r:id="rId6"/>
    <sheet name="Var" sheetId="483" r:id="rId7"/>
    <sheet name="SKEW" sheetId="485" r:id="rId8"/>
    <sheet name="Desc 1" sheetId="11" r:id="rId9"/>
    <sheet name="Desc 2" sheetId="12" r:id="rId10"/>
    <sheet name="Frequency" sheetId="13" r:id="rId11"/>
    <sheet name="Prob 1" sheetId="6" r:id="rId12"/>
    <sheet name="Prob 2" sheetId="7" r:id="rId13"/>
    <sheet name="Histogram" sheetId="15" r:id="rId14"/>
    <sheet name="Joint and Marginals 1" sheetId="688" r:id="rId15"/>
    <sheet name="Joint and Marginals 2" sheetId="689" r:id="rId16"/>
    <sheet name="Joint and Marginals 3" sheetId="690" r:id="rId17"/>
    <sheet name="Binomial" sheetId="23" r:id="rId18"/>
    <sheet name="Binomial Examples" sheetId="307" r:id="rId19"/>
    <sheet name="Binomial and Normal" sheetId="363" r:id="rId20"/>
    <sheet name="Poisson" sheetId="317" r:id="rId21"/>
    <sheet name="Poisson Examples" sheetId="318" r:id="rId22"/>
    <sheet name="Uniform" sheetId="559" r:id="rId23"/>
    <sheet name="Exponential Distribution" sheetId="560" r:id="rId24"/>
    <sheet name="Normal 1" sheetId="17" r:id="rId25"/>
    <sheet name="Normal 2" sheetId="315" r:id="rId26"/>
    <sheet name="Cov" sheetId="660" r:id="rId27"/>
    <sheet name="Corr" sheetId="487" r:id="rId28"/>
    <sheet name="Corr Scatter" sheetId="54" r:id="rId29"/>
    <sheet name="Corr Scatter 1" sheetId="661" r:id="rId30"/>
  </sheets>
  <calcPr calcId="144525"/>
</workbook>
</file>

<file path=xl/calcChain.xml><?xml version="1.0" encoding="utf-8"?>
<calcChain xmlns="http://schemas.openxmlformats.org/spreadsheetml/2006/main">
  <c r="B15" i="661" l="1"/>
  <c r="F4" i="660"/>
  <c r="C3" i="690"/>
  <c r="D3" i="690"/>
  <c r="E3" i="690"/>
  <c r="C4" i="690"/>
  <c r="D4" i="690"/>
  <c r="E4" i="690"/>
  <c r="C5" i="690"/>
  <c r="D5" i="690"/>
  <c r="E5" i="690"/>
  <c r="F4" i="689"/>
  <c r="F5" i="689"/>
  <c r="I5" i="689" s="1"/>
  <c r="G5" i="689"/>
  <c r="C7" i="689"/>
  <c r="F3" i="689" s="1"/>
  <c r="D7" i="689" a="1"/>
  <c r="D7" i="689"/>
  <c r="C8" i="689"/>
  <c r="G3" i="689" s="1"/>
  <c r="D8" i="689" a="1"/>
  <c r="D8" i="689"/>
  <c r="D18" i="689"/>
  <c r="C20" i="689" s="1"/>
  <c r="F4" i="688"/>
  <c r="C6" i="688"/>
  <c r="D6" i="688"/>
  <c r="E6" i="688"/>
  <c r="F6" i="688"/>
  <c r="C14" i="688" s="1"/>
  <c r="C13" i="688"/>
  <c r="F13" i="688" s="1"/>
  <c r="D13" i="688"/>
  <c r="E13" i="688"/>
  <c r="C8" i="318"/>
  <c r="D8" i="318"/>
  <c r="E8" i="318" s="1"/>
  <c r="G8" i="318" s="1"/>
  <c r="C9" i="318"/>
  <c r="D9" i="318"/>
  <c r="F9" i="318" s="1"/>
  <c r="E9" i="318"/>
  <c r="G9" i="318" s="1"/>
  <c r="C10" i="318"/>
  <c r="D10" i="318"/>
  <c r="E10" i="318"/>
  <c r="F10" i="318"/>
  <c r="G10" i="318"/>
  <c r="C11" i="318"/>
  <c r="D11" i="318"/>
  <c r="E11" i="318" s="1"/>
  <c r="G11" i="318" s="1"/>
  <c r="C12" i="318"/>
  <c r="D12" i="318"/>
  <c r="E12" i="318"/>
  <c r="G12" i="318" s="1"/>
  <c r="F12" i="318"/>
  <c r="C13" i="318"/>
  <c r="D13" i="318"/>
  <c r="E13" i="318"/>
  <c r="F13" i="318"/>
  <c r="G13" i="318"/>
  <c r="C14" i="318"/>
  <c r="D14" i="318"/>
  <c r="E14" i="318" s="1"/>
  <c r="G14" i="318" s="1"/>
  <c r="C15" i="318"/>
  <c r="D15" i="318"/>
  <c r="E15" i="318"/>
  <c r="F15" i="318"/>
  <c r="G15" i="318"/>
  <c r="C26" i="318"/>
  <c r="E26" i="318" s="1"/>
  <c r="G26" i="318" s="1"/>
  <c r="D26" i="318"/>
  <c r="F26" i="318"/>
  <c r="C27" i="318"/>
  <c r="D27" i="318"/>
  <c r="F27" i="318" s="1"/>
  <c r="E27" i="318"/>
  <c r="G27" i="318" s="1"/>
  <c r="C28" i="318"/>
  <c r="D28" i="318"/>
  <c r="E28" i="318"/>
  <c r="F28" i="318"/>
  <c r="G28" i="318"/>
  <c r="C29" i="318"/>
  <c r="D29" i="318"/>
  <c r="E29" i="318" s="1"/>
  <c r="G29" i="318" s="1"/>
  <c r="C30" i="318"/>
  <c r="D30" i="318"/>
  <c r="E30" i="318"/>
  <c r="G30" i="318" s="1"/>
  <c r="F30" i="318"/>
  <c r="C31" i="318"/>
  <c r="D31" i="318"/>
  <c r="E31" i="318"/>
  <c r="F31" i="318"/>
  <c r="G31" i="318"/>
  <c r="C32" i="318"/>
  <c r="D32" i="318"/>
  <c r="E32" i="318" s="1"/>
  <c r="G32" i="318" s="1"/>
  <c r="C33" i="318"/>
  <c r="D33" i="318"/>
  <c r="E33" i="318"/>
  <c r="F33" i="318"/>
  <c r="G33" i="318"/>
  <c r="C34" i="318"/>
  <c r="D34" i="318"/>
  <c r="E34" i="318" s="1"/>
  <c r="G34" i="318" s="1"/>
  <c r="F34" i="318"/>
  <c r="C35" i="318"/>
  <c r="D35" i="318"/>
  <c r="F35" i="318" s="1"/>
  <c r="E35" i="318"/>
  <c r="G35" i="318" s="1"/>
  <c r="C36" i="318"/>
  <c r="D36" i="318"/>
  <c r="E36" i="318"/>
  <c r="F36" i="318"/>
  <c r="G36" i="318"/>
  <c r="C37" i="318"/>
  <c r="D37" i="318"/>
  <c r="E37" i="318" s="1"/>
  <c r="G37" i="318" s="1"/>
  <c r="C38" i="318"/>
  <c r="D38" i="318"/>
  <c r="E38" i="318"/>
  <c r="G38" i="318" s="1"/>
  <c r="F38" i="318"/>
  <c r="C39" i="318"/>
  <c r="D39" i="318"/>
  <c r="E39" i="318"/>
  <c r="F39" i="318"/>
  <c r="G39" i="318"/>
  <c r="C40" i="318"/>
  <c r="D40" i="318"/>
  <c r="E40" i="318" s="1"/>
  <c r="G40" i="318" s="1"/>
  <c r="C41" i="318"/>
  <c r="D41" i="318"/>
  <c r="E41" i="318"/>
  <c r="F41" i="318"/>
  <c r="G41" i="318"/>
  <c r="C42" i="318"/>
  <c r="E42" i="318" s="1"/>
  <c r="G42" i="318" s="1"/>
  <c r="D42" i="318"/>
  <c r="F42" i="318"/>
  <c r="C43" i="318"/>
  <c r="D43" i="318"/>
  <c r="F43" i="318" s="1"/>
  <c r="E43" i="318"/>
  <c r="G43" i="318" s="1"/>
  <c r="C44" i="318"/>
  <c r="D44" i="318"/>
  <c r="E44" i="318"/>
  <c r="F44" i="318"/>
  <c r="G44" i="318"/>
  <c r="C45" i="318"/>
  <c r="D45" i="318"/>
  <c r="E45" i="318" s="1"/>
  <c r="G45" i="318" s="1"/>
  <c r="C46" i="318"/>
  <c r="D46" i="318"/>
  <c r="E46" i="318"/>
  <c r="G46" i="318" s="1"/>
  <c r="F46" i="318"/>
  <c r="G29" i="307"/>
  <c r="H25" i="307"/>
  <c r="D25" i="307"/>
  <c r="E23" i="307"/>
  <c r="D23" i="307"/>
  <c r="H16" i="307"/>
  <c r="D16" i="307"/>
  <c r="E14" i="307"/>
  <c r="D14" i="307"/>
  <c r="D8" i="307"/>
  <c r="E6" i="307"/>
  <c r="D6" i="307"/>
  <c r="I13" i="482"/>
  <c r="I3" i="689" l="1"/>
  <c r="C15" i="689"/>
  <c r="C10" i="689"/>
  <c r="D15" i="689" a="1"/>
  <c r="D15" i="689" s="1"/>
  <c r="G4" i="689"/>
  <c r="I4" i="689" s="1"/>
  <c r="E15" i="688"/>
  <c r="E14" i="688"/>
  <c r="C15" i="688"/>
  <c r="D14" i="688"/>
  <c r="F14" i="688" s="1"/>
  <c r="C20" i="688"/>
  <c r="F8" i="318"/>
  <c r="F45" i="318"/>
  <c r="F37" i="318"/>
  <c r="F29" i="318"/>
  <c r="F11" i="318"/>
  <c r="F40" i="318"/>
  <c r="F32" i="318"/>
  <c r="F14" i="318"/>
  <c r="B9" i="315"/>
  <c r="B10" i="315"/>
  <c r="C140" i="17"/>
  <c r="B12" i="560"/>
  <c r="B24" i="560"/>
  <c r="B22" i="560"/>
  <c r="B17" i="560"/>
  <c r="F14" i="559"/>
  <c r="F12" i="559"/>
  <c r="F4" i="559"/>
  <c r="F7" i="559" s="1"/>
  <c r="F3" i="559"/>
  <c r="B10" i="560"/>
  <c r="B5" i="560"/>
  <c r="I3" i="317"/>
  <c r="H3" i="317"/>
  <c r="G3" i="317"/>
  <c r="O22" i="12"/>
  <c r="N22" i="12"/>
  <c r="K22" i="12"/>
  <c r="J22" i="12"/>
  <c r="G19" i="11"/>
  <c r="B16" i="485"/>
  <c r="F21" i="483"/>
  <c r="E22" i="483"/>
  <c r="I8" i="7"/>
  <c r="I7" i="7"/>
  <c r="I6" i="7"/>
  <c r="I5" i="7"/>
  <c r="I4" i="7"/>
  <c r="C15" i="6"/>
  <c r="C13" i="689" l="1"/>
  <c r="C11" i="689"/>
  <c r="C14" i="689" s="1"/>
  <c r="F15" i="688"/>
  <c r="D15" i="688"/>
  <c r="C21" i="688"/>
  <c r="C14" i="6"/>
  <c r="C21" i="689" l="1"/>
  <c r="J5" i="7"/>
  <c r="J8" i="7"/>
  <c r="J6" i="7"/>
  <c r="J4" i="7"/>
  <c r="J7" i="7"/>
  <c r="J9" i="7" l="1"/>
  <c r="K8" i="7" s="1"/>
  <c r="K7" i="7" l="1"/>
  <c r="K4" i="7"/>
  <c r="K5" i="7"/>
  <c r="K6" i="7"/>
  <c r="K9" i="7" l="1"/>
  <c r="B5" i="660" l="1"/>
  <c r="B6" i="660" s="1"/>
  <c r="B7" i="660" s="1"/>
  <c r="B8" i="660" s="1"/>
  <c r="B9" i="660" s="1"/>
  <c r="B10" i="660" s="1"/>
  <c r="B11" i="660" s="1"/>
  <c r="A5" i="660"/>
  <c r="A6" i="660" s="1"/>
  <c r="A7" i="660" s="1"/>
  <c r="A8" i="660" s="1"/>
  <c r="A9" i="660" s="1"/>
  <c r="A10" i="660" s="1"/>
  <c r="A11" i="660" s="1"/>
  <c r="G4" i="560" l="1"/>
  <c r="J4" i="560" s="1"/>
  <c r="I3" i="560"/>
  <c r="J3" i="560"/>
  <c r="H3" i="560"/>
  <c r="G5" i="560" l="1"/>
  <c r="G6" i="560" s="1"/>
  <c r="G7" i="560" s="1"/>
  <c r="G8" i="560" s="1"/>
  <c r="G9" i="560" s="1"/>
  <c r="G10" i="560" s="1"/>
  <c r="G11" i="560" s="1"/>
  <c r="G12" i="560" s="1"/>
  <c r="G13" i="560" s="1"/>
  <c r="G14" i="560" s="1"/>
  <c r="H14" i="560" s="1"/>
  <c r="H4" i="560"/>
  <c r="I4" i="560"/>
  <c r="I9" i="560" l="1"/>
  <c r="I8" i="560"/>
  <c r="J13" i="560"/>
  <c r="J7" i="560"/>
  <c r="J10" i="560"/>
  <c r="H13" i="560"/>
  <c r="I6" i="560"/>
  <c r="H6" i="560"/>
  <c r="I5" i="560"/>
  <c r="J5" i="560"/>
  <c r="I7" i="560"/>
  <c r="G15" i="560"/>
  <c r="G16" i="560" s="1"/>
  <c r="G17" i="560" s="1"/>
  <c r="G18" i="560" s="1"/>
  <c r="G19" i="560" s="1"/>
  <c r="G20" i="560" s="1"/>
  <c r="G21" i="560" s="1"/>
  <c r="G22" i="560" s="1"/>
  <c r="J6" i="560"/>
  <c r="H12" i="560"/>
  <c r="J9" i="560"/>
  <c r="H9" i="560"/>
  <c r="J12" i="560"/>
  <c r="I11" i="560"/>
  <c r="J14" i="560"/>
  <c r="H8" i="560"/>
  <c r="H11" i="560"/>
  <c r="I14" i="560"/>
  <c r="H5" i="560"/>
  <c r="J8" i="560"/>
  <c r="I13" i="560"/>
  <c r="H7" i="560"/>
  <c r="I12" i="560"/>
  <c r="J11" i="560"/>
  <c r="H10" i="560"/>
  <c r="I10" i="560"/>
  <c r="J16" i="560" l="1"/>
  <c r="H15" i="560"/>
  <c r="J19" i="560"/>
  <c r="H19" i="560"/>
  <c r="I17" i="560"/>
  <c r="H16" i="560"/>
  <c r="J21" i="560"/>
  <c r="H17" i="560"/>
  <c r="J17" i="560"/>
  <c r="J15" i="560"/>
  <c r="I21" i="560"/>
  <c r="H18" i="560"/>
  <c r="I16" i="560"/>
  <c r="H21" i="560"/>
  <c r="I19" i="560"/>
  <c r="I18" i="560"/>
  <c r="I15" i="560"/>
  <c r="J18" i="560"/>
  <c r="H22" i="560"/>
  <c r="I22" i="560"/>
  <c r="J22" i="560"/>
  <c r="G23" i="560"/>
  <c r="H20" i="560"/>
  <c r="I20" i="560"/>
  <c r="J20" i="560"/>
  <c r="H23" i="560" l="1"/>
  <c r="I23" i="560"/>
  <c r="J23" i="560"/>
  <c r="K11" i="13" l="1"/>
  <c r="K14" i="13" s="1"/>
  <c r="F4" i="317" l="1"/>
  <c r="I4" i="317" l="1"/>
  <c r="G4" i="317"/>
  <c r="H4" i="317"/>
  <c r="F5" i="317"/>
  <c r="F6" i="317" s="1"/>
  <c r="G6" i="317" l="1"/>
  <c r="H6" i="317"/>
  <c r="I6" i="317"/>
  <c r="G5" i="317"/>
  <c r="H5" i="317"/>
  <c r="I5" i="317"/>
  <c r="F7" i="317"/>
  <c r="H7" i="317" l="1"/>
  <c r="G7" i="317"/>
  <c r="I7" i="317"/>
  <c r="F8" i="317"/>
  <c r="H8" i="317" l="1"/>
  <c r="I8" i="317"/>
  <c r="G8" i="317"/>
  <c r="F9" i="317"/>
  <c r="H9" i="317" l="1"/>
  <c r="I9" i="317"/>
  <c r="G9" i="317"/>
  <c r="F10" i="317"/>
  <c r="I10" i="317" l="1"/>
  <c r="G10" i="317"/>
  <c r="H10" i="317"/>
  <c r="F11" i="317"/>
  <c r="G11" i="317" l="1"/>
  <c r="H11" i="317"/>
  <c r="I11" i="317"/>
  <c r="F12" i="317"/>
  <c r="I12" i="317" l="1"/>
  <c r="G12" i="317"/>
  <c r="H12" i="317"/>
  <c r="F13" i="317"/>
  <c r="G13" i="317" l="1"/>
  <c r="H13" i="317"/>
  <c r="I13" i="317"/>
  <c r="F14" i="317"/>
  <c r="G14" i="317" l="1"/>
  <c r="H14" i="317"/>
  <c r="I14" i="317"/>
  <c r="F15" i="317"/>
  <c r="H15" i="317" l="1"/>
  <c r="I15" i="317"/>
  <c r="G15" i="317"/>
  <c r="F6" i="559"/>
  <c r="F10" i="559" l="1"/>
  <c r="F9" i="559"/>
  <c r="J6" i="12"/>
  <c r="F22" i="483" l="1"/>
  <c r="F23" i="483" s="1"/>
  <c r="E21" i="483"/>
  <c r="E23" i="483" s="1"/>
  <c r="O6" i="12" l="1"/>
  <c r="O7" i="12"/>
  <c r="O8" i="12"/>
  <c r="O9" i="12"/>
  <c r="O10" i="12"/>
  <c r="O11" i="12"/>
  <c r="O12" i="12"/>
  <c r="O13" i="12"/>
  <c r="O15" i="12"/>
  <c r="O16" i="12"/>
  <c r="O17" i="12"/>
  <c r="O18" i="12"/>
  <c r="O19" i="12"/>
  <c r="O20" i="12"/>
  <c r="O21" i="12"/>
  <c r="N21" i="12"/>
  <c r="N20" i="12"/>
  <c r="N19" i="12"/>
  <c r="N18" i="12"/>
  <c r="N17" i="12"/>
  <c r="N16" i="12"/>
  <c r="N15" i="12"/>
  <c r="N13" i="12"/>
  <c r="N12" i="12"/>
  <c r="N11" i="12"/>
  <c r="N10" i="12"/>
  <c r="N9" i="12"/>
  <c r="N8" i="12"/>
  <c r="N7" i="12"/>
  <c r="N6" i="12"/>
  <c r="O5" i="12"/>
  <c r="N5" i="12"/>
  <c r="M21" i="11"/>
  <c r="M20" i="11"/>
  <c r="L21" i="11"/>
  <c r="L20" i="11"/>
  <c r="M22" i="11" l="1"/>
  <c r="L22" i="11"/>
  <c r="O14" i="12"/>
  <c r="N14" i="12"/>
  <c r="M33" i="15" l="1"/>
  <c r="K32" i="15"/>
  <c r="K31" i="15" s="1"/>
  <c r="K30" i="15" l="1"/>
  <c r="M31" i="15"/>
  <c r="M32" i="15"/>
  <c r="K29" i="15" l="1"/>
  <c r="M30" i="15"/>
  <c r="L31" i="15" s="1"/>
  <c r="L32" i="15"/>
  <c r="L33" i="15"/>
  <c r="K28" i="15" l="1"/>
  <c r="M29" i="15"/>
  <c r="L30" i="15" s="1"/>
  <c r="K27" i="15" l="1"/>
  <c r="M28" i="15"/>
  <c r="L29" i="15" s="1"/>
  <c r="K26" i="15" l="1"/>
  <c r="M27" i="15"/>
  <c r="L27" i="15" s="1"/>
  <c r="L28" i="15" l="1"/>
  <c r="G10" i="487" l="1"/>
  <c r="C12" i="487"/>
  <c r="A5" i="487"/>
  <c r="A6" i="487" s="1"/>
  <c r="A7" i="487" s="1"/>
  <c r="A8" i="487" s="1"/>
  <c r="A9" i="487" s="1"/>
  <c r="A10" i="487" s="1"/>
  <c r="B14" i="485" l="1"/>
  <c r="B12" i="485"/>
  <c r="E17" i="483" l="1"/>
  <c r="E16" i="483"/>
  <c r="E12" i="483"/>
  <c r="B22" i="483"/>
  <c r="B20" i="483"/>
  <c r="B18" i="483"/>
  <c r="B17" i="483"/>
  <c r="B15" i="483"/>
  <c r="B14" i="483"/>
  <c r="B12" i="483"/>
  <c r="H13" i="482" l="1"/>
  <c r="G13" i="482"/>
  <c r="D21" i="482" a="1"/>
  <c r="D22" i="482" s="1"/>
  <c r="B21" i="482" a="1"/>
  <c r="B22" i="482" s="1"/>
  <c r="C21" i="482" a="1"/>
  <c r="C22" i="482" s="1"/>
  <c r="C19" i="482"/>
  <c r="D19" i="482"/>
  <c r="B19" i="482"/>
  <c r="C17" i="482"/>
  <c r="D17" i="482"/>
  <c r="B17" i="482"/>
  <c r="C15" i="482"/>
  <c r="D15" i="482"/>
  <c r="B15" i="482"/>
  <c r="C13" i="482"/>
  <c r="D13" i="482"/>
  <c r="B13" i="482"/>
  <c r="C21" i="482" l="1"/>
  <c r="B21" i="482"/>
  <c r="D21" i="482"/>
  <c r="A23" i="481"/>
  <c r="A24" i="481" s="1"/>
  <c r="A25" i="481" s="1"/>
  <c r="A26" i="481" s="1"/>
  <c r="A27" i="481" s="1"/>
  <c r="A28" i="481" s="1"/>
  <c r="A29" i="481" s="1"/>
  <c r="A30" i="481" s="1"/>
  <c r="A31" i="481" s="1"/>
  <c r="A5" i="481"/>
  <c r="A6" i="481" s="1"/>
  <c r="A7" i="481" s="1"/>
  <c r="A8" i="481" s="1"/>
  <c r="A9" i="481" s="1"/>
  <c r="A10" i="481" s="1"/>
  <c r="A11" i="481" s="1"/>
  <c r="A12" i="481" s="1"/>
  <c r="A13" i="481" s="1"/>
  <c r="K14" i="15" l="1"/>
  <c r="M14" i="15" s="1"/>
  <c r="K13" i="15" l="1"/>
  <c r="M13" i="15" l="1"/>
  <c r="K12" i="15"/>
  <c r="M12" i="15" l="1"/>
  <c r="K11" i="15"/>
  <c r="L14" i="15"/>
  <c r="K10" i="15" l="1"/>
  <c r="M11" i="15"/>
  <c r="L13" i="15"/>
  <c r="K9" i="15" l="1"/>
  <c r="M10" i="15"/>
  <c r="L12" i="15"/>
  <c r="K8" i="15" l="1"/>
  <c r="M9" i="15"/>
  <c r="L9" i="15" s="1"/>
  <c r="L11" i="15"/>
  <c r="L10" i="15" l="1"/>
  <c r="B20" i="8" l="1"/>
  <c r="B11" i="363" l="1"/>
  <c r="B5" i="363"/>
  <c r="B6" i="363" s="1"/>
  <c r="B7" i="363" s="1"/>
  <c r="A12" i="363"/>
  <c r="A13" i="363" s="1"/>
  <c r="C13" i="363" l="1"/>
  <c r="B13" i="363"/>
  <c r="B12" i="363"/>
  <c r="C11" i="363"/>
  <c r="C12" i="363"/>
  <c r="A14" i="363"/>
  <c r="C14" i="363" l="1"/>
  <c r="B14" i="363"/>
  <c r="A15" i="363"/>
  <c r="A16" i="363" s="1"/>
  <c r="C16" i="363" l="1"/>
  <c r="B16" i="363"/>
  <c r="B15" i="363"/>
  <c r="C15" i="363"/>
  <c r="A17" i="363"/>
  <c r="C17" i="363" l="1"/>
  <c r="B17" i="363"/>
  <c r="A18" i="363"/>
  <c r="C18" i="363" l="1"/>
  <c r="B18" i="363"/>
  <c r="A19" i="363"/>
  <c r="B19" i="363" l="1"/>
  <c r="C19" i="363"/>
  <c r="A20" i="363"/>
  <c r="C20" i="363" l="1"/>
  <c r="B20" i="363"/>
  <c r="A21" i="363"/>
  <c r="C21" i="363" l="1"/>
  <c r="B21" i="363"/>
  <c r="A22" i="363"/>
  <c r="C22" i="363" l="1"/>
  <c r="B22" i="363"/>
  <c r="A23" i="363"/>
  <c r="B23" i="363" l="1"/>
  <c r="C23" i="363"/>
  <c r="A24" i="363"/>
  <c r="C24" i="363" l="1"/>
  <c r="B24" i="363"/>
  <c r="A25" i="363"/>
  <c r="C25" i="363" l="1"/>
  <c r="B25" i="363"/>
  <c r="A26" i="363"/>
  <c r="B26" i="363" l="1"/>
  <c r="C26" i="363"/>
  <c r="A27" i="363"/>
  <c r="B27" i="363" l="1"/>
  <c r="C27" i="363"/>
  <c r="A28" i="363"/>
  <c r="C28" i="363" l="1"/>
  <c r="B28" i="363"/>
  <c r="A29" i="363"/>
  <c r="C29" i="363" l="1"/>
  <c r="B29" i="363"/>
  <c r="A30" i="363"/>
  <c r="C30" i="363" l="1"/>
  <c r="B30" i="363"/>
  <c r="A31" i="363"/>
  <c r="B31" i="363" l="1"/>
  <c r="C31" i="363"/>
  <c r="A141" i="17" l="1"/>
  <c r="C141" i="17" s="1"/>
  <c r="B11" i="315" l="1"/>
  <c r="A142" i="17"/>
  <c r="B141" i="17"/>
  <c r="A143" i="17" l="1"/>
  <c r="B142" i="17"/>
  <c r="C142" i="17"/>
  <c r="C143" i="17" l="1"/>
  <c r="B143" i="17"/>
  <c r="A144" i="17"/>
  <c r="A145" i="17" l="1"/>
  <c r="B144" i="17"/>
  <c r="C144" i="17"/>
  <c r="A146" i="17" l="1"/>
  <c r="C145" i="17"/>
  <c r="B145" i="17"/>
  <c r="A147" i="17" l="1"/>
  <c r="B146" i="17"/>
  <c r="C146" i="17"/>
  <c r="A148" i="17" l="1"/>
  <c r="C147" i="17"/>
  <c r="B147" i="17"/>
  <c r="A149" i="17" l="1"/>
  <c r="B148" i="17"/>
  <c r="C148" i="17"/>
  <c r="A150" i="17" l="1"/>
  <c r="B149" i="17"/>
  <c r="C149" i="17"/>
  <c r="C150" i="17" l="1"/>
  <c r="A151" i="17"/>
  <c r="B150" i="17"/>
  <c r="C151" i="17" l="1"/>
  <c r="A152" i="17"/>
  <c r="B151" i="17"/>
  <c r="B152" i="17" l="1"/>
  <c r="A153" i="17"/>
  <c r="C152" i="17"/>
  <c r="C153" i="17" l="1"/>
  <c r="B153" i="17"/>
  <c r="A154" i="17"/>
  <c r="A155" i="17" l="1"/>
  <c r="B154" i="17"/>
  <c r="C154" i="17"/>
  <c r="A156" i="17" l="1"/>
  <c r="C155" i="17"/>
  <c r="B155" i="17"/>
  <c r="B156" i="17" l="1"/>
  <c r="A157" i="17"/>
  <c r="C156" i="17"/>
  <c r="B157" i="17" l="1"/>
  <c r="C157" i="17"/>
  <c r="A158" i="17"/>
  <c r="C158" i="17" l="1"/>
  <c r="A159" i="17"/>
  <c r="B158" i="17"/>
  <c r="C159" i="17" l="1"/>
  <c r="A160" i="17"/>
  <c r="B159" i="17"/>
  <c r="C160" i="17" l="1"/>
  <c r="A161" i="17"/>
  <c r="B160" i="17"/>
  <c r="C161" i="17" l="1"/>
  <c r="B161" i="17"/>
  <c r="A162" i="17"/>
  <c r="A163" i="17" l="1"/>
  <c r="B162" i="17"/>
  <c r="C162" i="17"/>
  <c r="C163" i="17" l="1"/>
  <c r="A164" i="17"/>
  <c r="B163" i="17"/>
  <c r="C164" i="17" l="1"/>
  <c r="A165" i="17"/>
  <c r="B164" i="17"/>
  <c r="C165" i="17" l="1"/>
  <c r="B165" i="17"/>
  <c r="A166" i="17"/>
  <c r="A167" i="17" l="1"/>
  <c r="C166" i="17"/>
  <c r="B166" i="17"/>
  <c r="B167" i="17" l="1"/>
  <c r="C167" i="17"/>
  <c r="A168" i="17"/>
  <c r="A169" i="17" l="1"/>
  <c r="B168" i="17"/>
  <c r="C168" i="17"/>
  <c r="C169" i="17" l="1"/>
  <c r="A170" i="17"/>
  <c r="B169" i="17"/>
  <c r="B170" i="17" l="1"/>
  <c r="A171" i="17"/>
  <c r="C170" i="17"/>
  <c r="A172" i="17" l="1"/>
  <c r="B171" i="17"/>
  <c r="C171" i="17"/>
  <c r="B172" i="17" l="1"/>
  <c r="C172" i="17"/>
  <c r="B24" i="8" l="1"/>
  <c r="B22" i="8"/>
  <c r="B23" i="8" s="1"/>
  <c r="C57" i="54" l="1"/>
  <c r="B40" i="54"/>
  <c r="C43" i="54" s="1"/>
  <c r="C29" i="54"/>
  <c r="B11" i="54"/>
  <c r="B9" i="54"/>
  <c r="C15" i="54" l="1"/>
  <c r="A30" i="23" l="1"/>
  <c r="A31" i="23" s="1"/>
  <c r="B29" i="23"/>
  <c r="A5" i="23"/>
  <c r="B5" i="23" s="1"/>
  <c r="B4" i="23"/>
  <c r="A6" i="23" l="1"/>
  <c r="B31" i="23"/>
  <c r="A32" i="23"/>
  <c r="B30" i="23"/>
  <c r="A7" i="23" l="1"/>
  <c r="B6" i="23"/>
  <c r="A33" i="23"/>
  <c r="B32" i="23"/>
  <c r="A8" i="23" l="1"/>
  <c r="B7" i="23"/>
  <c r="B33" i="23"/>
  <c r="A34" i="23"/>
  <c r="B8" i="23" l="1"/>
  <c r="A9" i="23"/>
  <c r="A35" i="23"/>
  <c r="B34" i="23"/>
  <c r="A10" i="23" l="1"/>
  <c r="B9" i="23"/>
  <c r="B35" i="23"/>
  <c r="A36" i="23"/>
  <c r="A11" i="23" l="1"/>
  <c r="B10" i="23"/>
  <c r="A37" i="23"/>
  <c r="B36" i="23"/>
  <c r="A12" i="23" l="1"/>
  <c r="B11" i="23"/>
  <c r="B37" i="23"/>
  <c r="A38" i="23"/>
  <c r="B140" i="17"/>
  <c r="A108" i="17"/>
  <c r="B108" i="17" s="1"/>
  <c r="A4" i="17"/>
  <c r="B4" i="17" s="1"/>
  <c r="E4" i="15" a="1"/>
  <c r="E7" i="15" s="1"/>
  <c r="O6" i="13"/>
  <c r="S8" i="13"/>
  <c r="R14" i="13" s="1"/>
  <c r="G8" i="13"/>
  <c r="D15" i="13" s="1"/>
  <c r="T7" i="13"/>
  <c r="V7" i="13" s="1"/>
  <c r="I7" i="13"/>
  <c r="H7" i="13"/>
  <c r="T6" i="13"/>
  <c r="V6" i="13" s="1"/>
  <c r="I6" i="13"/>
  <c r="H6" i="13"/>
  <c r="T5" i="13"/>
  <c r="V5" i="13" s="1"/>
  <c r="O5" i="13"/>
  <c r="I5" i="13"/>
  <c r="H5" i="13"/>
  <c r="T4" i="13"/>
  <c r="V4" i="13" s="1"/>
  <c r="O4" i="13"/>
  <c r="I4" i="13"/>
  <c r="H4" i="13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G22" i="11"/>
  <c r="G20" i="11"/>
  <c r="G18" i="11"/>
  <c r="G17" i="11"/>
  <c r="G16" i="11"/>
  <c r="G15" i="11"/>
  <c r="G14" i="11"/>
  <c r="G12" i="11"/>
  <c r="G11" i="11"/>
  <c r="G10" i="11"/>
  <c r="G9" i="11"/>
  <c r="G8" i="11"/>
  <c r="G7" i="11"/>
  <c r="G5" i="11"/>
  <c r="I8" i="11" l="1"/>
  <c r="I12" i="11"/>
  <c r="I16" i="11"/>
  <c r="I9" i="11"/>
  <c r="I13" i="11"/>
  <c r="I6" i="11"/>
  <c r="I10" i="11"/>
  <c r="I14" i="11"/>
  <c r="I7" i="11"/>
  <c r="I11" i="11"/>
  <c r="I15" i="11"/>
  <c r="G13" i="11"/>
  <c r="G6" i="11"/>
  <c r="K14" i="12"/>
  <c r="R11" i="13"/>
  <c r="J14" i="12"/>
  <c r="D12" i="13"/>
  <c r="E6" i="15"/>
  <c r="A109" i="17"/>
  <c r="B109" i="17" s="1"/>
  <c r="V8" i="13"/>
  <c r="Q14" i="13" s="1"/>
  <c r="H8" i="13"/>
  <c r="F11" i="13" s="1"/>
  <c r="U5" i="13"/>
  <c r="E4" i="15"/>
  <c r="E8" i="15"/>
  <c r="I8" i="13"/>
  <c r="F14" i="13" s="1"/>
  <c r="U6" i="13"/>
  <c r="E5" i="15"/>
  <c r="B12" i="23"/>
  <c r="A13" i="23"/>
  <c r="A39" i="23"/>
  <c r="B39" i="23" s="1"/>
  <c r="B38" i="23"/>
  <c r="A5" i="17"/>
  <c r="U4" i="13"/>
  <c r="U7" i="13"/>
  <c r="G14" i="13"/>
  <c r="D13" i="13"/>
  <c r="G11" i="13"/>
  <c r="D14" i="13"/>
  <c r="B13" i="8"/>
  <c r="B14" i="8" s="1"/>
  <c r="B15" i="8" s="1"/>
  <c r="B11" i="8"/>
  <c r="B10" i="8"/>
  <c r="B9" i="8"/>
  <c r="A110" i="17" l="1"/>
  <c r="B110" i="17" s="1"/>
  <c r="H11" i="13"/>
  <c r="H14" i="13" s="1"/>
  <c r="I14" i="13" s="1"/>
  <c r="G21" i="11"/>
  <c r="B17" i="8"/>
  <c r="B18" i="8" s="1"/>
  <c r="A14" i="23"/>
  <c r="B13" i="23"/>
  <c r="B5" i="17"/>
  <c r="A6" i="17"/>
  <c r="U8" i="13"/>
  <c r="Q11" i="13" s="1"/>
  <c r="S11" i="13" s="1"/>
  <c r="S14" i="13" s="1"/>
  <c r="T14" i="13" s="1"/>
  <c r="D8" i="7"/>
  <c r="D7" i="7"/>
  <c r="D6" i="7"/>
  <c r="D5" i="7"/>
  <c r="D4" i="7"/>
  <c r="A5" i="6"/>
  <c r="C4" i="6"/>
  <c r="C5" i="6" s="1"/>
  <c r="C6" i="6" s="1"/>
  <c r="C7" i="6" s="1"/>
  <c r="C8" i="6" s="1"/>
  <c r="C9" i="6" s="1"/>
  <c r="C10" i="6" s="1"/>
  <c r="C11" i="6" s="1"/>
  <c r="A5" i="4"/>
  <c r="A6" i="4" s="1"/>
  <c r="A7" i="4" s="1"/>
  <c r="A8" i="4" s="1"/>
  <c r="A9" i="4" s="1"/>
  <c r="A10" i="4" s="1"/>
  <c r="A11" i="4" s="1"/>
  <c r="A12" i="4" s="1"/>
  <c r="A13" i="4" s="1"/>
  <c r="D11" i="2"/>
  <c r="C11" i="2"/>
  <c r="B11" i="2"/>
  <c r="A6" i="6" l="1"/>
  <c r="A7" i="6" s="1"/>
  <c r="A8" i="6" s="1"/>
  <c r="A9" i="6" s="1"/>
  <c r="A10" i="6" s="1"/>
  <c r="A11" i="6" s="1"/>
  <c r="A111" i="17"/>
  <c r="A112" i="17" s="1"/>
  <c r="D9" i="7"/>
  <c r="E5" i="7" s="1"/>
  <c r="B19" i="8"/>
  <c r="B14" i="23"/>
  <c r="A15" i="23"/>
  <c r="A7" i="17"/>
  <c r="B6" i="17"/>
  <c r="C16" i="6" l="1"/>
  <c r="B111" i="17"/>
  <c r="E6" i="7"/>
  <c r="E7" i="7"/>
  <c r="E8" i="7"/>
  <c r="E4" i="7"/>
  <c r="A16" i="23"/>
  <c r="B15" i="23"/>
  <c r="B7" i="17"/>
  <c r="A8" i="17"/>
  <c r="B112" i="17"/>
  <c r="A113" i="17"/>
  <c r="B16" i="23" l="1"/>
  <c r="A17" i="23"/>
  <c r="A9" i="17"/>
  <c r="B8" i="17"/>
  <c r="B113" i="17"/>
  <c r="A114" i="17"/>
  <c r="A18" i="23" l="1"/>
  <c r="B17" i="23"/>
  <c r="B9" i="17"/>
  <c r="A10" i="17"/>
  <c r="B114" i="17"/>
  <c r="A115" i="17"/>
  <c r="A19" i="23" l="1"/>
  <c r="B18" i="23"/>
  <c r="A11" i="17"/>
  <c r="B10" i="17"/>
  <c r="B115" i="17"/>
  <c r="A116" i="17"/>
  <c r="A20" i="23" l="1"/>
  <c r="B19" i="23"/>
  <c r="B116" i="17"/>
  <c r="A117" i="17"/>
  <c r="B11" i="17"/>
  <c r="A12" i="17"/>
  <c r="B20" i="23" l="1"/>
  <c r="A21" i="23"/>
  <c r="B12" i="17"/>
  <c r="A13" i="17"/>
  <c r="B117" i="17"/>
  <c r="A118" i="17"/>
  <c r="A22" i="23" l="1"/>
  <c r="B21" i="23"/>
  <c r="B118" i="17"/>
  <c r="A119" i="17"/>
  <c r="B13" i="17"/>
  <c r="A14" i="17"/>
  <c r="B22" i="23" l="1"/>
  <c r="A23" i="23"/>
  <c r="A15" i="17"/>
  <c r="B14" i="17"/>
  <c r="B119" i="17"/>
  <c r="A120" i="17"/>
  <c r="B23" i="23" l="1"/>
  <c r="A24" i="23"/>
  <c r="B24" i="23" s="1"/>
  <c r="B15" i="17"/>
  <c r="A16" i="17"/>
  <c r="B120" i="17"/>
  <c r="A121" i="17"/>
  <c r="B121" i="17" l="1"/>
  <c r="A122" i="17"/>
  <c r="B16" i="17"/>
  <c r="A17" i="17"/>
  <c r="B17" i="17" l="1"/>
  <c r="A18" i="17"/>
  <c r="B122" i="17"/>
  <c r="A123" i="17"/>
  <c r="A19" i="17" l="1"/>
  <c r="B18" i="17"/>
  <c r="B123" i="17"/>
  <c r="A124" i="17"/>
  <c r="B124" i="17" l="1"/>
  <c r="A125" i="17"/>
  <c r="B19" i="17"/>
  <c r="A20" i="17"/>
  <c r="B20" i="17" l="1"/>
  <c r="A21" i="17"/>
  <c r="B125" i="17"/>
  <c r="A126" i="17"/>
  <c r="B126" i="17" l="1"/>
  <c r="A127" i="17"/>
  <c r="B21" i="17"/>
  <c r="A22" i="17"/>
  <c r="A23" i="17" l="1"/>
  <c r="B22" i="17"/>
  <c r="B127" i="17"/>
  <c r="A128" i="17"/>
  <c r="B128" i="17" l="1"/>
  <c r="A129" i="17"/>
  <c r="B23" i="17"/>
  <c r="A24" i="17"/>
  <c r="B129" i="17" l="1"/>
  <c r="A130" i="17"/>
  <c r="A25" i="17"/>
  <c r="B24" i="17"/>
  <c r="B25" i="17" l="1"/>
  <c r="A26" i="17"/>
  <c r="B130" i="17"/>
  <c r="A131" i="17"/>
  <c r="A27" i="17" l="1"/>
  <c r="B26" i="17"/>
  <c r="B131" i="17"/>
  <c r="A132" i="17"/>
  <c r="B27" i="17" l="1"/>
  <c r="A28" i="17"/>
  <c r="B132" i="17"/>
  <c r="A133" i="17"/>
  <c r="B133" i="17" s="1"/>
  <c r="B28" i="17" l="1"/>
  <c r="A29" i="17"/>
  <c r="B29" i="17" l="1"/>
  <c r="A30" i="17"/>
  <c r="B30" i="17" l="1"/>
  <c r="A31" i="17"/>
  <c r="B31" i="17" l="1"/>
  <c r="A32" i="17"/>
  <c r="B32" i="17" l="1"/>
  <c r="A33" i="17"/>
  <c r="B33" i="17" l="1"/>
  <c r="A34" i="17"/>
  <c r="B34" i="17" l="1"/>
  <c r="A35" i="17"/>
  <c r="B35" i="17" l="1"/>
  <c r="A36" i="17"/>
  <c r="B36" i="17" l="1"/>
  <c r="A37" i="17"/>
  <c r="B37" i="17" l="1"/>
  <c r="A38" i="17"/>
  <c r="B38" i="17" l="1"/>
  <c r="A39" i="17"/>
  <c r="B39" i="17" l="1"/>
  <c r="A40" i="17"/>
  <c r="B40" i="17" l="1"/>
  <c r="A41" i="17"/>
  <c r="B41" i="17" l="1"/>
  <c r="A42" i="17"/>
  <c r="B42" i="17" l="1"/>
  <c r="A43" i="17"/>
  <c r="B43" i="17" l="1"/>
  <c r="A44" i="17"/>
  <c r="B44" i="17" l="1"/>
  <c r="A45" i="17"/>
  <c r="B45" i="17" l="1"/>
  <c r="A46" i="17"/>
  <c r="B46" i="17" l="1"/>
  <c r="A47" i="17"/>
  <c r="B47" i="17" l="1"/>
  <c r="A48" i="17"/>
  <c r="B48" i="17" l="1"/>
  <c r="A49" i="17"/>
  <c r="B49" i="17" l="1"/>
  <c r="A50" i="17"/>
  <c r="B50" i="17" l="1"/>
  <c r="A51" i="17"/>
  <c r="B51" i="17" l="1"/>
  <c r="A52" i="17"/>
  <c r="B52" i="17" l="1"/>
  <c r="A53" i="17"/>
  <c r="B53" i="17" l="1"/>
  <c r="A54" i="17"/>
  <c r="B54" i="17" l="1"/>
  <c r="A55" i="17"/>
  <c r="B55" i="17" l="1"/>
  <c r="A56" i="17"/>
  <c r="B56" i="17" l="1"/>
  <c r="A57" i="17"/>
  <c r="B57" i="17" l="1"/>
  <c r="A58" i="17"/>
  <c r="B58" i="17" l="1"/>
  <c r="A59" i="17"/>
  <c r="B59" i="17" l="1"/>
  <c r="A60" i="17"/>
  <c r="B60" i="17" l="1"/>
  <c r="A61" i="17"/>
  <c r="B61" i="17" l="1"/>
  <c r="A62" i="17"/>
  <c r="B62" i="17" l="1"/>
  <c r="A63" i="17"/>
  <c r="B63" i="17" l="1"/>
  <c r="A64" i="17"/>
  <c r="B64" i="17" l="1"/>
  <c r="A65" i="17"/>
  <c r="B65" i="17" l="1"/>
  <c r="A66" i="17"/>
  <c r="B66" i="17" l="1"/>
  <c r="A67" i="17"/>
  <c r="B67" i="17" l="1"/>
  <c r="A68" i="17"/>
  <c r="B68" i="17" l="1"/>
  <c r="A69" i="17"/>
  <c r="B69" i="17" l="1"/>
  <c r="A70" i="17"/>
  <c r="B70" i="17" l="1"/>
  <c r="A71" i="17"/>
  <c r="B71" i="17" l="1"/>
  <c r="A72" i="17"/>
  <c r="B72" i="17" l="1"/>
  <c r="A73" i="17"/>
  <c r="B73" i="17" l="1"/>
  <c r="A74" i="17"/>
  <c r="B74" i="17" l="1"/>
  <c r="A75" i="17"/>
  <c r="B75" i="17" l="1"/>
  <c r="A76" i="17"/>
  <c r="B76" i="17" l="1"/>
  <c r="A77" i="17"/>
  <c r="B77" i="17" l="1"/>
  <c r="A78" i="17"/>
  <c r="B78" i="17" l="1"/>
  <c r="A79" i="17"/>
  <c r="B79" i="17" l="1"/>
  <c r="A80" i="17"/>
  <c r="B80" i="17" l="1"/>
  <c r="A81" i="17"/>
  <c r="B81" i="17" l="1"/>
  <c r="A82" i="17"/>
  <c r="B82" i="17" l="1"/>
  <c r="A83" i="17"/>
  <c r="B83" i="17" l="1"/>
  <c r="A84" i="17"/>
  <c r="B84" i="17" l="1"/>
  <c r="A85" i="17"/>
  <c r="B85" i="17" l="1"/>
  <c r="A86" i="17"/>
  <c r="B86" i="17" l="1"/>
  <c r="A87" i="17"/>
  <c r="B87" i="17" l="1"/>
  <c r="A88" i="17"/>
  <c r="B88" i="17" l="1"/>
  <c r="A89" i="17"/>
  <c r="B89" i="17" l="1"/>
  <c r="A90" i="17"/>
  <c r="B90" i="17" l="1"/>
  <c r="A91" i="17"/>
  <c r="B91" i="17" l="1"/>
  <c r="A92" i="17"/>
  <c r="B92" i="17" l="1"/>
  <c r="A93" i="17"/>
  <c r="B93" i="17" l="1"/>
  <c r="A94" i="17"/>
  <c r="B94" i="17" l="1"/>
  <c r="A95" i="17"/>
  <c r="B95" i="17" l="1"/>
  <c r="A96" i="17"/>
  <c r="B96" i="17" l="1"/>
  <c r="A97" i="17"/>
  <c r="B97" i="17" l="1"/>
  <c r="A98" i="17"/>
  <c r="B98" i="17" l="1"/>
  <c r="A99" i="17"/>
  <c r="B99" i="17" l="1"/>
  <c r="A100" i="17"/>
  <c r="B100" i="17" l="1"/>
  <c r="A101" i="17"/>
  <c r="B101" i="17" l="1"/>
  <c r="A102" i="17"/>
  <c r="B102" i="17" l="1"/>
  <c r="A103" i="17"/>
  <c r="B103" i="17" l="1"/>
  <c r="A104" i="17"/>
  <c r="B104" i="17" s="1"/>
</calcChain>
</file>

<file path=xl/sharedStrings.xml><?xml version="1.0" encoding="utf-8"?>
<sst xmlns="http://schemas.openxmlformats.org/spreadsheetml/2006/main" count="494" uniqueCount="282">
  <si>
    <t>Results of Marketing Campaign</t>
  </si>
  <si>
    <t>(sales in millions of euros)</t>
  </si>
  <si>
    <t>Brand A</t>
  </si>
  <si>
    <t>Brand B</t>
  </si>
  <si>
    <t>Brand C</t>
  </si>
  <si>
    <t>London</t>
  </si>
  <si>
    <t>Paris</t>
  </si>
  <si>
    <t>Rome</t>
  </si>
  <si>
    <t>Madrid</t>
  </si>
  <si>
    <t>Vienna</t>
  </si>
  <si>
    <t>Berlin</t>
  </si>
  <si>
    <t>Total</t>
  </si>
  <si>
    <t>Average Income by Age</t>
  </si>
  <si>
    <t>Revenue</t>
  </si>
  <si>
    <t>Age</t>
  </si>
  <si>
    <t>Income</t>
  </si>
  <si>
    <t>Frequency/Distribution Functions</t>
  </si>
  <si>
    <t>x</t>
  </si>
  <si>
    <t>f(x)</t>
  </si>
  <si>
    <t>F(x)</t>
  </si>
  <si>
    <t>Frequency Function</t>
  </si>
  <si>
    <t>f</t>
  </si>
  <si>
    <t>Geometric Mean</t>
  </si>
  <si>
    <t>If you earn 5% interest in year 1, 8% in year 2 and 10% interest in year 3, the average interest is given by the geometric mean</t>
  </si>
  <si>
    <t>Interest - year 1</t>
  </si>
  <si>
    <t>Int1</t>
  </si>
  <si>
    <t>Interest - year 2</t>
  </si>
  <si>
    <t>Int2</t>
  </si>
  <si>
    <t>Interest - year 3</t>
  </si>
  <si>
    <t>Int3</t>
  </si>
  <si>
    <t>Return from year 1</t>
  </si>
  <si>
    <t>= 1 + Int1</t>
  </si>
  <si>
    <t>Return from year 2</t>
  </si>
  <si>
    <t>= 1 + Int2</t>
  </si>
  <si>
    <t>Return from year 3</t>
  </si>
  <si>
    <t>= 1 + Int3</t>
  </si>
  <si>
    <t>Return after year 1</t>
  </si>
  <si>
    <t>= 1 +  Int1</t>
  </si>
  <si>
    <t>Return after year 2</t>
  </si>
  <si>
    <t>= (1 + Int1) * (1 + Int2)</t>
  </si>
  <si>
    <t>Return after year 3</t>
  </si>
  <si>
    <t>= (1 + Int1) * (1 + Int2) * (1 + Int3)</t>
  </si>
  <si>
    <t>Average annual return</t>
  </si>
  <si>
    <t>= SQRT((1 + Int1) * (1 + Int2) * (1 + Int3)) = GEOMEAN(1 + Int1, 1+ Int2, 1 + Int3)</t>
  </si>
  <si>
    <t>Average interest</t>
  </si>
  <si>
    <t>= 1 - Average annual return</t>
  </si>
  <si>
    <t>Total return</t>
  </si>
  <si>
    <t>= (1 + Average Interest) ^ 3 = Return after 3 years as calculated above</t>
  </si>
  <si>
    <t>mean</t>
  </si>
  <si>
    <t>var</t>
  </si>
  <si>
    <t>stdev</t>
  </si>
  <si>
    <t>Scores</t>
  </si>
  <si>
    <t>Calculations using Excel functions</t>
  </si>
  <si>
    <t>Calculation of MAD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</si>
  <si>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</si>
  <si>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</si>
  <si>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</si>
  <si>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</si>
  <si>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</si>
  <si>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</si>
  <si>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</si>
  <si>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</si>
  <si>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</si>
  <si>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</si>
  <si>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</si>
  <si>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</si>
  <si>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</si>
  <si>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Geometric mean</t>
  </si>
  <si>
    <t>Harmonic mean</t>
  </si>
  <si>
    <t>Harmonic Mean</t>
  </si>
  <si>
    <t>AAD</t>
  </si>
  <si>
    <t>MAD</t>
  </si>
  <si>
    <t>IQR</t>
  </si>
  <si>
    <t>Descriptive Statistics</t>
  </si>
  <si>
    <t>Two sample example using Descriptive Statistics data analysis tool</t>
  </si>
  <si>
    <t>Sample 1</t>
  </si>
  <si>
    <t>Sample 2</t>
  </si>
  <si>
    <t>Mean and Variance based on Frequency Tables</t>
  </si>
  <si>
    <t>freq</t>
  </si>
  <si>
    <t>fx</t>
  </si>
  <si>
    <r>
      <t>fx</t>
    </r>
    <r>
      <rPr>
        <vertAlign val="superscript"/>
        <sz val="11"/>
        <color theme="1"/>
        <rFont val="Calibri"/>
        <family val="2"/>
        <scheme val="minor"/>
      </rPr>
      <t>2</t>
    </r>
  </si>
  <si>
    <t>lower</t>
  </si>
  <si>
    <t>upper</t>
  </si>
  <si>
    <t>midpt</t>
  </si>
  <si>
    <t>n</t>
  </si>
  <si>
    <t>Frequency</t>
  </si>
  <si>
    <t>Bins</t>
  </si>
  <si>
    <t>over 80</t>
  </si>
  <si>
    <t>Histogram data analysis tool</t>
  </si>
  <si>
    <t>Bin</t>
  </si>
  <si>
    <t>More</t>
  </si>
  <si>
    <t>Normal distribution</t>
  </si>
  <si>
    <t>IQ Score</t>
  </si>
  <si>
    <t>z-scores</t>
  </si>
  <si>
    <t>Comparing the IQ of two populations</t>
  </si>
  <si>
    <t>One with standard IQ scores, the other with a mean 16 points higher</t>
  </si>
  <si>
    <t>P1</t>
  </si>
  <si>
    <t>P2</t>
  </si>
  <si>
    <t>IQ Example - mean = 100, std dev = 16</t>
  </si>
  <si>
    <t>Frequency Table</t>
  </si>
  <si>
    <t>a</t>
  </si>
  <si>
    <t>b</t>
  </si>
  <si>
    <t>Q1</t>
  </si>
  <si>
    <t>Data</t>
  </si>
  <si>
    <t>std dev</t>
  </si>
  <si>
    <t>Binomial distribution</t>
  </si>
  <si>
    <t>p</t>
  </si>
  <si>
    <t>y</t>
  </si>
  <si>
    <t>Correlation - Scatter Diagrams</t>
  </si>
  <si>
    <t>Correlation coeff</t>
  </si>
  <si>
    <t>Correlation</t>
  </si>
  <si>
    <t>Skewness and Kurtosis</t>
  </si>
  <si>
    <t>SS</t>
  </si>
  <si>
    <t>cov(x,y)</t>
  </si>
  <si>
    <t>x̄</t>
  </si>
  <si>
    <t>= (1.05)(1.05)(1.1)(1.1)</t>
  </si>
  <si>
    <t>= 1.334025 ^ 0.25 -1</t>
  </si>
  <si>
    <t>= GEOMEAN(1.05,1.05,1.1,1.1) - 1</t>
  </si>
  <si>
    <t>Q3</t>
  </si>
  <si>
    <t>λ</t>
  </si>
  <si>
    <t>x1</t>
  </si>
  <si>
    <t>x2</t>
  </si>
  <si>
    <t>P(x &lt; x1)</t>
  </si>
  <si>
    <t>P(x &lt; x2)</t>
  </si>
  <si>
    <t>P(x1 &lt; x &lt; x2)</t>
  </si>
  <si>
    <t>prob</t>
  </si>
  <si>
    <t>Poisson Distribution</t>
  </si>
  <si>
    <r>
      <t>x̄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</si>
  <si>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fx</t>
    </r>
    <r>
      <rPr>
        <vertAlign val="superscript"/>
        <sz val="11"/>
        <color theme="1"/>
        <rFont val="Calibri"/>
        <family val="2"/>
        <scheme val="minor"/>
      </rPr>
      <t>2</t>
    </r>
  </si>
  <si>
    <t>Σfx</t>
  </si>
  <si>
    <t>Relationship of binomial with normal distribution</t>
  </si>
  <si>
    <t>np</t>
  </si>
  <si>
    <t>np(1-p)</t>
  </si>
  <si>
    <t>B(n,p)</t>
  </si>
  <si>
    <t>N(np,stdev)</t>
  </si>
  <si>
    <t/>
  </si>
  <si>
    <r>
      <t>|x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- median(x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)|</t>
    </r>
  </si>
  <si>
    <t>= GEOMEAN(1.05,1.08,1.1) - 1</t>
  </si>
  <si>
    <t>item</t>
  </si>
  <si>
    <t>cum</t>
  </si>
  <si>
    <t>Bin size</t>
  </si>
  <si>
    <t>Using Frequency Table data analysis tool</t>
  </si>
  <si>
    <t>Rent</t>
  </si>
  <si>
    <t>Average Income and Rent by Age</t>
  </si>
  <si>
    <t>Measures of Central Tendency</t>
  </si>
  <si>
    <t>MODE</t>
  </si>
  <si>
    <t>AVERAGE</t>
  </si>
  <si>
    <t>MEDIAN</t>
  </si>
  <si>
    <t>MODE.MULT</t>
  </si>
  <si>
    <t>GEOMEAN</t>
  </si>
  <si>
    <t>Measures of Variability</t>
  </si>
  <si>
    <t>DEVSQ</t>
  </si>
  <si>
    <t>AVEDEV</t>
  </si>
  <si>
    <t>MIN</t>
  </si>
  <si>
    <t>MAX</t>
  </si>
  <si>
    <t>SKEW</t>
  </si>
  <si>
    <t>KURT</t>
  </si>
  <si>
    <t>Correlation Coefficient</t>
  </si>
  <si>
    <t>Company</t>
  </si>
  <si>
    <t>Rev Growth</t>
  </si>
  <si>
    <t>Mkg Growth</t>
  </si>
  <si>
    <t>Year</t>
  </si>
  <si>
    <t>data</t>
  </si>
  <si>
    <t>INC</t>
  </si>
  <si>
    <t>EXC</t>
  </si>
  <si>
    <t>=B4</t>
  </si>
  <si>
    <t>=B5+C4</t>
  </si>
  <si>
    <t>=B6+C5</t>
  </si>
  <si>
    <t>=B7+C6</t>
  </si>
  <si>
    <t>=B8+C7</t>
  </si>
  <si>
    <t>=B9+C8</t>
  </si>
  <si>
    <t>=B10+C9</t>
  </si>
  <si>
    <t>=B11+C10</t>
  </si>
  <si>
    <t>P(3)</t>
  </si>
  <si>
    <t xml:space="preserve">P(x ≤ 5) </t>
  </si>
  <si>
    <r>
      <t xml:space="preserve">P(3 </t>
    </r>
    <r>
      <rPr>
        <sz val="11"/>
        <color theme="1"/>
        <rFont val="Calibri"/>
        <family val="2"/>
      </rPr>
      <t>≤ x ≤ 5)</t>
    </r>
  </si>
  <si>
    <t>=PROB(A4:A11,B4:B11,3,5)</t>
  </si>
  <si>
    <t>=PROB(A4:A11,B4:B11,3)</t>
  </si>
  <si>
    <t>=PROB(A4:A11,B4:B11,,5)</t>
  </si>
  <si>
    <t>Data 1</t>
  </si>
  <si>
    <t>Data 2</t>
  </si>
  <si>
    <t>Data 3</t>
  </si>
  <si>
    <t>Data 4</t>
  </si>
  <si>
    <t>Data 5</t>
  </si>
  <si>
    <t>Data 6</t>
  </si>
  <si>
    <t>VAR.S = VAR</t>
  </si>
  <si>
    <t>VAR.P = VARP</t>
  </si>
  <si>
    <t>STDEV.S = STDEV</t>
  </si>
  <si>
    <t>STDEV.P = STDEVP</t>
  </si>
  <si>
    <t>Uniform Distribution</t>
  </si>
  <si>
    <t>a+b</t>
  </si>
  <si>
    <t>b-a</t>
  </si>
  <si>
    <t>=2*H3</t>
  </si>
  <si>
    <t>=H4*SQRT(12)</t>
  </si>
  <si>
    <t>=(H6-H7)/2</t>
  </si>
  <si>
    <t>=(H6+H7)/2</t>
  </si>
  <si>
    <t>P(x &lt; 5)</t>
  </si>
  <si>
    <t>Exponential Distribution</t>
  </si>
  <si>
    <t>1-P(t&lt;x)</t>
  </si>
  <si>
    <t>MTTF</t>
  </si>
  <si>
    <t>P(t&lt;x)</t>
  </si>
  <si>
    <t>Real Statistics - IQR using QUARTILE</t>
  </si>
  <si>
    <t>Real Statistics - IQR using QUARTILE.EXC</t>
  </si>
  <si>
    <t>MODE.SNGL</t>
  </si>
  <si>
    <t xml:space="preserve">   =NORM.DIST(A4,100,16,FALSE)</t>
  </si>
  <si>
    <t>Covariance and independence</t>
  </si>
  <si>
    <t>g(y)</t>
  </si>
  <si>
    <t>Nonlinear - Scatter Diagrams</t>
  </si>
  <si>
    <t>Scatter Chart</t>
  </si>
  <si>
    <t>=SKEW(B3:B10)</t>
  </si>
  <si>
    <t>=COUNT(B3:B10)</t>
  </si>
  <si>
    <t>=KURT(B3:B10)</t>
  </si>
  <si>
    <t>=1/B8</t>
  </si>
  <si>
    <t>=STDEV.S(B2:B25)</t>
  </si>
  <si>
    <t>=AVERAGE(B2:B25)</t>
  </si>
  <si>
    <t>=(5-F9)/(F10-F9)</t>
  </si>
  <si>
    <t>P(x &lt; 10)</t>
  </si>
  <si>
    <t>=1-EXPON.DIST(B9;B8;TRUE)</t>
  </si>
  <si>
    <t>=1-EXPON.DIST(B4;B3;TRUE)</t>
  </si>
  <si>
    <t>=EXPON.DIST(B9;B8;TRUE)</t>
  </si>
  <si>
    <t>P(10&lt;t&lt;15)</t>
  </si>
  <si>
    <t>=NORM.DIST(B7;B3;B4;TRUE)</t>
  </si>
  <si>
    <t>=NORM.DIST(B6;B3;B4;TRUE)</t>
  </si>
  <si>
    <t>=(SUMPRODUCT(F4:F7^2;G4:G7)-SUM(G4:G7)*K11^2)/(SUM(G4:G7)-1)</t>
  </si>
  <si>
    <t>=SUMPRODUCT(F4:F7;G4:G7)/SUM(G4:G7)</t>
  </si>
  <si>
    <t>n=</t>
  </si>
  <si>
    <t>p=</t>
  </si>
  <si>
    <t>x=</t>
  </si>
  <si>
    <t>Combinations</t>
  </si>
  <si>
    <r>
      <rPr>
        <i/>
        <sz val="10"/>
        <color theme="1"/>
        <rFont val="Times New Roman"/>
        <family val="1"/>
        <charset val="161"/>
      </rPr>
      <t>P</t>
    </r>
    <r>
      <rPr>
        <sz val="10"/>
        <color theme="1"/>
        <rFont val="Times New Roman"/>
        <family val="2"/>
        <charset val="161"/>
      </rPr>
      <t>(</t>
    </r>
    <r>
      <rPr>
        <i/>
        <sz val="10"/>
        <color theme="1"/>
        <rFont val="Times New Roman"/>
        <family val="1"/>
        <charset val="161"/>
      </rPr>
      <t>x</t>
    </r>
    <r>
      <rPr>
        <sz val="10"/>
        <color theme="1"/>
        <rFont val="Times New Roman"/>
        <family val="1"/>
        <charset val="161"/>
      </rPr>
      <t>=1)</t>
    </r>
  </si>
  <si>
    <r>
      <rPr>
        <i/>
        <sz val="10"/>
        <color theme="1"/>
        <rFont val="Times New Roman"/>
        <family val="1"/>
        <charset val="161"/>
      </rPr>
      <t>P</t>
    </r>
    <r>
      <rPr>
        <sz val="10"/>
        <color theme="1"/>
        <rFont val="Times New Roman"/>
        <family val="2"/>
        <charset val="161"/>
      </rPr>
      <t>(</t>
    </r>
    <r>
      <rPr>
        <i/>
        <sz val="10"/>
        <color theme="1"/>
        <rFont val="Times New Roman"/>
        <family val="1"/>
        <charset val="161"/>
      </rPr>
      <t>x</t>
    </r>
    <r>
      <rPr>
        <sz val="10"/>
        <color theme="1"/>
        <rFont val="Times New Roman"/>
        <family val="1"/>
        <charset val="161"/>
      </rPr>
      <t>=5)</t>
    </r>
  </si>
  <si>
    <r>
      <rPr>
        <i/>
        <sz val="10"/>
        <color theme="1"/>
        <rFont val="Times New Roman"/>
        <family val="1"/>
        <charset val="161"/>
      </rPr>
      <t>Pr</t>
    </r>
    <r>
      <rPr>
        <sz val="10"/>
        <color theme="1"/>
        <rFont val="Times New Roman"/>
        <family val="2"/>
        <charset val="161"/>
      </rPr>
      <t>(</t>
    </r>
    <r>
      <rPr>
        <i/>
        <sz val="10"/>
        <color theme="1"/>
        <rFont val="Times New Roman"/>
        <family val="1"/>
        <charset val="161"/>
      </rPr>
      <t xml:space="preserve">x </t>
    </r>
    <r>
      <rPr>
        <sz val="10"/>
        <color theme="1"/>
        <rFont val="Times New Roman"/>
        <family val="1"/>
        <charset val="161"/>
      </rPr>
      <t>≤ 5) = P(x=0)+P(x=1)+P(x=2)+P(x=3)+P(x=4)+P(x=5)</t>
    </r>
  </si>
  <si>
    <r>
      <rPr>
        <i/>
        <sz val="10"/>
        <color theme="1"/>
        <rFont val="Times New Roman"/>
        <family val="1"/>
        <charset val="161"/>
      </rPr>
      <t>Pr</t>
    </r>
    <r>
      <rPr>
        <sz val="10"/>
        <color theme="1"/>
        <rFont val="Times New Roman"/>
        <family val="2"/>
        <charset val="161"/>
      </rPr>
      <t>(</t>
    </r>
    <r>
      <rPr>
        <i/>
        <sz val="10"/>
        <color theme="1"/>
        <rFont val="Times New Roman"/>
        <family val="1"/>
        <charset val="161"/>
      </rPr>
      <t xml:space="preserve">x </t>
    </r>
    <r>
      <rPr>
        <sz val="10"/>
        <color theme="1"/>
        <rFont val="Times New Roman"/>
        <family val="1"/>
        <charset val="161"/>
      </rPr>
      <t>≤ 5)</t>
    </r>
  </si>
  <si>
    <r>
      <rPr>
        <i/>
        <sz val="10"/>
        <color theme="1"/>
        <rFont val="Times New Roman"/>
        <family val="1"/>
        <charset val="161"/>
      </rPr>
      <t>P</t>
    </r>
    <r>
      <rPr>
        <sz val="10"/>
        <color theme="1"/>
        <rFont val="Times New Roman"/>
        <family val="2"/>
        <charset val="161"/>
      </rPr>
      <t>(</t>
    </r>
    <r>
      <rPr>
        <i/>
        <sz val="10"/>
        <color theme="1"/>
        <rFont val="Times New Roman"/>
        <family val="1"/>
        <charset val="161"/>
      </rPr>
      <t>x</t>
    </r>
    <r>
      <rPr>
        <sz val="10"/>
        <color theme="1"/>
        <rFont val="Times New Roman"/>
        <family val="1"/>
        <charset val="161"/>
      </rPr>
      <t>=55)</t>
    </r>
  </si>
  <si>
    <r>
      <rPr>
        <i/>
        <sz val="10"/>
        <color theme="1"/>
        <rFont val="Times New Roman"/>
        <family val="1"/>
        <charset val="161"/>
      </rPr>
      <t>Pr</t>
    </r>
    <r>
      <rPr>
        <sz val="10"/>
        <color theme="1"/>
        <rFont val="Times New Roman"/>
        <family val="2"/>
        <charset val="161"/>
      </rPr>
      <t>(</t>
    </r>
    <r>
      <rPr>
        <i/>
        <sz val="10"/>
        <color theme="1"/>
        <rFont val="Times New Roman"/>
        <family val="1"/>
        <charset val="161"/>
      </rPr>
      <t xml:space="preserve">x </t>
    </r>
    <r>
      <rPr>
        <sz val="10"/>
        <color theme="1"/>
        <rFont val="Times New Roman"/>
        <family val="1"/>
        <charset val="161"/>
      </rPr>
      <t>≤ 45)</t>
    </r>
  </si>
  <si>
    <r>
      <rPr>
        <i/>
        <sz val="10"/>
        <color theme="1"/>
        <rFont val="Times New Roman"/>
        <family val="1"/>
        <charset val="161"/>
      </rPr>
      <t>Pr</t>
    </r>
    <r>
      <rPr>
        <sz val="10"/>
        <color theme="1"/>
        <rFont val="Times New Roman"/>
        <family val="2"/>
        <charset val="161"/>
      </rPr>
      <t>(</t>
    </r>
    <r>
      <rPr>
        <i/>
        <sz val="10"/>
        <color theme="1"/>
        <rFont val="Times New Roman"/>
        <family val="1"/>
        <charset val="161"/>
      </rPr>
      <t>x &gt;</t>
    </r>
    <r>
      <rPr>
        <sz val="10"/>
        <color theme="1"/>
        <rFont val="Times New Roman"/>
        <family val="1"/>
        <charset val="161"/>
      </rPr>
      <t xml:space="preserve"> 45) = Pr(x ≥ 46) = 1- Pr(x ≤ 45)</t>
    </r>
  </si>
  <si>
    <t>Poisson Probabilities for Customer Arrivals</t>
  </si>
  <si>
    <t>Average/Expected number of successes:</t>
  </si>
  <si>
    <t>Poisson Probabilities Table</t>
  </si>
  <si>
    <t>X</t>
  </si>
  <si>
    <t>P(X)</t>
  </si>
  <si>
    <t>P(&lt;=X)</t>
  </si>
  <si>
    <t>P(&lt;X)</t>
  </si>
  <si>
    <t>P(&gt;X)</t>
  </si>
  <si>
    <t>P(&gt;=X)</t>
  </si>
  <si>
    <r>
      <t>Subject of Study (</t>
    </r>
    <r>
      <rPr>
        <b/>
        <i/>
        <sz val="11"/>
        <color indexed="8"/>
        <rFont val="Times New Roman"/>
        <family val="1"/>
        <charset val="161"/>
      </rPr>
      <t>Υ</t>
    </r>
    <r>
      <rPr>
        <b/>
        <sz val="11"/>
        <color indexed="8"/>
        <rFont val="Times New Roman"/>
        <family val="1"/>
        <charset val="161"/>
      </rPr>
      <t>)</t>
    </r>
  </si>
  <si>
    <r>
      <t>Sex (</t>
    </r>
    <r>
      <rPr>
        <b/>
        <i/>
        <sz val="11"/>
        <color indexed="8"/>
        <rFont val="Times New Roman"/>
        <family val="1"/>
        <charset val="161"/>
      </rPr>
      <t>Χ</t>
    </r>
    <r>
      <rPr>
        <b/>
        <sz val="11"/>
        <color indexed="8"/>
        <rFont val="Times New Roman"/>
        <family val="1"/>
        <charset val="161"/>
      </rPr>
      <t>)</t>
    </r>
  </si>
  <si>
    <t>Economics (0)</t>
  </si>
  <si>
    <t>Medicine (1)</t>
  </si>
  <si>
    <t>Arts (2)</t>
  </si>
  <si>
    <r>
      <t>Male (</t>
    </r>
    <r>
      <rPr>
        <b/>
        <sz val="11"/>
        <color indexed="8"/>
        <rFont val="Times New Roman"/>
        <family val="1"/>
        <charset val="161"/>
      </rPr>
      <t>0</t>
    </r>
    <r>
      <rPr>
        <sz val="11"/>
        <color indexed="8"/>
        <rFont val="Times New Roman"/>
        <family val="1"/>
        <charset val="161"/>
      </rPr>
      <t>)</t>
    </r>
  </si>
  <si>
    <r>
      <t>Female  (</t>
    </r>
    <r>
      <rPr>
        <b/>
        <sz val="11"/>
        <color indexed="8"/>
        <rFont val="Times New Roman"/>
        <family val="1"/>
        <charset val="161"/>
      </rPr>
      <t>1</t>
    </r>
    <r>
      <rPr>
        <sz val="11"/>
        <color indexed="8"/>
        <rFont val="Times New Roman"/>
        <family val="1"/>
        <charset val="161"/>
      </rPr>
      <t>)</t>
    </r>
  </si>
  <si>
    <t>Probabilities</t>
  </si>
  <si>
    <t xml:space="preserve">E(Y|X=0) = </t>
  </si>
  <si>
    <t xml:space="preserve">E(Y|X=1) = </t>
  </si>
  <si>
    <t>Investment</t>
  </si>
  <si>
    <t>Pr(S)</t>
  </si>
  <si>
    <t>State of Economy</t>
  </si>
  <si>
    <t>Conservative: X</t>
  </si>
  <si>
    <t>Aggressive: Y</t>
  </si>
  <si>
    <t>X-μ</t>
  </si>
  <si>
    <t>Υ-μ</t>
  </si>
  <si>
    <t>Recession</t>
  </si>
  <si>
    <t>Stable</t>
  </si>
  <si>
    <t>Growth</t>
  </si>
  <si>
    <t>E(X)</t>
  </si>
  <si>
    <t>=SUM(A3:A5*C3:C5)</t>
  </si>
  <si>
    <t>E(Y)</t>
  </si>
  <si>
    <t>=SUM(A3:A5*D3:D5)</t>
  </si>
  <si>
    <t>Var(X)</t>
  </si>
  <si>
    <t>Var(Υ)</t>
  </si>
  <si>
    <r>
      <t>σ</t>
    </r>
    <r>
      <rPr>
        <vertAlign val="subscript"/>
        <sz val="11"/>
        <color indexed="8"/>
        <rFont val="Times New Roman"/>
        <family val="2"/>
        <charset val="161"/>
      </rPr>
      <t>Χ</t>
    </r>
  </si>
  <si>
    <r>
      <t>σ</t>
    </r>
    <r>
      <rPr>
        <vertAlign val="subscript"/>
        <sz val="11"/>
        <color indexed="8"/>
        <rFont val="Times New Roman"/>
        <family val="2"/>
        <charset val="161"/>
      </rPr>
      <t>Υ</t>
    </r>
  </si>
  <si>
    <t>Cov(X,Y)</t>
  </si>
  <si>
    <t>=SUM(F3:F5*G3:G5*A3:A5)</t>
  </si>
  <si>
    <r>
      <t>w</t>
    </r>
    <r>
      <rPr>
        <vertAlign val="subscript"/>
        <sz val="10"/>
        <color indexed="8"/>
        <rFont val="Times New Roman"/>
        <family val="2"/>
        <charset val="161"/>
      </rPr>
      <t>X</t>
    </r>
  </si>
  <si>
    <r>
      <t>w</t>
    </r>
    <r>
      <rPr>
        <vertAlign val="subscript"/>
        <sz val="10"/>
        <color indexed="8"/>
        <rFont val="Times New Roman"/>
        <family val="2"/>
        <charset val="161"/>
      </rPr>
      <t>Y</t>
    </r>
  </si>
  <si>
    <t>E(W)</t>
  </si>
  <si>
    <r>
      <t>σ</t>
    </r>
    <r>
      <rPr>
        <vertAlign val="subscript"/>
        <sz val="11"/>
        <color indexed="8"/>
        <rFont val="Times New Roman"/>
        <family val="2"/>
        <charset val="161"/>
      </rPr>
      <t>W</t>
    </r>
  </si>
  <si>
    <t>Returns/Returns</t>
  </si>
  <si>
    <t>Y</t>
  </si>
  <si>
    <t>=COVARIANCE.P(B4:B11;C4:C11)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</si>
</sst>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&quot;£&quot;* #,##0.00_);_(&quot;£&quot;* \(#,##0.00\);_(&quot;£&quot;* &quot;-&quot;??_);_(@_)"/>
    <numFmt numFmtId="166" formatCode="0.0000"/>
    <numFmt numFmtId="167" formatCode="0.0"/>
    <numFmt numFmtId="168" formatCode="0.00000"/>
    <numFmt numFmtId="169" formatCode="0.0%"/>
    <numFmt numFmtId="170" formatCode="0.0000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61"/>
    </font>
    <font>
      <sz val="10"/>
      <color theme="1"/>
      <name val="Times New Roman"/>
      <family val="2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i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"/>
      <family val="2"/>
    </font>
    <font>
      <sz val="10"/>
      <color indexed="8"/>
      <name val="Times New Roman"/>
      <family val="2"/>
      <charset val="161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2"/>
      <color indexed="10"/>
      <name val="Times New Roman"/>
      <family val="1"/>
      <charset val="161"/>
    </font>
    <font>
      <b/>
      <i/>
      <sz val="11"/>
      <color indexed="8"/>
      <name val="Times New Roman"/>
      <family val="1"/>
      <charset val="161"/>
    </font>
    <font>
      <sz val="11"/>
      <color indexed="8"/>
      <name val="Times New Roman"/>
      <family val="2"/>
      <charset val="161"/>
    </font>
    <font>
      <vertAlign val="subscript"/>
      <sz val="11"/>
      <color indexed="8"/>
      <name val="Times New Roman"/>
      <family val="2"/>
      <charset val="161"/>
    </font>
    <font>
      <vertAlign val="subscript"/>
      <sz val="10"/>
      <color indexed="8"/>
      <name val="Times New Roman"/>
      <family val="2"/>
      <charset val="161"/>
    </font>
    <font>
      <i/>
      <sz val="10"/>
      <color indexed="8"/>
      <name val="Times New Roman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1">
    <xf numFmtId="0" fontId="0" fillId="0" borderId="0"/>
    <xf numFmtId="0" fontId="9" fillId="0" borderId="0"/>
    <xf numFmtId="0" fontId="10" fillId="0" borderId="0"/>
    <xf numFmtId="9" fontId="3" fillId="0" borderId="0" applyFont="0" applyFill="0" applyBorder="0" applyAlignment="0" applyProtection="0"/>
    <xf numFmtId="0" fontId="2" fillId="0" borderId="0"/>
    <xf numFmtId="0" fontId="16" fillId="0" borderId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quotePrefix="1"/>
    <xf numFmtId="166" fontId="0" fillId="0" borderId="0" xfId="0" applyNumberFormat="1"/>
    <xf numFmtId="0" fontId="0" fillId="0" borderId="0" xfId="0" applyFont="1"/>
    <xf numFmtId="166" fontId="0" fillId="0" borderId="0" xfId="0" applyNumberFormat="1" applyFont="1"/>
    <xf numFmtId="0" fontId="6" fillId="0" borderId="15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16" xfId="0" applyFill="1" applyBorder="1" applyAlignment="1"/>
    <xf numFmtId="0" fontId="0" fillId="0" borderId="0" xfId="0" applyAlignment="1">
      <alignment horizontal="center"/>
    </xf>
    <xf numFmtId="0" fontId="6" fillId="0" borderId="15" xfId="0" applyFont="1" applyFill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 applyBorder="1"/>
    <xf numFmtId="168" fontId="0" fillId="0" borderId="0" xfId="0" applyNumberFormat="1"/>
    <xf numFmtId="0" fontId="0" fillId="0" borderId="17" xfId="0" applyBorder="1" applyAlignment="1">
      <alignment horizontal="center"/>
    </xf>
    <xf numFmtId="0" fontId="0" fillId="0" borderId="0" xfId="0" applyFont="1" applyBorder="1"/>
    <xf numFmtId="167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right"/>
    </xf>
    <xf numFmtId="0" fontId="5" fillId="0" borderId="0" xfId="0" applyFont="1" applyFill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0" borderId="23" xfId="0" applyBorder="1"/>
    <xf numFmtId="0" fontId="0" fillId="0" borderId="25" xfId="0" applyBorder="1"/>
    <xf numFmtId="0" fontId="0" fillId="0" borderId="22" xfId="0" applyBorder="1"/>
    <xf numFmtId="0" fontId="0" fillId="0" borderId="24" xfId="0" applyBorder="1" applyAlignment="1">
      <alignment horizontal="right"/>
    </xf>
    <xf numFmtId="0" fontId="0" fillId="0" borderId="26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27" xfId="0" applyBorder="1"/>
    <xf numFmtId="0" fontId="0" fillId="0" borderId="29" xfId="0" applyBorder="1"/>
    <xf numFmtId="0" fontId="0" fillId="0" borderId="0" xfId="0" applyAlignment="1">
      <alignment horizont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7" xfId="0" applyBorder="1" applyAlignment="1">
      <alignment horizontal="center"/>
    </xf>
    <xf numFmtId="169" fontId="0" fillId="0" borderId="31" xfId="3" applyNumberFormat="1" applyFont="1" applyBorder="1"/>
    <xf numFmtId="169" fontId="0" fillId="0" borderId="32" xfId="3" applyNumberFormat="1" applyFont="1" applyBorder="1"/>
    <xf numFmtId="169" fontId="0" fillId="0" borderId="25" xfId="3" applyNumberFormat="1" applyFont="1" applyBorder="1"/>
    <xf numFmtId="169" fontId="0" fillId="0" borderId="22" xfId="3" applyNumberFormat="1" applyFont="1" applyBorder="1"/>
    <xf numFmtId="169" fontId="0" fillId="0" borderId="18" xfId="3" applyNumberFormat="1" applyFont="1" applyBorder="1"/>
    <xf numFmtId="169" fontId="0" fillId="0" borderId="19" xfId="3" applyNumberFormat="1" applyFont="1" applyBorder="1"/>
    <xf numFmtId="169" fontId="0" fillId="0" borderId="25" xfId="3" applyNumberFormat="1" applyFont="1" applyFill="1" applyBorder="1"/>
    <xf numFmtId="169" fontId="0" fillId="0" borderId="22" xfId="3" applyNumberFormat="1" applyFont="1" applyFill="1" applyBorder="1"/>
    <xf numFmtId="0" fontId="0" fillId="0" borderId="33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center"/>
    </xf>
    <xf numFmtId="0" fontId="6" fillId="0" borderId="33" xfId="0" applyFont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0" fillId="3" borderId="3" xfId="0" applyNumberFormat="1" applyFill="1" applyBorder="1"/>
    <xf numFmtId="2" fontId="0" fillId="3" borderId="5" xfId="0" applyNumberFormat="1" applyFill="1" applyBorder="1"/>
    <xf numFmtId="2" fontId="0" fillId="3" borderId="8" xfId="0" applyNumberFormat="1" applyFill="1" applyBorder="1"/>
    <xf numFmtId="0" fontId="0" fillId="4" borderId="9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" xfId="0" applyFill="1" applyBorder="1"/>
    <xf numFmtId="0" fontId="0" fillId="4" borderId="12" xfId="0" applyFill="1" applyBorder="1"/>
    <xf numFmtId="0" fontId="0" fillId="4" borderId="4" xfId="0" applyFill="1" applyBorder="1"/>
    <xf numFmtId="0" fontId="0" fillId="4" borderId="13" xfId="0" applyFill="1" applyBorder="1"/>
    <xf numFmtId="0" fontId="0" fillId="4" borderId="6" xfId="0" applyFill="1" applyBorder="1"/>
    <xf numFmtId="0" fontId="0" fillId="4" borderId="14" xfId="0" applyFill="1" applyBorder="1"/>
    <xf numFmtId="0" fontId="0" fillId="4" borderId="0" xfId="0" applyFill="1"/>
    <xf numFmtId="0" fontId="0" fillId="3" borderId="37" xfId="0" quotePrefix="1" applyFill="1" applyBorder="1"/>
    <xf numFmtId="0" fontId="0" fillId="3" borderId="23" xfId="0" applyFill="1" applyBorder="1"/>
    <xf numFmtId="0" fontId="0" fillId="3" borderId="20" xfId="0" applyFill="1" applyBorder="1"/>
    <xf numFmtId="0" fontId="0" fillId="2" borderId="37" xfId="0" applyFill="1" applyBorder="1"/>
    <xf numFmtId="0" fontId="0" fillId="2" borderId="23" xfId="0" applyFill="1" applyBorder="1"/>
    <xf numFmtId="0" fontId="0" fillId="2" borderId="20" xfId="0" applyFill="1" applyBorder="1"/>
    <xf numFmtId="0" fontId="0" fillId="5" borderId="0" xfId="0" applyFill="1" applyBorder="1"/>
    <xf numFmtId="0" fontId="0" fillId="5" borderId="7" xfId="0" applyFill="1" applyBorder="1"/>
    <xf numFmtId="167" fontId="0" fillId="0" borderId="3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38" xfId="0" applyFont="1" applyBorder="1"/>
    <xf numFmtId="0" fontId="12" fillId="0" borderId="34" xfId="0" applyFont="1" applyBorder="1"/>
    <xf numFmtId="0" fontId="12" fillId="0" borderId="39" xfId="0" applyFont="1" applyBorder="1"/>
    <xf numFmtId="0" fontId="12" fillId="0" borderId="21" xfId="0" applyFont="1" applyBorder="1"/>
    <xf numFmtId="0" fontId="12" fillId="0" borderId="25" xfId="0" applyFont="1" applyBorder="1"/>
    <xf numFmtId="0" fontId="12" fillId="0" borderId="0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0" xfId="0" applyFont="1" applyBorder="1"/>
    <xf numFmtId="0" fontId="12" fillId="0" borderId="18" xfId="0" applyFont="1" applyBorder="1"/>
    <xf numFmtId="0" fontId="12" fillId="0" borderId="33" xfId="0" applyFont="1" applyBorder="1"/>
    <xf numFmtId="0" fontId="12" fillId="0" borderId="19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167" fontId="0" fillId="0" borderId="42" xfId="0" applyNumberFormat="1" applyBorder="1"/>
    <xf numFmtId="167" fontId="0" fillId="0" borderId="43" xfId="0" applyNumberFormat="1" applyBorder="1"/>
    <xf numFmtId="167" fontId="0" fillId="0" borderId="44" xfId="0" applyNumberFormat="1" applyBorder="1"/>
    <xf numFmtId="0" fontId="19" fillId="0" borderId="0" xfId="0" applyNumberFormat="1" applyFont="1" applyFill="1" applyBorder="1" applyAlignment="1" applyProtection="1"/>
    <xf numFmtId="0" fontId="2" fillId="0" borderId="0" xfId="4"/>
    <xf numFmtId="0" fontId="14" fillId="0" borderId="0" xfId="4" applyFont="1"/>
    <xf numFmtId="0" fontId="15" fillId="0" borderId="0" xfId="4" applyFont="1"/>
    <xf numFmtId="0" fontId="2" fillId="6" borderId="0" xfId="4" applyFill="1"/>
    <xf numFmtId="0" fontId="17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Continuous"/>
    </xf>
    <xf numFmtId="0" fontId="18" fillId="7" borderId="45" xfId="0" applyNumberFormat="1" applyFont="1" applyFill="1" applyBorder="1" applyAlignment="1" applyProtection="1"/>
    <xf numFmtId="0" fontId="17" fillId="7" borderId="45" xfId="0" applyNumberFormat="1" applyFont="1" applyFill="1" applyBorder="1" applyAlignment="1" applyProtection="1">
      <alignment horizontal="center"/>
    </xf>
    <xf numFmtId="0" fontId="16" fillId="7" borderId="45" xfId="0" applyNumberFormat="1" applyFont="1" applyFill="1" applyBorder="1" applyAlignment="1" applyProtection="1"/>
    <xf numFmtId="0" fontId="17" fillId="7" borderId="45" xfId="0" applyNumberFormat="1" applyFont="1" applyFill="1" applyBorder="1" applyAlignment="1" applyProtection="1">
      <alignment horizontal="right"/>
    </xf>
    <xf numFmtId="0" fontId="18" fillId="7" borderId="45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/>
    <xf numFmtId="0" fontId="17" fillId="8" borderId="49" xfId="0" applyNumberFormat="1" applyFont="1" applyFill="1" applyBorder="1" applyAlignment="1" applyProtection="1">
      <alignment horizontal="center"/>
    </xf>
    <xf numFmtId="0" fontId="17" fillId="8" borderId="0" xfId="0" applyNumberFormat="1" applyFont="1" applyFill="1" applyBorder="1" applyAlignment="1" applyProtection="1">
      <alignment horizontal="center"/>
    </xf>
    <xf numFmtId="166" fontId="18" fillId="8" borderId="0" xfId="0" applyNumberFormat="1" applyFont="1" applyFill="1" applyBorder="1" applyAlignment="1" applyProtection="1"/>
    <xf numFmtId="170" fontId="18" fillId="8" borderId="0" xfId="0" applyNumberFormat="1" applyFont="1" applyFill="1" applyBorder="1" applyAlignment="1" applyProtection="1"/>
    <xf numFmtId="0" fontId="18" fillId="8" borderId="0" xfId="0" applyNumberFormat="1" applyFont="1" applyFill="1" applyBorder="1" applyAlignment="1" applyProtection="1">
      <alignment horizontal="center"/>
    </xf>
    <xf numFmtId="0" fontId="20" fillId="0" borderId="50" xfId="0" applyNumberFormat="1" applyFont="1" applyFill="1" applyBorder="1" applyAlignment="1" applyProtection="1">
      <alignment horizontal="justify" vertical="center" wrapText="1"/>
    </xf>
    <xf numFmtId="0" fontId="20" fillId="0" borderId="51" xfId="0" applyNumberFormat="1" applyFont="1" applyFill="1" applyBorder="1" applyAlignment="1" applyProtection="1">
      <alignment horizontal="justify" vertical="center" wrapText="1"/>
    </xf>
    <xf numFmtId="0" fontId="21" fillId="0" borderId="52" xfId="0" applyNumberFormat="1" applyFont="1" applyFill="1" applyBorder="1" applyAlignment="1" applyProtection="1">
      <alignment horizontal="justify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1" fillId="0" borderId="52" xfId="0" applyNumberFormat="1" applyFont="1" applyFill="1" applyBorder="1" applyAlignment="1" applyProtection="1">
      <alignment horizontal="center" vertical="center" wrapText="1"/>
    </xf>
    <xf numFmtId="0" fontId="21" fillId="0" borderId="51" xfId="0" applyNumberFormat="1" applyFont="1" applyFill="1" applyBorder="1" applyAlignment="1" applyProtection="1">
      <alignment horizontal="justify" vertical="center" wrapText="1"/>
    </xf>
    <xf numFmtId="0" fontId="21" fillId="0" borderId="50" xfId="0" applyNumberFormat="1" applyFont="1" applyFill="1" applyBorder="1" applyAlignment="1" applyProtection="1">
      <alignment horizontal="center" vertical="center" wrapText="1"/>
    </xf>
    <xf numFmtId="0" fontId="21" fillId="0" borderId="51" xfId="0" applyNumberFormat="1" applyFont="1" applyFill="1" applyBorder="1" applyAlignment="1" applyProtection="1">
      <alignment horizontal="center" vertical="center" wrapText="1"/>
    </xf>
    <xf numFmtId="0" fontId="20" fillId="0" borderId="52" xfId="0" applyNumberFormat="1" applyFont="1" applyFill="1" applyBorder="1" applyAlignment="1" applyProtection="1">
      <alignment horizontal="justify" vertical="center" wrapText="1"/>
    </xf>
    <xf numFmtId="0" fontId="21" fillId="0" borderId="53" xfId="0" applyNumberFormat="1" applyFont="1" applyFill="1" applyBorder="1" applyAlignment="1" applyProtection="1">
      <alignment horizontal="center" vertical="center" wrapText="1"/>
    </xf>
    <xf numFmtId="0" fontId="20" fillId="0" borderId="50" xfId="0" applyNumberFormat="1" applyFont="1" applyFill="1" applyBorder="1" applyAlignment="1" applyProtection="1">
      <alignment horizontal="center" vertical="center" wrapText="1"/>
    </xf>
    <xf numFmtId="0" fontId="20" fillId="0" borderId="51" xfId="0" applyNumberFormat="1" applyFont="1" applyFill="1" applyBorder="1" applyAlignment="1" applyProtection="1">
      <alignment horizontal="center" vertical="center" wrapText="1"/>
    </xf>
    <xf numFmtId="0" fontId="21" fillId="0" borderId="54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49" fontId="19" fillId="0" borderId="0" xfId="0" quotePrefix="1" applyNumberFormat="1" applyFont="1" applyFill="1" applyBorder="1" applyAlignment="1" applyProtection="1"/>
    <xf numFmtId="2" fontId="19" fillId="0" borderId="0" xfId="0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/>
    <xf numFmtId="9" fontId="19" fillId="0" borderId="54" xfId="0" applyNumberFormat="1" applyFont="1" applyFill="1" applyBorder="1" applyAlignment="1" applyProtection="1">
      <alignment horizontal="center"/>
    </xf>
    <xf numFmtId="0" fontId="19" fillId="0" borderId="51" xfId="0" applyNumberFormat="1" applyFont="1" applyFill="1" applyBorder="1" applyAlignment="1" applyProtection="1"/>
    <xf numFmtId="0" fontId="19" fillId="0" borderId="50" xfId="0" applyNumberFormat="1" applyFont="1" applyFill="1" applyBorder="1" applyAlignment="1" applyProtection="1">
      <alignment horizontal="center"/>
    </xf>
    <xf numFmtId="9" fontId="19" fillId="0" borderId="50" xfId="0" applyNumberFormat="1" applyFont="1" applyFill="1" applyBorder="1" applyAlignment="1" applyProtection="1">
      <alignment horizontal="center"/>
    </xf>
    <xf numFmtId="9" fontId="19" fillId="0" borderId="56" xfId="0" applyNumberFormat="1" applyFont="1" applyFill="1" applyBorder="1" applyAlignment="1" applyProtection="1">
      <alignment horizontal="center"/>
    </xf>
    <xf numFmtId="0" fontId="19" fillId="0" borderId="53" xfId="0" applyNumberFormat="1" applyFont="1" applyFill="1" applyBorder="1" applyAlignment="1" applyProtection="1"/>
    <xf numFmtId="0" fontId="19" fillId="0" borderId="55" xfId="0" applyNumberFormat="1" applyFont="1" applyFill="1" applyBorder="1" applyAlignment="1" applyProtection="1"/>
    <xf numFmtId="0" fontId="19" fillId="0" borderId="57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vertic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59" xfId="0" applyNumberFormat="1" applyFont="1" applyFill="1" applyBorder="1" applyAlignment="1" applyProtection="1"/>
    <xf numFmtId="0" fontId="19" fillId="0" borderId="52" xfId="0" applyNumberFormat="1" applyFont="1" applyFill="1" applyBorder="1" applyAlignment="1" applyProtection="1"/>
    <xf numFmtId="9" fontId="19" fillId="0" borderId="58" xfId="0" applyNumberFormat="1" applyFont="1" applyFill="1" applyBorder="1" applyAlignment="1" applyProtection="1">
      <alignment horizontal="center"/>
    </xf>
    <xf numFmtId="0" fontId="19" fillId="0" borderId="54" xfId="0" applyNumberFormat="1" applyFont="1" applyFill="1" applyBorder="1" applyAlignment="1" applyProtection="1"/>
    <xf numFmtId="0" fontId="19" fillId="0" borderId="50" xfId="0" applyNumberFormat="1" applyFont="1" applyFill="1" applyBorder="1" applyAlignment="1" applyProtection="1"/>
    <xf numFmtId="0" fontId="0" fillId="0" borderId="30" xfId="0" applyBorder="1" applyAlignment="1">
      <alignment horizontal="center"/>
    </xf>
    <xf numFmtId="0" fontId="20" fillId="0" borderId="50" xfId="0" applyNumberFormat="1" applyFont="1" applyFill="1" applyBorder="1" applyAlignment="1" applyProtection="1">
      <alignment horizontal="justify" vertical="center" wrapText="1"/>
    </xf>
    <xf numFmtId="0" fontId="22" fillId="6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7" fillId="0" borderId="50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8" fillId="7" borderId="46" xfId="0" applyNumberFormat="1" applyFont="1" applyFill="1" applyBorder="1" applyAlignment="1" applyProtection="1">
      <alignment horizontal="center"/>
    </xf>
    <xf numFmtId="0" fontId="18" fillId="7" borderId="48" xfId="0" applyNumberFormat="1" applyFont="1" applyFill="1" applyBorder="1" applyAlignment="1" applyProtection="1">
      <alignment horizontal="center"/>
    </xf>
    <xf numFmtId="0" fontId="18" fillId="7" borderId="47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</cellXfs>
  <cellStyles count="11">
    <cellStyle name="Comma 2" xfId="10"/>
    <cellStyle name="Currency 2" xfId="7"/>
    <cellStyle name="Normal" xfId="0" builtinId="0"/>
    <cellStyle name="Normal 2" xfId="1"/>
    <cellStyle name="Normal 2 2" xfId="8"/>
    <cellStyle name="Normal 2 3" xfId="5"/>
    <cellStyle name="Normal 3" xfId="2"/>
    <cellStyle name="Normal 4" xfId="6"/>
    <cellStyle name="Normal 5" xfId="4"/>
    <cellStyle name="Percent" xfId="3" builtinId="5"/>
    <cellStyle name="Percent 2" xfId="9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Marketing Campaign Results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Chart'!$B$4</c:f>
              <c:strCache>
                <c:ptCount val="1"/>
                <c:pt idx="0">
                  <c:v>Brand A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Chart'!$B$5:$B$10</c:f>
              <c:numCache>
                <c:formatCode>General</c:formatCode>
                <c:ptCount val="6"/>
                <c:pt idx="0">
                  <c:v>23.5</c:v>
                </c:pt>
                <c:pt idx="1">
                  <c:v>13.8</c:v>
                </c:pt>
                <c:pt idx="2">
                  <c:v>17.3</c:v>
                </c:pt>
                <c:pt idx="3">
                  <c:v>14.8</c:v>
                </c:pt>
                <c:pt idx="4">
                  <c:v>7.2</c:v>
                </c:pt>
                <c:pt idx="5">
                  <c:v>29.5</c:v>
                </c:pt>
              </c:numCache>
            </c:numRef>
          </c:val>
        </c:ser>
        <c:ser>
          <c:idx val="1"/>
          <c:order val="1"/>
          <c:tx>
            <c:strRef>
              <c:f>'Bar Chart'!$C$4</c:f>
              <c:strCache>
                <c:ptCount val="1"/>
                <c:pt idx="0">
                  <c:v>Brand B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Chart'!$C$5:$C$10</c:f>
              <c:numCache>
                <c:formatCode>General</c:formatCode>
                <c:ptCount val="6"/>
                <c:pt idx="0">
                  <c:v>12.3</c:v>
                </c:pt>
                <c:pt idx="1">
                  <c:v>8.1</c:v>
                </c:pt>
                <c:pt idx="2">
                  <c:v>4.5</c:v>
                </c:pt>
                <c:pt idx="3">
                  <c:v>6.8</c:v>
                </c:pt>
                <c:pt idx="4">
                  <c:v>4.2</c:v>
                </c:pt>
                <c:pt idx="5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'Bar Chart'!$D$4</c:f>
              <c:strCache>
                <c:ptCount val="1"/>
                <c:pt idx="0">
                  <c:v>Brand C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Chart'!$D$5:$D$10</c:f>
              <c:numCache>
                <c:formatCode>General</c:formatCode>
                <c:ptCount val="6"/>
                <c:pt idx="0">
                  <c:v>15</c:v>
                </c:pt>
                <c:pt idx="1">
                  <c:v>5.5</c:v>
                </c:pt>
                <c:pt idx="2">
                  <c:v>6.9</c:v>
                </c:pt>
                <c:pt idx="3">
                  <c:v>2.7</c:v>
                </c:pt>
                <c:pt idx="4">
                  <c:v>1.6</c:v>
                </c:pt>
                <c:pt idx="5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67072"/>
        <c:axId val="166468992"/>
      </c:barChart>
      <c:catAx>
        <c:axId val="16646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6468992"/>
        <c:crosses val="autoZero"/>
        <c:auto val="1"/>
        <c:lblAlgn val="ctr"/>
        <c:lblOffset val="100"/>
        <c:noMultiLvlLbl val="0"/>
      </c:catAx>
      <c:valAx>
        <c:axId val="166468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(millions of euros)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646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Average Income by 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numRef>
              <c:f>'Line Chart'!$A$4:$A$13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23648"/>
        <c:axId val="166525568"/>
      </c:lineChart>
      <c:catAx>
        <c:axId val="1665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6525568"/>
        <c:crosses val="autoZero"/>
        <c:auto val="1"/>
        <c:lblAlgn val="ctr"/>
        <c:lblOffset val="100"/>
        <c:noMultiLvlLbl val="0"/>
      </c:catAx>
      <c:valAx>
        <c:axId val="166525568"/>
        <c:scaling>
          <c:orientation val="minMax"/>
          <c:min val="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Income ($000)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52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Income/Rent by 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numRef>
              <c:f>'Line Chart 2'!$A$4:$A$13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 2'!$B$4:$B$13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 Chart 2'!$C$3</c:f>
              <c:strCache>
                <c:ptCount val="1"/>
                <c:pt idx="0">
                  <c:v>Rent</c:v>
                </c:pt>
              </c:strCache>
            </c:strRef>
          </c:tx>
          <c:marker>
            <c:symbol val="none"/>
          </c:marker>
          <c:cat>
            <c:numRef>
              <c:f>'Line Chart 2'!$A$4:$A$13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 2'!$C$4:$C$13</c:f>
              <c:numCache>
                <c:formatCode>General</c:formatCode>
                <c:ptCount val="10"/>
                <c:pt idx="0">
                  <c:v>6000</c:v>
                </c:pt>
                <c:pt idx="1">
                  <c:v>6500</c:v>
                </c:pt>
                <c:pt idx="2">
                  <c:v>7000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8000</c:v>
                </c:pt>
                <c:pt idx="7">
                  <c:v>9000</c:v>
                </c:pt>
                <c:pt idx="8">
                  <c:v>7000</c:v>
                </c:pt>
                <c:pt idx="9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22688"/>
        <c:axId val="167524608"/>
      </c:lineChart>
      <c:catAx>
        <c:axId val="1675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524608"/>
        <c:crosses val="autoZero"/>
        <c:auto val="1"/>
        <c:lblAlgn val="ctr"/>
        <c:lblOffset val="100"/>
        <c:noMultiLvlLbl val="0"/>
      </c:catAx>
      <c:valAx>
        <c:axId val="167524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($000)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52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val>
            <c:numRef>
              <c:f>'Line Chart 2'!$B$4:$B$13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 Chart 2'!$C$3</c:f>
              <c:strCache>
                <c:ptCount val="1"/>
                <c:pt idx="0">
                  <c:v>Rent</c:v>
                </c:pt>
              </c:strCache>
            </c:strRef>
          </c:tx>
          <c:marker>
            <c:symbol val="none"/>
          </c:marker>
          <c:val>
            <c:numRef>
              <c:f>'Line Chart 2'!$C$4:$C$13</c:f>
              <c:numCache>
                <c:formatCode>General</c:formatCode>
                <c:ptCount val="10"/>
                <c:pt idx="0">
                  <c:v>6000</c:v>
                </c:pt>
                <c:pt idx="1">
                  <c:v>6500</c:v>
                </c:pt>
                <c:pt idx="2">
                  <c:v>7000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8000</c:v>
                </c:pt>
                <c:pt idx="7">
                  <c:v>9000</c:v>
                </c:pt>
                <c:pt idx="8">
                  <c:v>7000</c:v>
                </c:pt>
                <c:pt idx="9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8032"/>
        <c:axId val="167549568"/>
      </c:lineChart>
      <c:catAx>
        <c:axId val="16754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49568"/>
        <c:crosses val="autoZero"/>
        <c:auto val="1"/>
        <c:lblAlgn val="ctr"/>
        <c:lblOffset val="100"/>
        <c:noMultiLvlLbl val="0"/>
      </c:catAx>
      <c:valAx>
        <c:axId val="16754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4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2'!$B$21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val>
            <c:numRef>
              <c:f>'Line Chart 2'!$B$22:$B$31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79712"/>
        <c:axId val="167381248"/>
      </c:lineChart>
      <c:catAx>
        <c:axId val="16737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381248"/>
        <c:crosses val="autoZero"/>
        <c:auto val="1"/>
        <c:lblAlgn val="ctr"/>
        <c:lblOffset val="100"/>
        <c:noMultiLvlLbl val="0"/>
      </c:catAx>
      <c:valAx>
        <c:axId val="16738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7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Growth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'Scatter Chart'!$B$3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'Scatter Chart'!$A$4:$A$9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'Scatter Chart'!$B$4:$B$9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01728"/>
        <c:axId val="166994688"/>
      </c:scatterChart>
      <c:valAx>
        <c:axId val="16740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94688"/>
        <c:crosses val="autoZero"/>
        <c:crossBetween val="midCat"/>
      </c:valAx>
      <c:valAx>
        <c:axId val="16699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 ($000)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01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Frequency Function f(x)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 1'!$B$3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val>
            <c:numRef>
              <c:f>'Prob 1'!$B$4:$B$11</c:f>
              <c:numCache>
                <c:formatCode>General</c:formatCode>
                <c:ptCount val="8"/>
                <c:pt idx="0">
                  <c:v>0.12</c:v>
                </c:pt>
                <c:pt idx="1">
                  <c:v>0.25</c:v>
                </c:pt>
                <c:pt idx="2">
                  <c:v>0.08</c:v>
                </c:pt>
                <c:pt idx="3">
                  <c:v>0.14000000000000001</c:v>
                </c:pt>
                <c:pt idx="4">
                  <c:v>0.09</c:v>
                </c:pt>
                <c:pt idx="5">
                  <c:v>0.18</c:v>
                </c:pt>
                <c:pt idx="6">
                  <c:v>0.09</c:v>
                </c:pt>
                <c:pt idx="7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73248"/>
        <c:axId val="167974784"/>
      </c:barChart>
      <c:catAx>
        <c:axId val="16797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974784"/>
        <c:crosses val="autoZero"/>
        <c:auto val="1"/>
        <c:lblAlgn val="ctr"/>
        <c:lblOffset val="100"/>
        <c:noMultiLvlLbl val="0"/>
      </c:catAx>
      <c:valAx>
        <c:axId val="16797478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6797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Function F(x)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'Prob 1'!$C$3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val>
            <c:numRef>
              <c:f>'Prob 1'!$C$4:$C$11</c:f>
              <c:numCache>
                <c:formatCode>0.00</c:formatCode>
                <c:ptCount val="8"/>
                <c:pt idx="0">
                  <c:v>0.12</c:v>
                </c:pt>
                <c:pt idx="1">
                  <c:v>0.37</c:v>
                </c:pt>
                <c:pt idx="2">
                  <c:v>0.45</c:v>
                </c:pt>
                <c:pt idx="3">
                  <c:v>0.59000000000000008</c:v>
                </c:pt>
                <c:pt idx="4">
                  <c:v>0.68</c:v>
                </c:pt>
                <c:pt idx="5">
                  <c:v>0.8600000000000001</c:v>
                </c:pt>
                <c:pt idx="6">
                  <c:v>0.95000000000000007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03072"/>
        <c:axId val="168004608"/>
      </c:barChart>
      <c:catAx>
        <c:axId val="16800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004608"/>
        <c:crosses val="autoZero"/>
        <c:auto val="1"/>
        <c:lblAlgn val="ctr"/>
        <c:lblOffset val="100"/>
        <c:noMultiLvlLbl val="0"/>
      </c:catAx>
      <c:valAx>
        <c:axId val="16800460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6800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'Prob 2'!$I$4:$I$8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</c:numCache>
            </c:numRef>
          </c:cat>
          <c:val>
            <c:numRef>
              <c:f>'Prob 2'!$J$4:$J$8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13184"/>
        <c:axId val="154785280"/>
      </c:barChart>
      <c:catAx>
        <c:axId val="16801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785280"/>
        <c:crosses val="autoZero"/>
        <c:auto val="1"/>
        <c:lblAlgn val="ctr"/>
        <c:lblOffset val="100"/>
        <c:noMultiLvlLbl val="0"/>
      </c:catAx>
      <c:valAx>
        <c:axId val="15478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801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Histogram!$A$19:$A$23</c:f>
              <c:strCach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More</c:v>
                </c:pt>
              </c:strCache>
            </c:strRef>
          </c:cat>
          <c:val>
            <c:numRef>
              <c:f>Histogram!$B$19:$B$23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50656"/>
        <c:axId val="167781504"/>
      </c:barChart>
      <c:catAx>
        <c:axId val="16775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7781504"/>
        <c:crosses val="autoZero"/>
        <c:auto val="1"/>
        <c:lblAlgn val="ctr"/>
        <c:lblOffset val="100"/>
        <c:noMultiLvlLbl val="0"/>
      </c:catAx>
      <c:valAx>
        <c:axId val="167781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75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Histogram!$K$9:$K$14</c:f>
              <c:numCache>
                <c:formatCode>General</c:formatCode>
                <c:ptCount val="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</c:numCache>
            </c:numRef>
          </c:cat>
          <c:val>
            <c:numRef>
              <c:f>Histogram!$L$9:$L$14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0560"/>
        <c:axId val="167812480"/>
      </c:barChart>
      <c:catAx>
        <c:axId val="1678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812480"/>
        <c:crosses val="autoZero"/>
        <c:auto val="1"/>
        <c:lblAlgn val="ctr"/>
        <c:lblOffset val="100"/>
        <c:noMultiLvlLbl val="0"/>
      </c:catAx>
      <c:valAx>
        <c:axId val="167812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81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Histogram!$K$27:$K$33</c:f>
              <c:numCache>
                <c:formatCode>General</c:formatCode>
                <c:ptCount val="7"/>
                <c:pt idx="0">
                  <c:v>10</c:v>
                </c:pt>
                <c:pt idx="1">
                  <c:v>25</c:v>
                </c:pt>
                <c:pt idx="2">
                  <c:v>40</c:v>
                </c:pt>
                <c:pt idx="3">
                  <c:v>55</c:v>
                </c:pt>
                <c:pt idx="4">
                  <c:v>70</c:v>
                </c:pt>
                <c:pt idx="5">
                  <c:v>85</c:v>
                </c:pt>
                <c:pt idx="6">
                  <c:v>100</c:v>
                </c:pt>
              </c:numCache>
            </c:numRef>
          </c:cat>
          <c:val>
            <c:numRef>
              <c:f>Histogram!$L$27:$L$33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32960"/>
        <c:axId val="167847424"/>
      </c:barChart>
      <c:catAx>
        <c:axId val="16783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847424"/>
        <c:crosses val="autoZero"/>
        <c:auto val="1"/>
        <c:lblAlgn val="ctr"/>
        <c:lblOffset val="100"/>
        <c:noMultiLvlLbl val="0"/>
      </c:catAx>
      <c:valAx>
        <c:axId val="167847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83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Binomial Distribution (n = 20, p = .25)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Binomial!$B$3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cat>
            <c:numRef>
              <c:f>Binomial!$A$4:$A$24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Binomial!$B$4:$B$24</c:f>
              <c:numCache>
                <c:formatCode>General</c:formatCode>
                <c:ptCount val="21"/>
                <c:pt idx="0">
                  <c:v>3.1712119389339963E-3</c:v>
                </c:pt>
                <c:pt idx="1">
                  <c:v>2.1141412926226615E-2</c:v>
                </c:pt>
                <c:pt idx="2">
                  <c:v>6.6947807599717662E-2</c:v>
                </c:pt>
                <c:pt idx="3">
                  <c:v>0.13389561519943524</c:v>
                </c:pt>
                <c:pt idx="4">
                  <c:v>0.18968545486586663</c:v>
                </c:pt>
                <c:pt idx="5">
                  <c:v>0.20233115185692441</c:v>
                </c:pt>
                <c:pt idx="6">
                  <c:v>0.1686092932141037</c:v>
                </c:pt>
                <c:pt idx="7">
                  <c:v>0.11240619547606913</c:v>
                </c:pt>
                <c:pt idx="8">
                  <c:v>6.0886689216204062E-2</c:v>
                </c:pt>
                <c:pt idx="9">
                  <c:v>2.7060750762757369E-2</c:v>
                </c:pt>
                <c:pt idx="10">
                  <c:v>9.9222752796777041E-3</c:v>
                </c:pt>
                <c:pt idx="11">
                  <c:v>3.0067500847508173E-3</c:v>
                </c:pt>
                <c:pt idx="12">
                  <c:v>7.5168752118770586E-4</c:v>
                </c:pt>
                <c:pt idx="13">
                  <c:v>1.541923120385034E-4</c:v>
                </c:pt>
                <c:pt idx="14">
                  <c:v>2.5698718673083962E-5</c:v>
                </c:pt>
                <c:pt idx="15">
                  <c:v>3.42649582307786E-6</c:v>
                </c:pt>
                <c:pt idx="16">
                  <c:v>3.5692664823727645E-7</c:v>
                </c:pt>
                <c:pt idx="17">
                  <c:v>2.7994246920570738E-8</c:v>
                </c:pt>
                <c:pt idx="18">
                  <c:v>1.5552359400317114E-9</c:v>
                </c:pt>
                <c:pt idx="19">
                  <c:v>5.4569682106375856E-11</c:v>
                </c:pt>
                <c:pt idx="20">
                  <c:v>9.0949470177292824E-13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73504"/>
        <c:axId val="168309888"/>
      </c:barChart>
      <c:catAx>
        <c:axId val="1671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309888"/>
        <c:crosses val="autoZero"/>
        <c:auto val="1"/>
        <c:lblAlgn val="ctr"/>
        <c:lblOffset val="100"/>
        <c:noMultiLvlLbl val="0"/>
      </c:catAx>
      <c:valAx>
        <c:axId val="16830988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6717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600"/>
              <a:t>Cummulative</a:t>
            </a:r>
            <a:r>
              <a:rPr lang="it-IT" sz="1600" baseline="0"/>
              <a:t> Binomial (n = 10, p = 1/6</a:t>
            </a:r>
            <a:r>
              <a:rPr lang="it-IT" sz="1600"/>
              <a:t>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Binomial!$B$28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val>
            <c:numRef>
              <c:f>Binomial!$B$29:$B$39</c:f>
              <c:numCache>
                <c:formatCode>0.00000</c:formatCode>
                <c:ptCount val="11"/>
                <c:pt idx="0">
                  <c:v>0.16150558288984571</c:v>
                </c:pt>
                <c:pt idx="1">
                  <c:v>0.48451674866953731</c:v>
                </c:pt>
                <c:pt idx="2">
                  <c:v>0.77522679787125948</c:v>
                </c:pt>
                <c:pt idx="3">
                  <c:v>0.93027215744551128</c:v>
                </c:pt>
                <c:pt idx="4">
                  <c:v>0.98453803329649947</c:v>
                </c:pt>
                <c:pt idx="5">
                  <c:v>0.99756184350073673</c:v>
                </c:pt>
                <c:pt idx="6">
                  <c:v>0.9997324785347762</c:v>
                </c:pt>
                <c:pt idx="7">
                  <c:v>0.99998055111009498</c:v>
                </c:pt>
                <c:pt idx="8">
                  <c:v>0.9999991565532439</c:v>
                </c:pt>
                <c:pt idx="9">
                  <c:v>0.99999998346182828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33312"/>
        <c:axId val="168334848"/>
      </c:barChart>
      <c:catAx>
        <c:axId val="16833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334848"/>
        <c:crosses val="autoZero"/>
        <c:auto val="1"/>
        <c:lblAlgn val="ctr"/>
        <c:lblOffset val="100"/>
        <c:noMultiLvlLbl val="0"/>
      </c:catAx>
      <c:valAx>
        <c:axId val="16833484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6833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Binomial vs Normal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Binomial</c:v>
          </c:tx>
          <c:invertIfNegative val="0"/>
          <c:val>
            <c:numRef>
              <c:f>'Binomial and Normal'!$B$11:$B$31</c:f>
              <c:numCache>
                <c:formatCode>General</c:formatCode>
                <c:ptCount val="21"/>
                <c:pt idx="0">
                  <c:v>3.1712119389339963E-3</c:v>
                </c:pt>
                <c:pt idx="1">
                  <c:v>2.1141412926226615E-2</c:v>
                </c:pt>
                <c:pt idx="2">
                  <c:v>6.6947807599717662E-2</c:v>
                </c:pt>
                <c:pt idx="3">
                  <c:v>0.13389561519943524</c:v>
                </c:pt>
                <c:pt idx="4">
                  <c:v>0.18968545486586663</c:v>
                </c:pt>
                <c:pt idx="5">
                  <c:v>0.20233115185692441</c:v>
                </c:pt>
                <c:pt idx="6">
                  <c:v>0.1686092932141037</c:v>
                </c:pt>
                <c:pt idx="7">
                  <c:v>0.11240619547606913</c:v>
                </c:pt>
                <c:pt idx="8">
                  <c:v>6.0886689216204062E-2</c:v>
                </c:pt>
                <c:pt idx="9">
                  <c:v>2.7060750762757369E-2</c:v>
                </c:pt>
                <c:pt idx="10">
                  <c:v>9.9222752796777041E-3</c:v>
                </c:pt>
                <c:pt idx="11">
                  <c:v>3.0067500847508173E-3</c:v>
                </c:pt>
                <c:pt idx="12">
                  <c:v>7.5168752118770586E-4</c:v>
                </c:pt>
                <c:pt idx="13">
                  <c:v>1.541923120385034E-4</c:v>
                </c:pt>
                <c:pt idx="14">
                  <c:v>2.5698718673083962E-5</c:v>
                </c:pt>
                <c:pt idx="15">
                  <c:v>3.42649582307786E-6</c:v>
                </c:pt>
                <c:pt idx="16">
                  <c:v>3.5692664823727645E-7</c:v>
                </c:pt>
                <c:pt idx="17">
                  <c:v>2.7994246920570738E-8</c:v>
                </c:pt>
                <c:pt idx="18">
                  <c:v>1.5552359400317114E-9</c:v>
                </c:pt>
                <c:pt idx="19">
                  <c:v>5.4569682106375856E-11</c:v>
                </c:pt>
                <c:pt idx="20">
                  <c:v>9.0949470177292824E-13</c:v>
                </c:pt>
              </c:numCache>
            </c:numRef>
          </c:val>
        </c:ser>
        <c:ser>
          <c:idx val="1"/>
          <c:order val="1"/>
          <c:tx>
            <c:v>Normal</c:v>
          </c:tx>
          <c:invertIfNegative val="0"/>
          <c:val>
            <c:numRef>
              <c:f>'Binomial and Normal'!$C$11:$C$31</c:f>
              <c:numCache>
                <c:formatCode>General</c:formatCode>
                <c:ptCount val="21"/>
                <c:pt idx="0">
                  <c:v>7.3493031003682655E-3</c:v>
                </c:pt>
                <c:pt idx="1">
                  <c:v>2.4400545593852858E-2</c:v>
                </c:pt>
                <c:pt idx="2">
                  <c:v>6.2049895392207628E-2</c:v>
                </c:pt>
                <c:pt idx="3">
                  <c:v>0.12085669349928452</c:v>
                </c:pt>
                <c:pt idx="4">
                  <c:v>0.18029700023749379</c:v>
                </c:pt>
                <c:pt idx="5">
                  <c:v>0.20601290774570111</c:v>
                </c:pt>
                <c:pt idx="6">
                  <c:v>0.18029700023749379</c:v>
                </c:pt>
                <c:pt idx="7">
                  <c:v>0.12085669349928452</c:v>
                </c:pt>
                <c:pt idx="8">
                  <c:v>6.2049895392207628E-2</c:v>
                </c:pt>
                <c:pt idx="9">
                  <c:v>2.4400545593852858E-2</c:v>
                </c:pt>
                <c:pt idx="10">
                  <c:v>7.3493031003682655E-3</c:v>
                </c:pt>
                <c:pt idx="11">
                  <c:v>1.6954341195802181E-3</c:v>
                </c:pt>
                <c:pt idx="12">
                  <c:v>2.9957379207605066E-4</c:v>
                </c:pt>
                <c:pt idx="13">
                  <c:v>4.0542904000878473E-5</c:v>
                </c:pt>
                <c:pt idx="14">
                  <c:v>4.2025610143038761E-6</c:v>
                </c:pt>
                <c:pt idx="15">
                  <c:v>3.3365784455993171E-7</c:v>
                </c:pt>
                <c:pt idx="16">
                  <c:v>2.0289754423084675E-8</c:v>
                </c:pt>
                <c:pt idx="17">
                  <c:v>9.4501864998485711E-10</c:v>
                </c:pt>
                <c:pt idx="18">
                  <c:v>3.3712589032589398E-11</c:v>
                </c:pt>
                <c:pt idx="19">
                  <c:v>9.2115342570611369E-13</c:v>
                </c:pt>
                <c:pt idx="20">
                  <c:v>1.9277911173987313E-14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11200"/>
        <c:axId val="171812736"/>
      </c:barChart>
      <c:catAx>
        <c:axId val="1718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812736"/>
        <c:crosses val="autoZero"/>
        <c:auto val="1"/>
        <c:lblAlgn val="ctr"/>
        <c:lblOffset val="100"/>
        <c:noMultiLvlLbl val="0"/>
      </c:catAx>
      <c:valAx>
        <c:axId val="17181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81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Poisson </a:t>
            </a:r>
            <a:r>
              <a:rPr lang="el-GR">
                <a:latin typeface="Times New Roman" pitchFamily="18" charset="0"/>
                <a:cs typeface="Times New Roman" pitchFamily="18" charset="0"/>
              </a:rPr>
              <a:t>λ = 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Poisson!$F$3:$F$15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Poisson!$H$3:$H$15</c:f>
              <c:numCache>
                <c:formatCode>General</c:formatCode>
                <c:ptCount val="13"/>
                <c:pt idx="0">
                  <c:v>4.9787068367863944E-2</c:v>
                </c:pt>
                <c:pt idx="1">
                  <c:v>0.14936120510359185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5.0409406722462261E-2</c:v>
                </c:pt>
                <c:pt idx="7">
                  <c:v>2.1604031452483807E-2</c:v>
                </c:pt>
                <c:pt idx="8">
                  <c:v>8.1015117946814375E-3</c:v>
                </c:pt>
                <c:pt idx="9">
                  <c:v>2.7005039315604771E-3</c:v>
                </c:pt>
                <c:pt idx="10">
                  <c:v>8.1015117946814244E-4</c:v>
                </c:pt>
                <c:pt idx="11">
                  <c:v>2.2095032167312987E-4</c:v>
                </c:pt>
                <c:pt idx="12">
                  <c:v>5.5237580418282596E-5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82752"/>
        <c:axId val="171896832"/>
      </c:barChart>
      <c:catAx>
        <c:axId val="1718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896832"/>
        <c:crosses val="autoZero"/>
        <c:auto val="1"/>
        <c:lblAlgn val="ctr"/>
        <c:lblOffset val="100"/>
        <c:noMultiLvlLbl val="0"/>
      </c:catAx>
      <c:valAx>
        <c:axId val="17189683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7188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Poisson </a:t>
            </a:r>
            <a:r>
              <a:rPr lang="el-GR">
                <a:latin typeface="Times New Roman" pitchFamily="18" charset="0"/>
                <a:cs typeface="Times New Roman" pitchFamily="18" charset="0"/>
              </a:rPr>
              <a:t>λ = </a:t>
            </a:r>
            <a:r>
              <a:rPr lang="it-IT">
                <a:latin typeface="Times New Roman" pitchFamily="18" charset="0"/>
                <a:cs typeface="Times New Roman" pitchFamily="18" charset="0"/>
              </a:rPr>
              <a:t>2</a:t>
            </a:r>
            <a:endParaRPr lang="el-GR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Poisson!$F$3:$F$15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Poisson!$G$3:$G$15</c:f>
              <c:numCache>
                <c:formatCode>General</c:formatCode>
                <c:ptCount val="13"/>
                <c:pt idx="0">
                  <c:v>0.1353352832366127</c:v>
                </c:pt>
                <c:pt idx="1">
                  <c:v>0.27067056647322535</c:v>
                </c:pt>
                <c:pt idx="2">
                  <c:v>0.27067056647322546</c:v>
                </c:pt>
                <c:pt idx="3">
                  <c:v>0.18044704431548364</c:v>
                </c:pt>
                <c:pt idx="4">
                  <c:v>9.022352215774182E-2</c:v>
                </c:pt>
                <c:pt idx="5">
                  <c:v>3.6089408863096716E-2</c:v>
                </c:pt>
                <c:pt idx="6">
                  <c:v>1.2029802954365572E-2</c:v>
                </c:pt>
                <c:pt idx="7">
                  <c:v>3.4370865583901629E-3</c:v>
                </c:pt>
                <c:pt idx="8">
                  <c:v>8.5927163959754148E-4</c:v>
                </c:pt>
                <c:pt idx="9">
                  <c:v>1.9094925324389769E-4</c:v>
                </c:pt>
                <c:pt idx="10">
                  <c:v>3.8189850648779602E-5</c:v>
                </c:pt>
                <c:pt idx="11">
                  <c:v>6.9436092088690095E-6</c:v>
                </c:pt>
                <c:pt idx="12">
                  <c:v>1.1572682014781686E-6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48448"/>
        <c:axId val="172250240"/>
      </c:barChart>
      <c:catAx>
        <c:axId val="1722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250240"/>
        <c:crosses val="autoZero"/>
        <c:auto val="1"/>
        <c:lblAlgn val="ctr"/>
        <c:lblOffset val="100"/>
        <c:noMultiLvlLbl val="0"/>
      </c:catAx>
      <c:valAx>
        <c:axId val="172250240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7224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Poisson </a:t>
            </a:r>
            <a:r>
              <a:rPr lang="el-GR">
                <a:latin typeface="Times New Roman" pitchFamily="18" charset="0"/>
                <a:cs typeface="Times New Roman" pitchFamily="18" charset="0"/>
              </a:rPr>
              <a:t>λ = </a:t>
            </a:r>
            <a:r>
              <a:rPr lang="it-IT">
                <a:latin typeface="Times New Roman" pitchFamily="18" charset="0"/>
                <a:cs typeface="Times New Roman" pitchFamily="18" charset="0"/>
              </a:rPr>
              <a:t>4</a:t>
            </a:r>
            <a:endParaRPr lang="el-GR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Poisson!$F$3:$F$15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Poisson!$I$3:$I$15</c:f>
              <c:numCache>
                <c:formatCode>General</c:formatCode>
                <c:ptCount val="13"/>
                <c:pt idx="0">
                  <c:v>1.8315638888734179E-2</c:v>
                </c:pt>
                <c:pt idx="1">
                  <c:v>7.3262555554936715E-2</c:v>
                </c:pt>
                <c:pt idx="2">
                  <c:v>0.14652511110987346</c:v>
                </c:pt>
                <c:pt idx="3">
                  <c:v>0.19536681481316462</c:v>
                </c:pt>
                <c:pt idx="4">
                  <c:v>0.19536681481316462</c:v>
                </c:pt>
                <c:pt idx="5">
                  <c:v>0.1562934518505317</c:v>
                </c:pt>
                <c:pt idx="6">
                  <c:v>0.10419563456702115</c:v>
                </c:pt>
                <c:pt idx="7">
                  <c:v>5.9540362609726373E-2</c:v>
                </c:pt>
                <c:pt idx="8">
                  <c:v>2.9770181304863183E-2</c:v>
                </c:pt>
                <c:pt idx="9">
                  <c:v>1.3231191691050297E-2</c:v>
                </c:pt>
                <c:pt idx="10">
                  <c:v>5.2924766764201169E-3</c:v>
                </c:pt>
                <c:pt idx="11">
                  <c:v>1.9245369732436813E-3</c:v>
                </c:pt>
                <c:pt idx="12">
                  <c:v>6.4151232441456022E-4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86720"/>
        <c:axId val="172288256"/>
      </c:barChart>
      <c:catAx>
        <c:axId val="1722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288256"/>
        <c:crosses val="autoZero"/>
        <c:auto val="1"/>
        <c:lblAlgn val="ctr"/>
        <c:lblOffset val="100"/>
        <c:noMultiLvlLbl val="0"/>
      </c:catAx>
      <c:valAx>
        <c:axId val="17228825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7228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Exponential Distribution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lambda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'Exponential Distribution'!$G$3:$G$23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'Exponential Distribution'!$H$3:$H$23</c:f>
              <c:numCache>
                <c:formatCode>General</c:formatCode>
                <c:ptCount val="21"/>
                <c:pt idx="0">
                  <c:v>1</c:v>
                </c:pt>
                <c:pt idx="1">
                  <c:v>0.81873075307798182</c:v>
                </c:pt>
                <c:pt idx="2">
                  <c:v>0.67032004603563933</c:v>
                </c:pt>
                <c:pt idx="3">
                  <c:v>0.54881163609402639</c:v>
                </c:pt>
                <c:pt idx="4">
                  <c:v>0.44932896411722156</c:v>
                </c:pt>
                <c:pt idx="5">
                  <c:v>0.36787944117144233</c:v>
                </c:pt>
                <c:pt idx="6">
                  <c:v>0.30119421191220214</c:v>
                </c:pt>
                <c:pt idx="7">
                  <c:v>0.24659696394160649</c:v>
                </c:pt>
                <c:pt idx="8">
                  <c:v>0.20189651799465544</c:v>
                </c:pt>
                <c:pt idx="9">
                  <c:v>0.16529888822158656</c:v>
                </c:pt>
                <c:pt idx="10">
                  <c:v>0.13533528323661273</c:v>
                </c:pt>
                <c:pt idx="11">
                  <c:v>0.11080315836233391</c:v>
                </c:pt>
                <c:pt idx="12">
                  <c:v>9.0717953289412512E-2</c:v>
                </c:pt>
                <c:pt idx="13">
                  <c:v>7.4273578214333877E-2</c:v>
                </c:pt>
                <c:pt idx="14">
                  <c:v>6.0810062625217952E-2</c:v>
                </c:pt>
                <c:pt idx="15">
                  <c:v>4.9787068367863924E-2</c:v>
                </c:pt>
                <c:pt idx="16">
                  <c:v>4.076220397836619E-2</c:v>
                </c:pt>
                <c:pt idx="17">
                  <c:v>3.3373269960326052E-2</c:v>
                </c:pt>
                <c:pt idx="18">
                  <c:v>2.7323722447292535E-2</c:v>
                </c:pt>
                <c:pt idx="19">
                  <c:v>2.237077185616557E-2</c:v>
                </c:pt>
                <c:pt idx="20">
                  <c:v>1.8315638888734165E-2</c:v>
                </c:pt>
              </c:numCache>
            </c:numRef>
          </c:val>
          <c:smooth val="0"/>
        </c:ser>
        <c:ser>
          <c:idx val="1"/>
          <c:order val="1"/>
          <c:tx>
            <c:v>lambda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'Exponential Distribution'!$G$3:$G$23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'Exponential Distribution'!$I$3:$I$23</c:f>
              <c:numCache>
                <c:formatCode>General</c:formatCode>
                <c:ptCount val="21"/>
                <c:pt idx="0">
                  <c:v>2</c:v>
                </c:pt>
                <c:pt idx="1">
                  <c:v>1.3406400920712787</c:v>
                </c:pt>
                <c:pt idx="2">
                  <c:v>0.89865792823444313</c:v>
                </c:pt>
                <c:pt idx="3">
                  <c:v>0.60238842382440405</c:v>
                </c:pt>
                <c:pt idx="4">
                  <c:v>0.40379303598931077</c:v>
                </c:pt>
                <c:pt idx="5">
                  <c:v>0.2706705664732254</c:v>
                </c:pt>
                <c:pt idx="6">
                  <c:v>0.18143590657882502</c:v>
                </c:pt>
                <c:pt idx="7">
                  <c:v>0.12162012525043595</c:v>
                </c:pt>
                <c:pt idx="8">
                  <c:v>8.152440795673245E-2</c:v>
                </c:pt>
                <c:pt idx="9">
                  <c:v>5.4647444894585138E-2</c:v>
                </c:pt>
                <c:pt idx="10">
                  <c:v>3.6631277777468378E-2</c:v>
                </c:pt>
                <c:pt idx="11">
                  <c:v>2.4554679806136896E-2</c:v>
                </c:pt>
                <c:pt idx="12">
                  <c:v>1.645949409804006E-2</c:v>
                </c:pt>
                <c:pt idx="13">
                  <c:v>1.1033128841521543E-2</c:v>
                </c:pt>
                <c:pt idx="14">
                  <c:v>7.395727432965858E-3</c:v>
                </c:pt>
                <c:pt idx="15">
                  <c:v>4.9575043533327126E-3</c:v>
                </c:pt>
                <c:pt idx="16">
                  <c:v>3.3231145463478648E-3</c:v>
                </c:pt>
                <c:pt idx="17">
                  <c:v>2.2275502956896026E-3</c:v>
                </c:pt>
                <c:pt idx="18">
                  <c:v>1.4931716167533558E-3</c:v>
                </c:pt>
                <c:pt idx="19">
                  <c:v>1.0009028668812191E-3</c:v>
                </c:pt>
                <c:pt idx="20">
                  <c:v>6.7092525580502251E-4</c:v>
                </c:pt>
              </c:numCache>
            </c:numRef>
          </c:val>
          <c:smooth val="0"/>
        </c:ser>
        <c:ser>
          <c:idx val="2"/>
          <c:order val="2"/>
          <c:tx>
            <c:v>lambda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'Exponential Distribution'!$G$3:$G$23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</c:numCache>
            </c:numRef>
          </c:cat>
          <c:val>
            <c:numRef>
              <c:f>'Exponential Distribution'!$J$3:$J$23</c:f>
              <c:numCache>
                <c:formatCode>General</c:formatCode>
                <c:ptCount val="21"/>
                <c:pt idx="0">
                  <c:v>3</c:v>
                </c:pt>
                <c:pt idx="1">
                  <c:v>1.6464349082820791</c:v>
                </c:pt>
                <c:pt idx="2">
                  <c:v>0.90358263573660613</c:v>
                </c:pt>
                <c:pt idx="3">
                  <c:v>0.49589666466475951</c:v>
                </c:pt>
                <c:pt idx="4">
                  <c:v>0.27215385986823742</c:v>
                </c:pt>
                <c:pt idx="5">
                  <c:v>0.14936120510359183</c:v>
                </c:pt>
                <c:pt idx="6">
                  <c:v>8.1971167341877704E-2</c:v>
                </c:pt>
                <c:pt idx="7">
                  <c:v>4.4986730461433151E-2</c:v>
                </c:pt>
                <c:pt idx="8">
                  <c:v>2.468924114706009E-2</c:v>
                </c:pt>
                <c:pt idx="9">
                  <c:v>1.354974282783801E-2</c:v>
                </c:pt>
                <c:pt idx="10">
                  <c:v>7.4362565299990815E-3</c:v>
                </c:pt>
                <c:pt idx="11">
                  <c:v>4.0811041126436812E-3</c:v>
                </c:pt>
                <c:pt idx="12">
                  <c:v>2.2397574251300395E-3</c:v>
                </c:pt>
                <c:pt idx="13">
                  <c:v>1.2292049369393592E-3</c:v>
                </c:pt>
                <c:pt idx="14">
                  <c:v>6.7460197253654461E-4</c:v>
                </c:pt>
                <c:pt idx="15">
                  <c:v>3.7022941226003798E-4</c:v>
                </c:pt>
                <c:pt idx="16">
                  <c:v>2.0318620947256132E-4</c:v>
                </c:pt>
                <c:pt idx="17">
                  <c:v>1.115109560523798E-4</c:v>
                </c:pt>
                <c:pt idx="18">
                  <c:v>6.1198510233515655E-5</c:v>
                </c:pt>
                <c:pt idx="19">
                  <c:v>3.3586454527772699E-5</c:v>
                </c:pt>
                <c:pt idx="20">
                  <c:v>1.8432637059984564E-5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7232"/>
        <c:axId val="172373120"/>
      </c:lineChart>
      <c:catAx>
        <c:axId val="17236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73120"/>
        <c:crosses val="autoZero"/>
        <c:auto val="1"/>
        <c:lblAlgn val="ctr"/>
        <c:lblOffset val="100"/>
        <c:tickLblSkip val="5"/>
        <c:tickMarkSkip val="4"/>
        <c:noMultiLvlLbl val="0"/>
      </c:catAx>
      <c:valAx>
        <c:axId val="17237312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IQ Scores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1'!$B$3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cat>
            <c:numRef>
              <c:f>'Normal 1'!$A$4:$A$104</c:f>
              <c:numCache>
                <c:formatCode>General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'Normal 1'!$B$4:$B$104</c:f>
              <c:numCache>
                <c:formatCode>0.0000</c:formatCode>
                <c:ptCount val="101"/>
                <c:pt idx="0">
                  <c:v>1.8889112719992226E-4</c:v>
                </c:pt>
                <c:pt idx="1">
                  <c:v>2.2918514664338913E-4</c:v>
                </c:pt>
                <c:pt idx="2">
                  <c:v>2.7699052574612547E-4</c:v>
                </c:pt>
                <c:pt idx="3">
                  <c:v>3.3346242072414468E-4</c:v>
                </c:pt>
                <c:pt idx="4">
                  <c:v>3.9988251942022228E-4</c:v>
                </c:pt>
                <c:pt idx="5">
                  <c:v>4.776628636716501E-4</c:v>
                </c:pt>
                <c:pt idx="6">
                  <c:v>5.6834765634944081E-4</c:v>
                </c:pt>
                <c:pt idx="7">
                  <c:v>6.7361260626693149E-4</c:v>
                </c:pt>
                <c:pt idx="8">
                  <c:v>7.9526134980196454E-4</c:v>
                </c:pt>
                <c:pt idx="9">
                  <c:v>9.3521848661962169E-4</c:v>
                </c:pt>
                <c:pt idx="10">
                  <c:v>1.0955187808480338E-3</c:v>
                </c:pt>
                <c:pt idx="11">
                  <c:v>1.2782921107988374E-3</c:v>
                </c:pt>
                <c:pt idx="12">
                  <c:v>1.4857438018696129E-3</c:v>
                </c:pt>
                <c:pt idx="13">
                  <c:v>1.7201300501815293E-3</c:v>
                </c:pt>
                <c:pt idx="14">
                  <c:v>1.9837282397292136E-3</c:v>
                </c:pt>
                <c:pt idx="15">
                  <c:v>2.2788020735120089E-3</c:v>
                </c:pt>
                <c:pt idx="16">
                  <c:v>2.6075615785211633E-3</c:v>
                </c:pt>
                <c:pt idx="17">
                  <c:v>2.9721182037899768E-3</c:v>
                </c:pt>
                <c:pt idx="18">
                  <c:v>3.3744354070742539E-3</c:v>
                </c:pt>
                <c:pt idx="19">
                  <c:v>3.8162753150666464E-3</c:v>
                </c:pt>
                <c:pt idx="20">
                  <c:v>4.299142239168244E-3</c:v>
                </c:pt>
                <c:pt idx="21">
                  <c:v>4.8242240274819197E-3</c:v>
                </c:pt>
                <c:pt idx="22">
                  <c:v>5.3923324266569707E-3</c:v>
                </c:pt>
                <c:pt idx="23">
                  <c:v>6.0038438065695846E-3</c:v>
                </c:pt>
                <c:pt idx="24">
                  <c:v>6.6586417581615672E-3</c:v>
                </c:pt>
                <c:pt idx="25">
                  <c:v>7.3560632015200033E-3</c:v>
                </c:pt>
                <c:pt idx="26">
                  <c:v>8.094849729118234E-3</c:v>
                </c:pt>
                <c:pt idx="27">
                  <c:v>8.8731059503259716E-3</c:v>
                </c:pt>
                <c:pt idx="28">
                  <c:v>9.6882665911433262E-3</c:v>
                </c:pt>
                <c:pt idx="29">
                  <c:v>1.0537074032382195E-2</c:v>
                </c:pt>
                <c:pt idx="30">
                  <c:v>1.141556783681387E-2</c:v>
                </c:pt>
                <c:pt idx="31">
                  <c:v>1.2319087619911706E-2</c:v>
                </c:pt>
                <c:pt idx="32">
                  <c:v>1.3242290360981217E-2</c:v>
                </c:pt>
                <c:pt idx="33">
                  <c:v>1.417918293555079E-2</c:v>
                </c:pt>
                <c:pt idx="34">
                  <c:v>1.512317028244646E-2</c:v>
                </c:pt>
                <c:pt idx="35">
                  <c:v>1.6067119209170918E-2</c:v>
                </c:pt>
                <c:pt idx="36">
                  <c:v>1.700343739865897E-2</c:v>
                </c:pt>
                <c:pt idx="37">
                  <c:v>1.7924166722900904E-2</c:v>
                </c:pt>
                <c:pt idx="38">
                  <c:v>1.8821089509675277E-2</c:v>
                </c:pt>
                <c:pt idx="39">
                  <c:v>1.9685845964162084E-2</c:v>
                </c:pt>
                <c:pt idx="40">
                  <c:v>2.0510060534398442E-2</c:v>
                </c:pt>
                <c:pt idx="41">
                  <c:v>2.1285474644989418E-2</c:v>
                </c:pt>
                <c:pt idx="42">
                  <c:v>2.200408292276872E-2</c:v>
                </c:pt>
                <c:pt idx="43">
                  <c:v>2.2658269815027828E-2</c:v>
                </c:pt>
                <c:pt idx="44">
                  <c:v>2.3240943366860559E-2</c:v>
                </c:pt>
                <c:pt idx="45">
                  <c:v>2.3745662887414237E-2</c:v>
                </c:pt>
                <c:pt idx="46">
                  <c:v>2.4166757300178077E-2</c:v>
                </c:pt>
                <c:pt idx="47">
                  <c:v>2.4499431140785746E-2</c:v>
                </c:pt>
                <c:pt idx="48">
                  <c:v>2.4739855434046845E-2</c:v>
                </c:pt>
                <c:pt idx="49">
                  <c:v>2.4885241042930415E-2</c:v>
                </c:pt>
                <c:pt idx="50">
                  <c:v>2.4933892525089544E-2</c:v>
                </c:pt>
                <c:pt idx="51">
                  <c:v>2.4885241042930415E-2</c:v>
                </c:pt>
                <c:pt idx="52">
                  <c:v>2.4739855434046845E-2</c:v>
                </c:pt>
                <c:pt idx="53">
                  <c:v>2.4499431140785746E-2</c:v>
                </c:pt>
                <c:pt idx="54">
                  <c:v>2.4166757300178077E-2</c:v>
                </c:pt>
                <c:pt idx="55">
                  <c:v>2.3745662887414237E-2</c:v>
                </c:pt>
                <c:pt idx="56">
                  <c:v>2.3240943366860559E-2</c:v>
                </c:pt>
                <c:pt idx="57">
                  <c:v>2.2658269815027828E-2</c:v>
                </c:pt>
                <c:pt idx="58">
                  <c:v>2.200408292276872E-2</c:v>
                </c:pt>
                <c:pt idx="59">
                  <c:v>2.1285474644989418E-2</c:v>
                </c:pt>
                <c:pt idx="60">
                  <c:v>2.0510060534398442E-2</c:v>
                </c:pt>
                <c:pt idx="61">
                  <c:v>1.9685845964162084E-2</c:v>
                </c:pt>
                <c:pt idx="62">
                  <c:v>1.8821089509675277E-2</c:v>
                </c:pt>
                <c:pt idx="63">
                  <c:v>1.7924166722900904E-2</c:v>
                </c:pt>
                <c:pt idx="64">
                  <c:v>1.700343739865897E-2</c:v>
                </c:pt>
                <c:pt idx="65">
                  <c:v>1.6067119209170918E-2</c:v>
                </c:pt>
                <c:pt idx="66">
                  <c:v>1.512317028244646E-2</c:v>
                </c:pt>
                <c:pt idx="67">
                  <c:v>1.417918293555079E-2</c:v>
                </c:pt>
                <c:pt idx="68">
                  <c:v>1.3242290360981217E-2</c:v>
                </c:pt>
                <c:pt idx="69">
                  <c:v>1.2319087619911706E-2</c:v>
                </c:pt>
                <c:pt idx="70">
                  <c:v>1.141556783681387E-2</c:v>
                </c:pt>
                <c:pt idx="71">
                  <c:v>1.0537074032382195E-2</c:v>
                </c:pt>
                <c:pt idx="72">
                  <c:v>9.6882665911433262E-3</c:v>
                </c:pt>
                <c:pt idx="73">
                  <c:v>8.8731059503259716E-3</c:v>
                </c:pt>
                <c:pt idx="74">
                  <c:v>8.094849729118234E-3</c:v>
                </c:pt>
                <c:pt idx="75">
                  <c:v>7.3560632015200033E-3</c:v>
                </c:pt>
                <c:pt idx="76">
                  <c:v>6.6586417581615672E-3</c:v>
                </c:pt>
                <c:pt idx="77">
                  <c:v>6.0038438065695846E-3</c:v>
                </c:pt>
                <c:pt idx="78">
                  <c:v>5.3923324266569707E-3</c:v>
                </c:pt>
                <c:pt idx="79">
                  <c:v>4.8242240274819197E-3</c:v>
                </c:pt>
                <c:pt idx="80">
                  <c:v>4.299142239168244E-3</c:v>
                </c:pt>
                <c:pt idx="81">
                  <c:v>3.8162753150666464E-3</c:v>
                </c:pt>
                <c:pt idx="82">
                  <c:v>3.3744354070742539E-3</c:v>
                </c:pt>
                <c:pt idx="83">
                  <c:v>2.9721182037899768E-3</c:v>
                </c:pt>
                <c:pt idx="84">
                  <c:v>2.6075615785211633E-3</c:v>
                </c:pt>
                <c:pt idx="85">
                  <c:v>2.2788020735120089E-3</c:v>
                </c:pt>
                <c:pt idx="86">
                  <c:v>1.9837282397292136E-3</c:v>
                </c:pt>
                <c:pt idx="87">
                  <c:v>1.7201300501815293E-3</c:v>
                </c:pt>
                <c:pt idx="88">
                  <c:v>1.4857438018696129E-3</c:v>
                </c:pt>
                <c:pt idx="89">
                  <c:v>1.2782921107988374E-3</c:v>
                </c:pt>
                <c:pt idx="90">
                  <c:v>1.0955187808480338E-3</c:v>
                </c:pt>
                <c:pt idx="91">
                  <c:v>9.3521848661962169E-4</c:v>
                </c:pt>
                <c:pt idx="92">
                  <c:v>7.9526134980196454E-4</c:v>
                </c:pt>
                <c:pt idx="93">
                  <c:v>6.7361260626693149E-4</c:v>
                </c:pt>
                <c:pt idx="94">
                  <c:v>5.6834765634944081E-4</c:v>
                </c:pt>
                <c:pt idx="95">
                  <c:v>4.776628636716501E-4</c:v>
                </c:pt>
                <c:pt idx="96">
                  <c:v>3.9988251942022228E-4</c:v>
                </c:pt>
                <c:pt idx="97">
                  <c:v>3.3346242072414468E-4</c:v>
                </c:pt>
                <c:pt idx="98">
                  <c:v>2.7699052574612547E-4</c:v>
                </c:pt>
                <c:pt idx="99">
                  <c:v>2.2918514664338913E-4</c:v>
                </c:pt>
                <c:pt idx="100">
                  <c:v>1.8889112719992226E-4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03328"/>
        <c:axId val="172004864"/>
      </c:lineChart>
      <c:catAx>
        <c:axId val="1720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0048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2004864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crossAx val="1720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Z-Scores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1'!$B$107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'Normal 1'!$A$108:$A$133</c:f>
              <c:numCache>
                <c:formatCode>0.00</c:formatCode>
                <c:ptCount val="26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  <c:pt idx="25">
                  <c:v>3.25</c:v>
                </c:pt>
              </c:numCache>
            </c:numRef>
          </c:cat>
          <c:val>
            <c:numRef>
              <c:f>'Normal 1'!$B$108:$B$133</c:f>
              <c:numCache>
                <c:formatCode>0.0000</c:formatCode>
                <c:ptCount val="26"/>
                <c:pt idx="0">
                  <c:v>4.4318484119380075E-3</c:v>
                </c:pt>
                <c:pt idx="1">
                  <c:v>9.0935625015910529E-3</c:v>
                </c:pt>
                <c:pt idx="2">
                  <c:v>1.752830049356854E-2</c:v>
                </c:pt>
                <c:pt idx="3">
                  <c:v>3.1739651835667418E-2</c:v>
                </c:pt>
                <c:pt idx="4">
                  <c:v>5.3990966513188063E-2</c:v>
                </c:pt>
                <c:pt idx="5">
                  <c:v>8.6277318826511532E-2</c:v>
                </c:pt>
                <c:pt idx="6">
                  <c:v>0.12951759566589174</c:v>
                </c:pt>
                <c:pt idx="7">
                  <c:v>0.18264908538902191</c:v>
                </c:pt>
                <c:pt idx="8">
                  <c:v>0.24197072451914337</c:v>
                </c:pt>
                <c:pt idx="9">
                  <c:v>0.30113743215480443</c:v>
                </c:pt>
                <c:pt idx="10">
                  <c:v>0.35206532676429952</c:v>
                </c:pt>
                <c:pt idx="11">
                  <c:v>0.38666811680284924</c:v>
                </c:pt>
                <c:pt idx="12">
                  <c:v>0.3989422804014327</c:v>
                </c:pt>
                <c:pt idx="13">
                  <c:v>0.38666811680284924</c:v>
                </c:pt>
                <c:pt idx="14">
                  <c:v>0.35206532676429952</c:v>
                </c:pt>
                <c:pt idx="15">
                  <c:v>0.30113743215480443</c:v>
                </c:pt>
                <c:pt idx="16">
                  <c:v>0.24197072451914337</c:v>
                </c:pt>
                <c:pt idx="17">
                  <c:v>0.18264908538902191</c:v>
                </c:pt>
                <c:pt idx="18">
                  <c:v>0.12951759566589174</c:v>
                </c:pt>
                <c:pt idx="19">
                  <c:v>8.6277318826511532E-2</c:v>
                </c:pt>
                <c:pt idx="20">
                  <c:v>5.3990966513188063E-2</c:v>
                </c:pt>
                <c:pt idx="21">
                  <c:v>3.1739651835667418E-2</c:v>
                </c:pt>
                <c:pt idx="22">
                  <c:v>1.752830049356854E-2</c:v>
                </c:pt>
                <c:pt idx="23">
                  <c:v>9.0935625015910529E-3</c:v>
                </c:pt>
                <c:pt idx="24">
                  <c:v>4.4318484119380075E-3</c:v>
                </c:pt>
                <c:pt idx="25">
                  <c:v>2.0290480572997681E-3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11680"/>
        <c:axId val="172313216"/>
      </c:lineChart>
      <c:catAx>
        <c:axId val="172311680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crossAx val="172313216"/>
        <c:crosses val="autoZero"/>
        <c:auto val="1"/>
        <c:lblAlgn val="ctr"/>
        <c:lblOffset val="100"/>
        <c:noMultiLvlLbl val="0"/>
      </c:catAx>
      <c:valAx>
        <c:axId val="17231321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7231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IQ of Populations P1 and P2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1'!$B$139</c:f>
              <c:strCache>
                <c:ptCount val="1"/>
                <c:pt idx="0">
                  <c:v>P1</c:v>
                </c:pt>
              </c:strCache>
            </c:strRef>
          </c:tx>
          <c:marker>
            <c:symbol val="none"/>
          </c:marker>
          <c:cat>
            <c:numRef>
              <c:f>'Normal 1'!$A$140:$A$172</c:f>
              <c:numCache>
                <c:formatCode>General</c:formatCode>
                <c:ptCount val="33"/>
                <c:pt idx="0">
                  <c:v>52</c:v>
                </c:pt>
                <c:pt idx="1">
                  <c:v>56</c:v>
                </c:pt>
                <c:pt idx="2">
                  <c:v>60</c:v>
                </c:pt>
                <c:pt idx="3">
                  <c:v>64</c:v>
                </c:pt>
                <c:pt idx="4">
                  <c:v>68</c:v>
                </c:pt>
                <c:pt idx="5">
                  <c:v>72</c:v>
                </c:pt>
                <c:pt idx="6">
                  <c:v>76</c:v>
                </c:pt>
                <c:pt idx="7">
                  <c:v>80</c:v>
                </c:pt>
                <c:pt idx="8">
                  <c:v>84</c:v>
                </c:pt>
                <c:pt idx="9">
                  <c:v>88</c:v>
                </c:pt>
                <c:pt idx="10">
                  <c:v>92</c:v>
                </c:pt>
                <c:pt idx="11">
                  <c:v>96</c:v>
                </c:pt>
                <c:pt idx="12">
                  <c:v>100</c:v>
                </c:pt>
                <c:pt idx="13">
                  <c:v>104</c:v>
                </c:pt>
                <c:pt idx="14">
                  <c:v>108</c:v>
                </c:pt>
                <c:pt idx="15">
                  <c:v>112</c:v>
                </c:pt>
                <c:pt idx="16">
                  <c:v>116</c:v>
                </c:pt>
                <c:pt idx="17">
                  <c:v>120</c:v>
                </c:pt>
                <c:pt idx="18">
                  <c:v>124</c:v>
                </c:pt>
                <c:pt idx="19">
                  <c:v>128</c:v>
                </c:pt>
                <c:pt idx="20">
                  <c:v>132</c:v>
                </c:pt>
                <c:pt idx="21">
                  <c:v>136</c:v>
                </c:pt>
                <c:pt idx="22">
                  <c:v>140</c:v>
                </c:pt>
                <c:pt idx="23">
                  <c:v>144</c:v>
                </c:pt>
                <c:pt idx="24">
                  <c:v>148</c:v>
                </c:pt>
                <c:pt idx="25">
                  <c:v>152</c:v>
                </c:pt>
                <c:pt idx="26">
                  <c:v>156</c:v>
                </c:pt>
                <c:pt idx="27">
                  <c:v>160</c:v>
                </c:pt>
                <c:pt idx="28">
                  <c:v>164</c:v>
                </c:pt>
                <c:pt idx="29">
                  <c:v>168</c:v>
                </c:pt>
                <c:pt idx="30">
                  <c:v>172</c:v>
                </c:pt>
                <c:pt idx="31">
                  <c:v>176</c:v>
                </c:pt>
                <c:pt idx="32">
                  <c:v>180</c:v>
                </c:pt>
              </c:numCache>
            </c:numRef>
          </c:cat>
          <c:val>
            <c:numRef>
              <c:f>'Normal 1'!$B$140:$B$172</c:f>
              <c:numCache>
                <c:formatCode>0.0000</c:formatCode>
                <c:ptCount val="33"/>
                <c:pt idx="0">
                  <c:v>2.7699052574612547E-4</c:v>
                </c:pt>
                <c:pt idx="1">
                  <c:v>5.6834765634944081E-4</c:v>
                </c:pt>
                <c:pt idx="2">
                  <c:v>1.0955187808480338E-3</c:v>
                </c:pt>
                <c:pt idx="3">
                  <c:v>1.9837282397292136E-3</c:v>
                </c:pt>
                <c:pt idx="4">
                  <c:v>3.3744354070742539E-3</c:v>
                </c:pt>
                <c:pt idx="5">
                  <c:v>5.3923324266569707E-3</c:v>
                </c:pt>
                <c:pt idx="6">
                  <c:v>8.094849729118234E-3</c:v>
                </c:pt>
                <c:pt idx="7">
                  <c:v>1.141556783681387E-2</c:v>
                </c:pt>
                <c:pt idx="8">
                  <c:v>1.512317028244646E-2</c:v>
                </c:pt>
                <c:pt idx="9">
                  <c:v>1.8821089509675277E-2</c:v>
                </c:pt>
                <c:pt idx="10">
                  <c:v>2.200408292276872E-2</c:v>
                </c:pt>
                <c:pt idx="11">
                  <c:v>2.4166757300178077E-2</c:v>
                </c:pt>
                <c:pt idx="12">
                  <c:v>2.4933892525089544E-2</c:v>
                </c:pt>
                <c:pt idx="13">
                  <c:v>2.4166757300178077E-2</c:v>
                </c:pt>
                <c:pt idx="14">
                  <c:v>2.200408292276872E-2</c:v>
                </c:pt>
                <c:pt idx="15">
                  <c:v>1.8821089509675277E-2</c:v>
                </c:pt>
                <c:pt idx="16">
                  <c:v>1.512317028244646E-2</c:v>
                </c:pt>
                <c:pt idx="17">
                  <c:v>1.141556783681387E-2</c:v>
                </c:pt>
                <c:pt idx="18">
                  <c:v>8.094849729118234E-3</c:v>
                </c:pt>
                <c:pt idx="19">
                  <c:v>5.3923324266569707E-3</c:v>
                </c:pt>
                <c:pt idx="20">
                  <c:v>3.3744354070742539E-3</c:v>
                </c:pt>
                <c:pt idx="21">
                  <c:v>1.9837282397292136E-3</c:v>
                </c:pt>
                <c:pt idx="22">
                  <c:v>1.0955187808480338E-3</c:v>
                </c:pt>
                <c:pt idx="23">
                  <c:v>5.6834765634944081E-4</c:v>
                </c:pt>
                <c:pt idx="24">
                  <c:v>2.7699052574612547E-4</c:v>
                </c:pt>
                <c:pt idx="25">
                  <c:v>1.2681550358123551E-4</c:v>
                </c:pt>
                <c:pt idx="26">
                  <c:v>5.454266844036001E-5</c:v>
                </c:pt>
                <c:pt idx="27">
                  <c:v>2.2037230147965338E-5</c:v>
                </c:pt>
                <c:pt idx="28">
                  <c:v>8.3643891103053355E-6</c:v>
                </c:pt>
                <c:pt idx="29">
                  <c:v>2.9824147838253095E-6</c:v>
                </c:pt>
                <c:pt idx="30">
                  <c:v>9.9898381918159216E-7</c:v>
                </c:pt>
                <c:pt idx="31">
                  <c:v>3.1434420553702784E-7</c:v>
                </c:pt>
                <c:pt idx="32">
                  <c:v>9.2919969670893605E-8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'Normal 1'!$C$139</c:f>
              <c:strCache>
                <c:ptCount val="1"/>
                <c:pt idx="0">
                  <c:v>P2</c:v>
                </c:pt>
              </c:strCache>
            </c:strRef>
          </c:tx>
          <c:marker>
            <c:symbol val="none"/>
          </c:marker>
          <c:cat>
            <c:numRef>
              <c:f>'Normal 1'!$A$140:$A$172</c:f>
              <c:numCache>
                <c:formatCode>General</c:formatCode>
                <c:ptCount val="33"/>
                <c:pt idx="0">
                  <c:v>52</c:v>
                </c:pt>
                <c:pt idx="1">
                  <c:v>56</c:v>
                </c:pt>
                <c:pt idx="2">
                  <c:v>60</c:v>
                </c:pt>
                <c:pt idx="3">
                  <c:v>64</c:v>
                </c:pt>
                <c:pt idx="4">
                  <c:v>68</c:v>
                </c:pt>
                <c:pt idx="5">
                  <c:v>72</c:v>
                </c:pt>
                <c:pt idx="6">
                  <c:v>76</c:v>
                </c:pt>
                <c:pt idx="7">
                  <c:v>80</c:v>
                </c:pt>
                <c:pt idx="8">
                  <c:v>84</c:v>
                </c:pt>
                <c:pt idx="9">
                  <c:v>88</c:v>
                </c:pt>
                <c:pt idx="10">
                  <c:v>92</c:v>
                </c:pt>
                <c:pt idx="11">
                  <c:v>96</c:v>
                </c:pt>
                <c:pt idx="12">
                  <c:v>100</c:v>
                </c:pt>
                <c:pt idx="13">
                  <c:v>104</c:v>
                </c:pt>
                <c:pt idx="14">
                  <c:v>108</c:v>
                </c:pt>
                <c:pt idx="15">
                  <c:v>112</c:v>
                </c:pt>
                <c:pt idx="16">
                  <c:v>116</c:v>
                </c:pt>
                <c:pt idx="17">
                  <c:v>120</c:v>
                </c:pt>
                <c:pt idx="18">
                  <c:v>124</c:v>
                </c:pt>
                <c:pt idx="19">
                  <c:v>128</c:v>
                </c:pt>
                <c:pt idx="20">
                  <c:v>132</c:v>
                </c:pt>
                <c:pt idx="21">
                  <c:v>136</c:v>
                </c:pt>
                <c:pt idx="22">
                  <c:v>140</c:v>
                </c:pt>
                <c:pt idx="23">
                  <c:v>144</c:v>
                </c:pt>
                <c:pt idx="24">
                  <c:v>148</c:v>
                </c:pt>
                <c:pt idx="25">
                  <c:v>152</c:v>
                </c:pt>
                <c:pt idx="26">
                  <c:v>156</c:v>
                </c:pt>
                <c:pt idx="27">
                  <c:v>160</c:v>
                </c:pt>
                <c:pt idx="28">
                  <c:v>164</c:v>
                </c:pt>
                <c:pt idx="29">
                  <c:v>168</c:v>
                </c:pt>
                <c:pt idx="30">
                  <c:v>172</c:v>
                </c:pt>
                <c:pt idx="31">
                  <c:v>176</c:v>
                </c:pt>
                <c:pt idx="32">
                  <c:v>180</c:v>
                </c:pt>
              </c:numCache>
            </c:numRef>
          </c:cat>
          <c:val>
            <c:numRef>
              <c:f>'Normal 1'!$C$140:$C$172</c:f>
              <c:numCache>
                <c:formatCode>0.0000</c:formatCode>
                <c:ptCount val="33"/>
                <c:pt idx="0">
                  <c:v>8.3643891103053355E-6</c:v>
                </c:pt>
                <c:pt idx="1">
                  <c:v>2.2037230147965338E-5</c:v>
                </c:pt>
                <c:pt idx="2">
                  <c:v>5.454266844036001E-5</c:v>
                </c:pt>
                <c:pt idx="3">
                  <c:v>1.2681550358123551E-4</c:v>
                </c:pt>
                <c:pt idx="4">
                  <c:v>2.7699052574612547E-4</c:v>
                </c:pt>
                <c:pt idx="5">
                  <c:v>5.6834765634944081E-4</c:v>
                </c:pt>
                <c:pt idx="6">
                  <c:v>1.0955187808480338E-3</c:v>
                </c:pt>
                <c:pt idx="7">
                  <c:v>1.9837282397292136E-3</c:v>
                </c:pt>
                <c:pt idx="8">
                  <c:v>3.3744354070742539E-3</c:v>
                </c:pt>
                <c:pt idx="9">
                  <c:v>5.3923324266569707E-3</c:v>
                </c:pt>
                <c:pt idx="10">
                  <c:v>8.094849729118234E-3</c:v>
                </c:pt>
                <c:pt idx="11">
                  <c:v>1.141556783681387E-2</c:v>
                </c:pt>
                <c:pt idx="12">
                  <c:v>1.512317028244646E-2</c:v>
                </c:pt>
                <c:pt idx="13">
                  <c:v>1.8821089509675277E-2</c:v>
                </c:pt>
                <c:pt idx="14">
                  <c:v>2.200408292276872E-2</c:v>
                </c:pt>
                <c:pt idx="15">
                  <c:v>2.4166757300178077E-2</c:v>
                </c:pt>
                <c:pt idx="16">
                  <c:v>2.4933892525089544E-2</c:v>
                </c:pt>
                <c:pt idx="17">
                  <c:v>2.4166757300178077E-2</c:v>
                </c:pt>
                <c:pt idx="18">
                  <c:v>2.200408292276872E-2</c:v>
                </c:pt>
                <c:pt idx="19">
                  <c:v>1.8821089509675277E-2</c:v>
                </c:pt>
                <c:pt idx="20">
                  <c:v>1.512317028244646E-2</c:v>
                </c:pt>
                <c:pt idx="21">
                  <c:v>1.141556783681387E-2</c:v>
                </c:pt>
                <c:pt idx="22">
                  <c:v>8.094849729118234E-3</c:v>
                </c:pt>
                <c:pt idx="23">
                  <c:v>5.3923324266569707E-3</c:v>
                </c:pt>
                <c:pt idx="24">
                  <c:v>3.3744354070742539E-3</c:v>
                </c:pt>
                <c:pt idx="25">
                  <c:v>1.9837282397292136E-3</c:v>
                </c:pt>
                <c:pt idx="26">
                  <c:v>1.0955187808480338E-3</c:v>
                </c:pt>
                <c:pt idx="27">
                  <c:v>5.6834765634944081E-4</c:v>
                </c:pt>
                <c:pt idx="28">
                  <c:v>2.7699052574612547E-4</c:v>
                </c:pt>
                <c:pt idx="29">
                  <c:v>1.2681550358123551E-4</c:v>
                </c:pt>
                <c:pt idx="30">
                  <c:v>5.454266844036001E-5</c:v>
                </c:pt>
                <c:pt idx="31">
                  <c:v>2.2037230147965338E-5</c:v>
                </c:pt>
                <c:pt idx="32">
                  <c:v>8.3643891103053355E-6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39168"/>
        <c:axId val="172040960"/>
      </c:lineChart>
      <c:catAx>
        <c:axId val="1720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040960"/>
        <c:crosses val="autoZero"/>
        <c:auto val="1"/>
        <c:lblAlgn val="ctr"/>
        <c:lblOffset val="100"/>
        <c:tickLblSkip val="3"/>
        <c:noMultiLvlLbl val="0"/>
      </c:catAx>
      <c:valAx>
        <c:axId val="172040960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crossAx val="17203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= 0.976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Scatter'!$A$4:$A$13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Scatter'!$B$4:$B$13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16</c:v>
                </c:pt>
                <c:pt idx="7">
                  <c:v>21</c:v>
                </c:pt>
                <c:pt idx="8">
                  <c:v>6</c:v>
                </c:pt>
                <c:pt idx="9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36704"/>
        <c:axId val="172142976"/>
      </c:scatterChart>
      <c:valAx>
        <c:axId val="17213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42976"/>
        <c:crosses val="autoZero"/>
        <c:crossBetween val="midCat"/>
      </c:valAx>
      <c:valAx>
        <c:axId val="1721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36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 = .300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Scatter'!$A$18:$A$27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Scatter'!$B$18:$B$27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21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54240"/>
        <c:axId val="172160512"/>
      </c:scatterChart>
      <c:valAx>
        <c:axId val="17215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60512"/>
        <c:crosses val="autoZero"/>
        <c:crossBetween val="midCat"/>
      </c:valAx>
      <c:valAx>
        <c:axId val="17216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5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 </a:t>
            </a:r>
            <a:r>
              <a:rPr lang="en-GB"/>
              <a:t>= -0.912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Scatter'!$A$32:$A$41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Scatter'!$B$32:$B$41</c:f>
              <c:numCache>
                <c:formatCode>General</c:formatCode>
                <c:ptCount val="10"/>
                <c:pt idx="0">
                  <c:v>21</c:v>
                </c:pt>
                <c:pt idx="1">
                  <c:v>13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</c:v>
                </c:pt>
                <c:pt idx="8">
                  <c:v>14</c:v>
                </c:pt>
                <c:pt idx="9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175552"/>
        <c:axId val="173177472"/>
      </c:scatterChart>
      <c:valAx>
        <c:axId val="17317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77472"/>
        <c:crosses val="autoZero"/>
        <c:crossBetween val="midCat"/>
      </c:valAx>
      <c:valAx>
        <c:axId val="1731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75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= 0.068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Scatter'!$A$46:$A$55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Scatter'!$B$46:$B$55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21</c:v>
                </c:pt>
                <c:pt idx="4">
                  <c:v>12</c:v>
                </c:pt>
                <c:pt idx="5">
                  <c:v>14</c:v>
                </c:pt>
                <c:pt idx="6">
                  <c:v>2</c:v>
                </c:pt>
                <c:pt idx="7">
                  <c:v>16</c:v>
                </c:pt>
                <c:pt idx="8">
                  <c:v>12</c:v>
                </c:pt>
                <c:pt idx="9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01280"/>
        <c:axId val="173211648"/>
      </c:scatterChart>
      <c:valAx>
        <c:axId val="17320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11648"/>
        <c:crosses val="autoZero"/>
        <c:crossBetween val="midCat"/>
      </c:valAx>
      <c:valAx>
        <c:axId val="17321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0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Non-linear Association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 1'!$A$4:$A$13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 1'!$B$4:$B$13</c:f>
              <c:numCache>
                <c:formatCode>General</c:formatCode>
                <c:ptCount val="10"/>
                <c:pt idx="0">
                  <c:v>66</c:v>
                </c:pt>
                <c:pt idx="1">
                  <c:v>16</c:v>
                </c:pt>
                <c:pt idx="2">
                  <c:v>45</c:v>
                </c:pt>
                <c:pt idx="3">
                  <c:v>15</c:v>
                </c:pt>
                <c:pt idx="4">
                  <c:v>68</c:v>
                </c:pt>
                <c:pt idx="5">
                  <c:v>23</c:v>
                </c:pt>
                <c:pt idx="6">
                  <c:v>78</c:v>
                </c:pt>
                <c:pt idx="7">
                  <c:v>62</c:v>
                </c:pt>
                <c:pt idx="8">
                  <c:v>36</c:v>
                </c:pt>
                <c:pt idx="9">
                  <c:v>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56704"/>
        <c:axId val="173258624"/>
      </c:scatterChart>
      <c:valAx>
        <c:axId val="17325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58624"/>
        <c:crosses val="autoZero"/>
        <c:crossBetween val="midCat"/>
      </c:valAx>
      <c:valAx>
        <c:axId val="173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56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1</xdr:row>
      <xdr:rowOff>104774</xdr:rowOff>
    </xdr:from>
    <xdr:to>
      <xdr:col>12</xdr:col>
      <xdr:colOff>19050</xdr:colOff>
      <xdr:row>14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19050</xdr:rowOff>
    </xdr:from>
    <xdr:to>
      <xdr:col>8</xdr:col>
      <xdr:colOff>495300</xdr:colOff>
      <xdr:row>13</xdr:row>
      <xdr:rowOff>43815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100012</xdr:rowOff>
    </xdr:from>
    <xdr:to>
      <xdr:col>10</xdr:col>
      <xdr:colOff>361950</xdr:colOff>
      <xdr:row>15</xdr:row>
      <xdr:rowOff>73342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</xdr:row>
      <xdr:rowOff>176212</xdr:rowOff>
    </xdr:from>
    <xdr:to>
      <xdr:col>18</xdr:col>
      <xdr:colOff>306388</xdr:colOff>
      <xdr:row>14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209550</xdr:colOff>
      <xdr:row>19</xdr:row>
      <xdr:rowOff>33337</xdr:rowOff>
    </xdr:from>
    <xdr:to>
      <xdr:col>10</xdr:col>
      <xdr:colOff>315913</xdr:colOff>
      <xdr:row>32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80962</xdr:rowOff>
    </xdr:from>
    <xdr:to>
      <xdr:col>9</xdr:col>
      <xdr:colOff>485775</xdr:colOff>
      <xdr:row>14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19050</xdr:rowOff>
    </xdr:from>
    <xdr:to>
      <xdr:col>11</xdr:col>
      <xdr:colOff>438150</xdr:colOff>
      <xdr:row>12</xdr:row>
      <xdr:rowOff>129540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514350</xdr:colOff>
      <xdr:row>1</xdr:row>
      <xdr:rowOff>19050</xdr:rowOff>
    </xdr:from>
    <xdr:to>
      <xdr:col>17</xdr:col>
      <xdr:colOff>571500</xdr:colOff>
      <xdr:row>12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</xdr:row>
      <xdr:rowOff>61912</xdr:rowOff>
    </xdr:from>
    <xdr:to>
      <xdr:col>19</xdr:col>
      <xdr:colOff>428625</xdr:colOff>
      <xdr:row>15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17</xdr:row>
      <xdr:rowOff>9525</xdr:rowOff>
    </xdr:from>
    <xdr:to>
      <xdr:col>9</xdr:col>
      <xdr:colOff>38100</xdr:colOff>
      <xdr:row>27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200025</xdr:colOff>
      <xdr:row>2</xdr:row>
      <xdr:rowOff>128587</xdr:rowOff>
    </xdr:from>
    <xdr:to>
      <xdr:col>20</xdr:col>
      <xdr:colOff>504825</xdr:colOff>
      <xdr:row>17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180975</xdr:colOff>
      <xdr:row>20</xdr:row>
      <xdr:rowOff>61912</xdr:rowOff>
    </xdr:from>
    <xdr:to>
      <xdr:col>20</xdr:col>
      <xdr:colOff>485775</xdr:colOff>
      <xdr:row>34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40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276725" y="167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219075</xdr:colOff>
      <xdr:row>2</xdr:row>
      <xdr:rowOff>4762</xdr:rowOff>
    </xdr:from>
    <xdr:to>
      <xdr:col>10</xdr:col>
      <xdr:colOff>523875</xdr:colOff>
      <xdr:row>16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27</xdr:row>
      <xdr:rowOff>95250</xdr:rowOff>
    </xdr:from>
    <xdr:to>
      <xdr:col>10</xdr:col>
      <xdr:colOff>542925</xdr:colOff>
      <xdr:row>41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8</xdr:row>
      <xdr:rowOff>66675</xdr:rowOff>
    </xdr:from>
    <xdr:ext cx="184731" cy="264560"/>
    <xdr:sp macro="" textlink="">
      <xdr:nvSpPr>
        <xdr:cNvPr id="2" name="TextBox 1"/>
        <xdr:cNvSpPr txBox="1"/>
      </xdr:nvSpPr>
      <xdr:spPr>
        <a:xfrm>
          <a:off x="4276725" y="1016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19050</xdr:colOff>
      <xdr:row>9</xdr:row>
      <xdr:rowOff>109537</xdr:rowOff>
    </xdr:from>
    <xdr:to>
      <xdr:col>12</xdr:col>
      <xdr:colOff>323850</xdr:colOff>
      <xdr:row>23</xdr:row>
      <xdr:rowOff>185737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119062</xdr:rowOff>
    </xdr:from>
    <xdr:to>
      <xdr:col>17</xdr:col>
      <xdr:colOff>371475</xdr:colOff>
      <xdr:row>15</xdr:row>
      <xdr:rowOff>4762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15</xdr:row>
      <xdr:rowOff>180975</xdr:rowOff>
    </xdr:from>
    <xdr:to>
      <xdr:col>17</xdr:col>
      <xdr:colOff>371475</xdr:colOff>
      <xdr:row>30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31</xdr:row>
      <xdr:rowOff>161925</xdr:rowOff>
    </xdr:from>
    <xdr:to>
      <xdr:col>17</xdr:col>
      <xdr:colOff>361950</xdr:colOff>
      <xdr:row>46</xdr:row>
      <xdr:rowOff>47625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2</xdr:row>
      <xdr:rowOff>176212</xdr:rowOff>
    </xdr:from>
    <xdr:to>
      <xdr:col>18</xdr:col>
      <xdr:colOff>28575</xdr:colOff>
      <xdr:row>17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3</xdr:row>
      <xdr:rowOff>4762</xdr:rowOff>
    </xdr:from>
    <xdr:to>
      <xdr:col>13</xdr:col>
      <xdr:colOff>47625</xdr:colOff>
      <xdr:row>17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106</xdr:row>
      <xdr:rowOff>61912</xdr:rowOff>
    </xdr:from>
    <xdr:to>
      <xdr:col>13</xdr:col>
      <xdr:colOff>361950</xdr:colOff>
      <xdr:row>120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138</xdr:row>
      <xdr:rowOff>4762</xdr:rowOff>
    </xdr:from>
    <xdr:to>
      <xdr:col>13</xdr:col>
      <xdr:colOff>323850</xdr:colOff>
      <xdr:row>152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185737</xdr:rowOff>
    </xdr:from>
    <xdr:to>
      <xdr:col>10</xdr:col>
      <xdr:colOff>504825</xdr:colOff>
      <xdr:row>16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16</xdr:row>
      <xdr:rowOff>90487</xdr:rowOff>
    </xdr:from>
    <xdr:to>
      <xdr:col>10</xdr:col>
      <xdr:colOff>504825</xdr:colOff>
      <xdr:row>30</xdr:row>
      <xdr:rowOff>166687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16</xdr:row>
      <xdr:rowOff>80962</xdr:rowOff>
    </xdr:from>
    <xdr:to>
      <xdr:col>18</xdr:col>
      <xdr:colOff>219075</xdr:colOff>
      <xdr:row>30</xdr:row>
      <xdr:rowOff>157162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2</xdr:row>
      <xdr:rowOff>4762</xdr:rowOff>
    </xdr:from>
    <xdr:to>
      <xdr:col>18</xdr:col>
      <xdr:colOff>219075</xdr:colOff>
      <xdr:row>16</xdr:row>
      <xdr:rowOff>80962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4762</xdr:rowOff>
    </xdr:from>
    <xdr:to>
      <xdr:col>10</xdr:col>
      <xdr:colOff>504825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1"/>
  <sheetViews>
    <sheetView workbookViewId="0">
      <selection activeCell="C24" sqref="C24"/>
    </sheetView>
  </sheetViews>
  <sheetFormatPr defaultRowHeight="15" x14ac:dyDescent="0.25"/>
  <sheetData>
    <row r="1" spans="1:4" x14ac:dyDescent="0.25">
      <c r="A1" s="1" t="s">
        <v>0</v>
      </c>
    </row>
    <row r="2" spans="1:4" x14ac:dyDescent="0.25">
      <c r="A2" t="s">
        <v>1</v>
      </c>
    </row>
    <row r="4" spans="1:4" x14ac:dyDescent="0.25">
      <c r="B4" s="2" t="s">
        <v>2</v>
      </c>
      <c r="C4" s="2" t="s">
        <v>3</v>
      </c>
      <c r="D4" s="2" t="s">
        <v>4</v>
      </c>
    </row>
    <row r="5" spans="1:4" x14ac:dyDescent="0.25">
      <c r="A5" s="1" t="s">
        <v>5</v>
      </c>
      <c r="B5" s="3">
        <v>23.5</v>
      </c>
      <c r="C5" s="4">
        <v>12.3</v>
      </c>
      <c r="D5" s="5">
        <v>15</v>
      </c>
    </row>
    <row r="6" spans="1:4" x14ac:dyDescent="0.25">
      <c r="A6" s="1" t="s">
        <v>6</v>
      </c>
      <c r="B6" s="6">
        <v>13.8</v>
      </c>
      <c r="C6" s="7">
        <v>8.1</v>
      </c>
      <c r="D6" s="8">
        <v>5.5</v>
      </c>
    </row>
    <row r="7" spans="1:4" x14ac:dyDescent="0.25">
      <c r="A7" s="1" t="s">
        <v>7</v>
      </c>
      <c r="B7" s="6">
        <v>17.3</v>
      </c>
      <c r="C7" s="7">
        <v>4.5</v>
      </c>
      <c r="D7" s="8">
        <v>6.9</v>
      </c>
    </row>
    <row r="8" spans="1:4" x14ac:dyDescent="0.25">
      <c r="A8" s="1" t="s">
        <v>8</v>
      </c>
      <c r="B8" s="6">
        <v>14.8</v>
      </c>
      <c r="C8" s="7">
        <v>6.8</v>
      </c>
      <c r="D8" s="8">
        <v>2.7</v>
      </c>
    </row>
    <row r="9" spans="1:4" x14ac:dyDescent="0.25">
      <c r="A9" s="1" t="s">
        <v>9</v>
      </c>
      <c r="B9" s="6">
        <v>7.2</v>
      </c>
      <c r="C9" s="7">
        <v>4.2</v>
      </c>
      <c r="D9" s="8">
        <v>1.6</v>
      </c>
    </row>
    <row r="10" spans="1:4" x14ac:dyDescent="0.25">
      <c r="A10" s="1" t="s">
        <v>10</v>
      </c>
      <c r="B10" s="9">
        <v>29.5</v>
      </c>
      <c r="C10" s="10">
        <v>21.4</v>
      </c>
      <c r="D10" s="11">
        <v>11.6</v>
      </c>
    </row>
    <row r="11" spans="1:4" x14ac:dyDescent="0.25">
      <c r="A11" t="s">
        <v>11</v>
      </c>
      <c r="B11">
        <f>SUM(B5:B10)</f>
        <v>106.1</v>
      </c>
      <c r="C11">
        <f>SUM(C5:C10)</f>
        <v>57.3</v>
      </c>
      <c r="D11">
        <f>SUM(D5:D10)</f>
        <v>43.3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/>
  </sheetViews>
  <sheetFormatPr defaultRowHeight="15" x14ac:dyDescent="0.25"/>
  <sheetData>
    <row r="1" spans="1:2" x14ac:dyDescent="0.25">
      <c r="A1" s="1" t="s">
        <v>12</v>
      </c>
    </row>
    <row r="3" spans="1:2" x14ac:dyDescent="0.25">
      <c r="A3" s="12" t="s">
        <v>14</v>
      </c>
      <c r="B3" s="12" t="s">
        <v>15</v>
      </c>
    </row>
    <row r="4" spans="1:2" x14ac:dyDescent="0.25">
      <c r="A4">
        <v>31</v>
      </c>
      <c r="B4">
        <v>23500</v>
      </c>
    </row>
    <row r="5" spans="1:2" x14ac:dyDescent="0.25">
      <c r="A5">
        <f t="shared" ref="A5:A13" si="0">A4+1</f>
        <v>32</v>
      </c>
      <c r="B5">
        <v>24000</v>
      </c>
    </row>
    <row r="6" spans="1:2" x14ac:dyDescent="0.25">
      <c r="A6">
        <f t="shared" si="0"/>
        <v>33</v>
      </c>
      <c r="B6">
        <v>25000</v>
      </c>
    </row>
    <row r="7" spans="1:2" x14ac:dyDescent="0.25">
      <c r="A7">
        <f t="shared" si="0"/>
        <v>34</v>
      </c>
      <c r="B7">
        <v>26700</v>
      </c>
    </row>
    <row r="8" spans="1:2" x14ac:dyDescent="0.25">
      <c r="A8">
        <f t="shared" si="0"/>
        <v>35</v>
      </c>
      <c r="B8">
        <v>27500</v>
      </c>
    </row>
    <row r="9" spans="1:2" x14ac:dyDescent="0.25">
      <c r="A9">
        <f t="shared" si="0"/>
        <v>36</v>
      </c>
      <c r="B9">
        <v>29200</v>
      </c>
    </row>
    <row r="10" spans="1:2" x14ac:dyDescent="0.25">
      <c r="A10">
        <f t="shared" si="0"/>
        <v>37</v>
      </c>
      <c r="B10">
        <v>33000</v>
      </c>
    </row>
    <row r="11" spans="1:2" x14ac:dyDescent="0.25">
      <c r="A11">
        <f t="shared" si="0"/>
        <v>38</v>
      </c>
      <c r="B11">
        <v>35100</v>
      </c>
    </row>
    <row r="12" spans="1:2" x14ac:dyDescent="0.25">
      <c r="A12">
        <f t="shared" si="0"/>
        <v>39</v>
      </c>
      <c r="B12">
        <v>37400</v>
      </c>
    </row>
    <row r="13" spans="1:2" x14ac:dyDescent="0.25">
      <c r="A13">
        <f t="shared" si="0"/>
        <v>40</v>
      </c>
      <c r="B13">
        <v>39500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5"/>
  <dimension ref="A1:C31"/>
  <sheetViews>
    <sheetView topLeftCell="A10" workbookViewId="0"/>
  </sheetViews>
  <sheetFormatPr defaultRowHeight="15" x14ac:dyDescent="0.25"/>
  <sheetData>
    <row r="1" spans="1:3" x14ac:dyDescent="0.25">
      <c r="A1" s="1" t="s">
        <v>143</v>
      </c>
    </row>
    <row r="3" spans="1:3" x14ac:dyDescent="0.25">
      <c r="A3" s="12" t="s">
        <v>14</v>
      </c>
      <c r="B3" s="12" t="s">
        <v>15</v>
      </c>
      <c r="C3" s="12" t="s">
        <v>142</v>
      </c>
    </row>
    <row r="4" spans="1:3" x14ac:dyDescent="0.25">
      <c r="A4">
        <v>31</v>
      </c>
      <c r="B4">
        <v>23500</v>
      </c>
      <c r="C4">
        <v>6000</v>
      </c>
    </row>
    <row r="5" spans="1:3" x14ac:dyDescent="0.25">
      <c r="A5">
        <f t="shared" ref="A5:A13" si="0">A4+1</f>
        <v>32</v>
      </c>
      <c r="B5">
        <v>24000</v>
      </c>
      <c r="C5">
        <v>6500</v>
      </c>
    </row>
    <row r="6" spans="1:3" x14ac:dyDescent="0.25">
      <c r="A6">
        <f t="shared" si="0"/>
        <v>33</v>
      </c>
      <c r="B6">
        <v>25000</v>
      </c>
      <c r="C6">
        <v>7000</v>
      </c>
    </row>
    <row r="7" spans="1:3" x14ac:dyDescent="0.25">
      <c r="A7">
        <f t="shared" si="0"/>
        <v>34</v>
      </c>
      <c r="B7">
        <v>26700</v>
      </c>
      <c r="C7">
        <v>4500</v>
      </c>
    </row>
    <row r="8" spans="1:3" x14ac:dyDescent="0.25">
      <c r="A8">
        <f t="shared" si="0"/>
        <v>35</v>
      </c>
      <c r="B8">
        <v>27500</v>
      </c>
      <c r="C8">
        <v>6000</v>
      </c>
    </row>
    <row r="9" spans="1:3" x14ac:dyDescent="0.25">
      <c r="A9">
        <f t="shared" si="0"/>
        <v>36</v>
      </c>
      <c r="B9">
        <v>29200</v>
      </c>
      <c r="C9">
        <v>7500</v>
      </c>
    </row>
    <row r="10" spans="1:3" x14ac:dyDescent="0.25">
      <c r="A10">
        <f t="shared" si="0"/>
        <v>37</v>
      </c>
      <c r="B10">
        <v>33000</v>
      </c>
      <c r="C10">
        <v>8000</v>
      </c>
    </row>
    <row r="11" spans="1:3" x14ac:dyDescent="0.25">
      <c r="A11">
        <f t="shared" si="0"/>
        <v>38</v>
      </c>
      <c r="B11">
        <v>35100</v>
      </c>
      <c r="C11">
        <v>9000</v>
      </c>
    </row>
    <row r="12" spans="1:3" x14ac:dyDescent="0.25">
      <c r="A12">
        <f t="shared" si="0"/>
        <v>39</v>
      </c>
      <c r="B12">
        <v>37400</v>
      </c>
      <c r="C12">
        <v>7000</v>
      </c>
    </row>
    <row r="13" spans="1:3" x14ac:dyDescent="0.25">
      <c r="A13">
        <f t="shared" si="0"/>
        <v>40</v>
      </c>
      <c r="B13">
        <v>39500</v>
      </c>
      <c r="C13">
        <v>12000</v>
      </c>
    </row>
    <row r="21" spans="1:3" x14ac:dyDescent="0.25">
      <c r="A21" s="12" t="s">
        <v>14</v>
      </c>
      <c r="B21" s="12" t="s">
        <v>15</v>
      </c>
      <c r="C21" s="12" t="s">
        <v>142</v>
      </c>
    </row>
    <row r="22" spans="1:3" x14ac:dyDescent="0.25">
      <c r="A22">
        <v>31</v>
      </c>
      <c r="B22">
        <v>23500</v>
      </c>
      <c r="C22">
        <v>6000</v>
      </c>
    </row>
    <row r="23" spans="1:3" x14ac:dyDescent="0.25">
      <c r="A23">
        <f t="shared" ref="A23:A31" si="1">A22+1</f>
        <v>32</v>
      </c>
      <c r="B23">
        <v>24000</v>
      </c>
      <c r="C23">
        <v>6500</v>
      </c>
    </row>
    <row r="24" spans="1:3" x14ac:dyDescent="0.25">
      <c r="A24">
        <f t="shared" si="1"/>
        <v>33</v>
      </c>
      <c r="B24">
        <v>25000</v>
      </c>
      <c r="C24">
        <v>7000</v>
      </c>
    </row>
    <row r="25" spans="1:3" x14ac:dyDescent="0.25">
      <c r="A25">
        <f t="shared" si="1"/>
        <v>34</v>
      </c>
      <c r="B25">
        <v>26700</v>
      </c>
      <c r="C25">
        <v>4500</v>
      </c>
    </row>
    <row r="26" spans="1:3" x14ac:dyDescent="0.25">
      <c r="A26">
        <f t="shared" si="1"/>
        <v>35</v>
      </c>
      <c r="B26">
        <v>27500</v>
      </c>
      <c r="C26">
        <v>6000</v>
      </c>
    </row>
    <row r="27" spans="1:3" x14ac:dyDescent="0.25">
      <c r="A27">
        <f t="shared" si="1"/>
        <v>36</v>
      </c>
      <c r="B27">
        <v>29200</v>
      </c>
      <c r="C27">
        <v>7500</v>
      </c>
    </row>
    <row r="28" spans="1:3" x14ac:dyDescent="0.25">
      <c r="A28">
        <f t="shared" si="1"/>
        <v>37</v>
      </c>
      <c r="B28">
        <v>33000</v>
      </c>
      <c r="C28">
        <v>8000</v>
      </c>
    </row>
    <row r="29" spans="1:3" x14ac:dyDescent="0.25">
      <c r="A29">
        <f t="shared" si="1"/>
        <v>38</v>
      </c>
      <c r="B29">
        <v>35100</v>
      </c>
      <c r="C29">
        <v>9000</v>
      </c>
    </row>
    <row r="30" spans="1:3" x14ac:dyDescent="0.25">
      <c r="A30">
        <f t="shared" si="1"/>
        <v>39</v>
      </c>
      <c r="B30">
        <v>37400</v>
      </c>
      <c r="C30">
        <v>7000</v>
      </c>
    </row>
    <row r="31" spans="1:3" x14ac:dyDescent="0.25">
      <c r="A31">
        <f t="shared" si="1"/>
        <v>40</v>
      </c>
      <c r="B31">
        <v>39500</v>
      </c>
      <c r="C31">
        <v>12000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B9"/>
  <sheetViews>
    <sheetView workbookViewId="0">
      <selection activeCell="L1" sqref="L1:O17"/>
    </sheetView>
  </sheetViews>
  <sheetFormatPr defaultRowHeight="15" x14ac:dyDescent="0.25"/>
  <sheetData>
    <row r="1" spans="1:2" x14ac:dyDescent="0.25">
      <c r="A1" s="1" t="s">
        <v>208</v>
      </c>
    </row>
    <row r="3" spans="1:2" x14ac:dyDescent="0.25">
      <c r="A3" s="116" t="s">
        <v>161</v>
      </c>
      <c r="B3" s="116" t="s">
        <v>13</v>
      </c>
    </row>
    <row r="4" spans="1:2" x14ac:dyDescent="0.25">
      <c r="A4">
        <v>1</v>
      </c>
      <c r="B4">
        <v>5</v>
      </c>
    </row>
    <row r="5" spans="1:2" x14ac:dyDescent="0.25">
      <c r="A5">
        <v>2</v>
      </c>
      <c r="B5">
        <v>7</v>
      </c>
    </row>
    <row r="6" spans="1:2" x14ac:dyDescent="0.25">
      <c r="A6">
        <v>3</v>
      </c>
      <c r="B6">
        <v>4</v>
      </c>
    </row>
    <row r="7" spans="1:2" x14ac:dyDescent="0.25">
      <c r="A7">
        <v>4</v>
      </c>
      <c r="B7">
        <v>8</v>
      </c>
    </row>
    <row r="8" spans="1:2" x14ac:dyDescent="0.25">
      <c r="A8">
        <v>5</v>
      </c>
      <c r="B8">
        <v>10</v>
      </c>
    </row>
    <row r="9" spans="1:2" x14ac:dyDescent="0.25">
      <c r="A9" s="68">
        <v>6</v>
      </c>
      <c r="B9" s="68">
        <v>14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6"/>
  <dimension ref="A1:N22"/>
  <sheetViews>
    <sheetView workbookViewId="0">
      <selection activeCell="C13" sqref="C13"/>
    </sheetView>
  </sheetViews>
  <sheetFormatPr defaultRowHeight="15" x14ac:dyDescent="0.25"/>
  <cols>
    <col min="1" max="1" width="12.5703125" customWidth="1"/>
    <col min="6" max="6" width="11" customWidth="1"/>
  </cols>
  <sheetData>
    <row r="1" spans="1:14" x14ac:dyDescent="0.25">
      <c r="A1" s="1" t="s">
        <v>144</v>
      </c>
    </row>
    <row r="2" spans="1:14" x14ac:dyDescent="0.25">
      <c r="A2" s="1"/>
    </row>
    <row r="3" spans="1:14" x14ac:dyDescent="0.25">
      <c r="A3" s="1"/>
      <c r="B3" s="12" t="s">
        <v>179</v>
      </c>
      <c r="C3" s="12" t="s">
        <v>180</v>
      </c>
      <c r="D3" s="12" t="s">
        <v>181</v>
      </c>
      <c r="L3" s="12" t="s">
        <v>179</v>
      </c>
      <c r="M3" s="12" t="s">
        <v>180</v>
      </c>
      <c r="N3" s="12" t="s">
        <v>181</v>
      </c>
    </row>
    <row r="4" spans="1:14" x14ac:dyDescent="0.25">
      <c r="A4" s="1"/>
      <c r="B4" s="71">
        <v>5</v>
      </c>
      <c r="C4" s="71">
        <v>5</v>
      </c>
      <c r="D4" s="71">
        <v>5</v>
      </c>
      <c r="L4" s="84">
        <v>5</v>
      </c>
      <c r="M4" s="82">
        <v>5</v>
      </c>
      <c r="N4" s="85">
        <v>5</v>
      </c>
    </row>
    <row r="5" spans="1:14" x14ac:dyDescent="0.25">
      <c r="A5" s="1"/>
      <c r="B5" s="47">
        <v>2</v>
      </c>
      <c r="C5" s="47">
        <v>2</v>
      </c>
      <c r="D5" s="47">
        <v>2</v>
      </c>
      <c r="L5" s="48">
        <v>2</v>
      </c>
      <c r="M5" s="7">
        <v>2</v>
      </c>
      <c r="N5" s="49">
        <v>2</v>
      </c>
    </row>
    <row r="6" spans="1:14" x14ac:dyDescent="0.25">
      <c r="A6" s="1"/>
      <c r="B6" s="47">
        <v>-1</v>
      </c>
      <c r="C6" s="47">
        <v>-1</v>
      </c>
      <c r="D6" s="47">
        <v>-1</v>
      </c>
      <c r="L6" s="48">
        <v>-1</v>
      </c>
      <c r="M6" s="7">
        <v>-1</v>
      </c>
      <c r="N6" s="49">
        <v>-1</v>
      </c>
    </row>
    <row r="7" spans="1:14" x14ac:dyDescent="0.25">
      <c r="A7" s="1"/>
      <c r="B7" s="47">
        <v>3</v>
      </c>
      <c r="C7" s="47">
        <v>3</v>
      </c>
      <c r="D7" s="47">
        <v>3</v>
      </c>
      <c r="G7" s="12" t="s">
        <v>182</v>
      </c>
      <c r="H7" s="12" t="s">
        <v>183</v>
      </c>
      <c r="I7" s="12" t="s">
        <v>184</v>
      </c>
      <c r="L7" s="48">
        <v>3</v>
      </c>
      <c r="M7" s="7">
        <v>3</v>
      </c>
      <c r="N7" s="49">
        <v>3</v>
      </c>
    </row>
    <row r="8" spans="1:14" x14ac:dyDescent="0.25">
      <c r="A8" s="1"/>
      <c r="B8" s="47">
        <v>7</v>
      </c>
      <c r="C8" s="47">
        <v>7</v>
      </c>
      <c r="D8" s="47">
        <v>7</v>
      </c>
      <c r="G8" s="71">
        <v>50</v>
      </c>
      <c r="H8" s="71">
        <v>1.05</v>
      </c>
      <c r="I8" s="71">
        <v>5</v>
      </c>
      <c r="L8" s="48">
        <v>7</v>
      </c>
      <c r="M8" s="7">
        <v>7</v>
      </c>
      <c r="N8" s="49">
        <v>7</v>
      </c>
    </row>
    <row r="9" spans="1:14" x14ac:dyDescent="0.25">
      <c r="A9" s="1"/>
      <c r="B9" s="47">
        <v>5</v>
      </c>
      <c r="C9" s="47">
        <v>5</v>
      </c>
      <c r="D9" s="47">
        <v>8</v>
      </c>
      <c r="G9" s="46">
        <v>80</v>
      </c>
      <c r="H9" s="47">
        <v>1.05</v>
      </c>
      <c r="I9" s="47">
        <v>2</v>
      </c>
      <c r="L9" s="48">
        <v>5</v>
      </c>
      <c r="M9" s="7">
        <v>5</v>
      </c>
      <c r="N9" s="49">
        <v>8</v>
      </c>
    </row>
    <row r="10" spans="1:14" x14ac:dyDescent="0.25">
      <c r="A10" s="1"/>
      <c r="B10" s="47">
        <v>0</v>
      </c>
      <c r="C10" s="47">
        <v>0</v>
      </c>
      <c r="D10" s="47">
        <v>0</v>
      </c>
      <c r="H10" s="47">
        <v>1.1000000000000001</v>
      </c>
      <c r="I10" s="47">
        <v>-1</v>
      </c>
      <c r="L10" s="48">
        <v>0</v>
      </c>
      <c r="M10" s="7">
        <v>0</v>
      </c>
      <c r="N10" s="49">
        <v>0</v>
      </c>
    </row>
    <row r="11" spans="1:14" x14ac:dyDescent="0.25">
      <c r="A11" s="1"/>
      <c r="B11" s="46"/>
      <c r="C11" s="46">
        <v>2</v>
      </c>
      <c r="D11" s="46">
        <v>6</v>
      </c>
      <c r="H11" s="46">
        <v>1.1000000000000001</v>
      </c>
      <c r="I11" s="46">
        <v>0</v>
      </c>
      <c r="L11" s="43"/>
      <c r="M11" s="68">
        <v>2</v>
      </c>
      <c r="N11" s="44">
        <v>6</v>
      </c>
    </row>
    <row r="12" spans="1:14" x14ac:dyDescent="0.25">
      <c r="A12" s="1"/>
    </row>
    <row r="13" spans="1:14" x14ac:dyDescent="0.25">
      <c r="A13" t="s">
        <v>146</v>
      </c>
      <c r="B13" s="65">
        <f>AVERAGE(B4:B11)</f>
        <v>3</v>
      </c>
      <c r="C13" s="61">
        <f>AVERAGE(C4:C11)</f>
        <v>2.875</v>
      </c>
      <c r="D13" s="66">
        <f>AVERAGE(D4:D11)</f>
        <v>3.75</v>
      </c>
      <c r="F13" t="s">
        <v>149</v>
      </c>
      <c r="G13" s="65">
        <f>GEOMEAN(G8:G11)</f>
        <v>63.245553203367585</v>
      </c>
      <c r="H13" s="61">
        <f>GEOMEAN(H8:H11)</f>
        <v>1.074709263010234</v>
      </c>
      <c r="I13" s="66" t="e">
        <f>GEOMEAN(I8:I11)</f>
        <v>#NUM!</v>
      </c>
    </row>
    <row r="14" spans="1:14" x14ac:dyDescent="0.25">
      <c r="A14" s="1"/>
    </row>
    <row r="15" spans="1:14" x14ac:dyDescent="0.25">
      <c r="A15" s="16" t="s">
        <v>147</v>
      </c>
      <c r="B15" s="65">
        <f>MEDIAN(B4:B11)</f>
        <v>3</v>
      </c>
      <c r="C15" s="61">
        <f>MEDIAN(C4:C11)</f>
        <v>2.5</v>
      </c>
      <c r="D15" s="66">
        <f>MEDIAN(D4:D11)</f>
        <v>4</v>
      </c>
    </row>
    <row r="17" spans="1:4" x14ac:dyDescent="0.25">
      <c r="A17" t="s">
        <v>145</v>
      </c>
      <c r="B17" s="65">
        <f>MODE(B4:B11)</f>
        <v>5</v>
      </c>
      <c r="C17" s="61">
        <f>MODE(C4:C11)</f>
        <v>5</v>
      </c>
      <c r="D17" s="66" t="e">
        <f>MODE(D4:D11)</f>
        <v>#N/A</v>
      </c>
    </row>
    <row r="19" spans="1:4" x14ac:dyDescent="0.25">
      <c r="A19" t="s">
        <v>203</v>
      </c>
      <c r="B19" s="65">
        <f>_xlfn.MODE.SNGL(B4:B11)</f>
        <v>5</v>
      </c>
      <c r="C19" s="61">
        <f>_xlfn.MODE.SNGL(C4:C11)</f>
        <v>5</v>
      </c>
      <c r="D19" s="66" t="e">
        <f>_xlfn.MODE.SNGL(D4:D11)</f>
        <v>#N/A</v>
      </c>
    </row>
    <row r="21" spans="1:4" x14ac:dyDescent="0.25">
      <c r="A21" t="s">
        <v>148</v>
      </c>
      <c r="B21" s="84">
        <f t="array" ref="B21:B22">_xlfn.MODE.MULT(B4:B11)</f>
        <v>5</v>
      </c>
      <c r="C21" s="70">
        <f t="array" ref="C21:C22">_xlfn.MODE.MULT(C4:C11)</f>
        <v>5</v>
      </c>
      <c r="D21" s="85" t="e">
        <f t="array" ref="D21:D22">_xlfn.MODE.MULT(D4:D11)</f>
        <v>#N/A</v>
      </c>
    </row>
    <row r="22" spans="1:4" x14ac:dyDescent="0.25">
      <c r="B22" s="43">
        <v>5</v>
      </c>
      <c r="C22" s="68">
        <v>2</v>
      </c>
      <c r="D22" s="44" t="e">
        <v>#N/A</v>
      </c>
    </row>
  </sheetData>
  <pageMargins left="0.7" right="0.7" top="0.75" bottom="0.75" header="0.3" footer="0.3"/>
  <ignoredErrors>
    <ignoredError sqref="D17 D19 D2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4"/>
  <sheetViews>
    <sheetView workbookViewId="0">
      <selection activeCell="B19" sqref="B19"/>
    </sheetView>
  </sheetViews>
  <sheetFormatPr defaultRowHeight="15" x14ac:dyDescent="0.25"/>
  <cols>
    <col min="1" max="1" width="21.140625" customWidth="1"/>
    <col min="2" max="2" width="11.140625" customWidth="1"/>
    <col min="3" max="3" width="5" customWidth="1"/>
    <col min="4" max="4" width="72.5703125" customWidth="1"/>
  </cols>
  <sheetData>
    <row r="1" spans="1:4" x14ac:dyDescent="0.25">
      <c r="A1" s="1" t="s">
        <v>22</v>
      </c>
    </row>
    <row r="3" spans="1:4" x14ac:dyDescent="0.25">
      <c r="A3" t="s">
        <v>23</v>
      </c>
    </row>
    <row r="5" spans="1:4" x14ac:dyDescent="0.25">
      <c r="A5" t="s">
        <v>24</v>
      </c>
      <c r="B5" s="13">
        <v>0.05</v>
      </c>
      <c r="D5" t="s">
        <v>25</v>
      </c>
    </row>
    <row r="6" spans="1:4" x14ac:dyDescent="0.25">
      <c r="A6" t="s">
        <v>26</v>
      </c>
      <c r="B6" s="13">
        <v>0.08</v>
      </c>
      <c r="D6" t="s">
        <v>27</v>
      </c>
    </row>
    <row r="7" spans="1:4" x14ac:dyDescent="0.25">
      <c r="A7" t="s">
        <v>28</v>
      </c>
      <c r="B7" s="13">
        <v>0.1</v>
      </c>
      <c r="D7" t="s">
        <v>29</v>
      </c>
    </row>
    <row r="8" spans="1:4" x14ac:dyDescent="0.25">
      <c r="B8" s="13"/>
    </row>
    <row r="9" spans="1:4" x14ac:dyDescent="0.25">
      <c r="A9" t="s">
        <v>30</v>
      </c>
      <c r="B9" s="13">
        <f>1+B5</f>
        <v>1.05</v>
      </c>
      <c r="D9" s="14" t="s">
        <v>31</v>
      </c>
    </row>
    <row r="10" spans="1:4" x14ac:dyDescent="0.25">
      <c r="A10" t="s">
        <v>32</v>
      </c>
      <c r="B10" s="13">
        <f>1+B6</f>
        <v>1.08</v>
      </c>
      <c r="D10" s="14" t="s">
        <v>33</v>
      </c>
    </row>
    <row r="11" spans="1:4" x14ac:dyDescent="0.25">
      <c r="A11" t="s">
        <v>34</v>
      </c>
      <c r="B11" s="13">
        <f>1+B7</f>
        <v>1.1000000000000001</v>
      </c>
      <c r="D11" s="14" t="s">
        <v>35</v>
      </c>
    </row>
    <row r="13" spans="1:4" x14ac:dyDescent="0.25">
      <c r="A13" t="s">
        <v>36</v>
      </c>
      <c r="B13" s="15">
        <f>B5+1</f>
        <v>1.05</v>
      </c>
      <c r="D13" s="14" t="s">
        <v>37</v>
      </c>
    </row>
    <row r="14" spans="1:4" x14ac:dyDescent="0.25">
      <c r="A14" t="s">
        <v>38</v>
      </c>
      <c r="B14" s="15">
        <f>(B6+1)*B13</f>
        <v>1.1340000000000001</v>
      </c>
      <c r="D14" s="14" t="s">
        <v>39</v>
      </c>
    </row>
    <row r="15" spans="1:4" x14ac:dyDescent="0.25">
      <c r="A15" t="s">
        <v>40</v>
      </c>
      <c r="B15" s="15">
        <f>(B7+1)*B14</f>
        <v>1.2474000000000003</v>
      </c>
      <c r="D15" s="14" t="s">
        <v>41</v>
      </c>
    </row>
    <row r="16" spans="1:4" x14ac:dyDescent="0.25">
      <c r="B16" s="15"/>
    </row>
    <row r="17" spans="1:4" x14ac:dyDescent="0.25">
      <c r="A17" t="s">
        <v>42</v>
      </c>
      <c r="B17" s="15">
        <f>GEOMEAN(B9:B11)</f>
        <v>1.076469955893838</v>
      </c>
      <c r="D17" s="14" t="s">
        <v>43</v>
      </c>
    </row>
    <row r="18" spans="1:4" x14ac:dyDescent="0.25">
      <c r="A18" t="s">
        <v>44</v>
      </c>
      <c r="B18" s="15">
        <f>B17-1</f>
        <v>7.6469955893837982E-2</v>
      </c>
      <c r="D18" s="14" t="s">
        <v>45</v>
      </c>
    </row>
    <row r="19" spans="1:4" s="16" customFormat="1" x14ac:dyDescent="0.25">
      <c r="A19" s="16" t="s">
        <v>46</v>
      </c>
      <c r="B19" s="17">
        <f>B17^3</f>
        <v>1.2474000000000003</v>
      </c>
      <c r="D19" s="14" t="s">
        <v>47</v>
      </c>
    </row>
    <row r="20" spans="1:4" x14ac:dyDescent="0.25">
      <c r="B20" s="15">
        <f>GEOMEAN(1.05,1.08,1.1)-1</f>
        <v>7.6469955893837982E-2</v>
      </c>
      <c r="D20" s="14" t="s">
        <v>137</v>
      </c>
    </row>
    <row r="22" spans="1:4" x14ac:dyDescent="0.25">
      <c r="B22">
        <f>1.05^2*1.1^2</f>
        <v>1.3340250000000002</v>
      </c>
      <c r="D22" s="14" t="s">
        <v>115</v>
      </c>
    </row>
    <row r="23" spans="1:4" x14ac:dyDescent="0.25">
      <c r="B23">
        <f>B22^(1/4)-1</f>
        <v>7.4709263010233951E-2</v>
      </c>
      <c r="D23" s="14" t="s">
        <v>116</v>
      </c>
    </row>
    <row r="24" spans="1:4" x14ac:dyDescent="0.25">
      <c r="B24">
        <f>GEOMEAN(1.05,1.05,1.1,1.1)-1</f>
        <v>7.4709263010233951E-2</v>
      </c>
      <c r="D24" s="1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7"/>
  <dimension ref="A1:L23"/>
  <sheetViews>
    <sheetView workbookViewId="0">
      <selection activeCell="B15" sqref="B15"/>
    </sheetView>
  </sheetViews>
  <sheetFormatPr defaultRowHeight="15" x14ac:dyDescent="0.25"/>
  <cols>
    <col min="1" max="1" width="17.7109375" customWidth="1"/>
  </cols>
  <sheetData>
    <row r="1" spans="1:12" x14ac:dyDescent="0.25">
      <c r="A1" s="1" t="s">
        <v>150</v>
      </c>
    </row>
    <row r="3" spans="1:12" x14ac:dyDescent="0.25">
      <c r="B3" s="71">
        <v>5</v>
      </c>
      <c r="E3" s="71">
        <v>5</v>
      </c>
      <c r="J3" s="12" t="s">
        <v>179</v>
      </c>
      <c r="K3" s="12" t="s">
        <v>180</v>
      </c>
      <c r="L3" s="12" t="s">
        <v>181</v>
      </c>
    </row>
    <row r="4" spans="1:12" x14ac:dyDescent="0.25">
      <c r="B4" s="47">
        <v>2</v>
      </c>
      <c r="E4" s="47">
        <v>2</v>
      </c>
      <c r="J4" s="84">
        <v>5</v>
      </c>
      <c r="K4" s="82">
        <v>5</v>
      </c>
      <c r="L4" s="85">
        <v>5</v>
      </c>
    </row>
    <row r="5" spans="1:12" x14ac:dyDescent="0.25">
      <c r="B5" s="47">
        <v>-1</v>
      </c>
      <c r="E5" s="47">
        <v>-1</v>
      </c>
      <c r="J5" s="48">
        <v>2</v>
      </c>
      <c r="K5" s="7">
        <v>2</v>
      </c>
      <c r="L5" s="49">
        <v>2</v>
      </c>
    </row>
    <row r="6" spans="1:12" x14ac:dyDescent="0.25">
      <c r="B6" s="47">
        <v>3</v>
      </c>
      <c r="E6" s="47">
        <v>3</v>
      </c>
      <c r="J6" s="48">
        <v>-1</v>
      </c>
      <c r="K6" s="7">
        <v>-1</v>
      </c>
      <c r="L6" s="49">
        <v>-1</v>
      </c>
    </row>
    <row r="7" spans="1:12" x14ac:dyDescent="0.25">
      <c r="B7" s="47">
        <v>4</v>
      </c>
      <c r="E7" s="47">
        <v>4</v>
      </c>
      <c r="J7" s="48">
        <v>3</v>
      </c>
      <c r="K7" s="7">
        <v>3</v>
      </c>
      <c r="L7" s="49">
        <v>3</v>
      </c>
    </row>
    <row r="8" spans="1:12" x14ac:dyDescent="0.25">
      <c r="B8" s="47">
        <v>5</v>
      </c>
      <c r="E8" s="47">
        <v>5</v>
      </c>
      <c r="J8" s="48">
        <v>7</v>
      </c>
      <c r="K8" s="7">
        <v>7</v>
      </c>
      <c r="L8" s="49">
        <v>7</v>
      </c>
    </row>
    <row r="9" spans="1:12" x14ac:dyDescent="0.25">
      <c r="B9" s="47">
        <v>0</v>
      </c>
      <c r="E9" s="47">
        <v>0</v>
      </c>
      <c r="J9" s="48">
        <v>5</v>
      </c>
      <c r="K9" s="7">
        <v>5</v>
      </c>
      <c r="L9" s="49">
        <v>8</v>
      </c>
    </row>
    <row r="10" spans="1:12" x14ac:dyDescent="0.25">
      <c r="B10" s="46">
        <v>2</v>
      </c>
      <c r="E10" s="46">
        <v>2</v>
      </c>
      <c r="J10" s="48">
        <v>0</v>
      </c>
      <c r="K10" s="7">
        <v>0</v>
      </c>
      <c r="L10" s="49">
        <v>0</v>
      </c>
    </row>
    <row r="11" spans="1:12" x14ac:dyDescent="0.25">
      <c r="J11" s="43"/>
      <c r="K11" s="68">
        <v>2</v>
      </c>
      <c r="L11" s="44">
        <v>6</v>
      </c>
    </row>
    <row r="12" spans="1:12" x14ac:dyDescent="0.25">
      <c r="A12" t="s">
        <v>146</v>
      </c>
      <c r="B12" s="51">
        <f>AVERAGE(B3:B10)</f>
        <v>2.5</v>
      </c>
      <c r="D12" t="s">
        <v>147</v>
      </c>
      <c r="E12" s="51">
        <f>MEDIAN(E3:E10)</f>
        <v>2.5</v>
      </c>
    </row>
    <row r="14" spans="1:12" x14ac:dyDescent="0.25">
      <c r="A14" t="s">
        <v>185</v>
      </c>
      <c r="B14" s="83">
        <f>VAR(B3:B10)</f>
        <v>4.8571428571428568</v>
      </c>
      <c r="D14" s="7"/>
      <c r="E14" s="7"/>
    </row>
    <row r="15" spans="1:12" x14ac:dyDescent="0.25">
      <c r="A15" t="s">
        <v>186</v>
      </c>
      <c r="B15" s="46">
        <f>VARP(B3:B10)</f>
        <v>4.25</v>
      </c>
    </row>
    <row r="16" spans="1:12" x14ac:dyDescent="0.25">
      <c r="D16" t="s">
        <v>153</v>
      </c>
      <c r="E16" s="83">
        <f>MIN(E3:E10)</f>
        <v>-1</v>
      </c>
    </row>
    <row r="17" spans="1:6" x14ac:dyDescent="0.25">
      <c r="A17" t="s">
        <v>187</v>
      </c>
      <c r="B17" s="83">
        <f>STDEV(B3:B10)</f>
        <v>2.2038926600773587</v>
      </c>
      <c r="D17" t="s">
        <v>154</v>
      </c>
      <c r="E17" s="47">
        <f>MAX(E3:E10)</f>
        <v>5</v>
      </c>
    </row>
    <row r="18" spans="1:6" x14ac:dyDescent="0.25">
      <c r="A18" t="s">
        <v>188</v>
      </c>
      <c r="B18" s="46">
        <f>STDEVP(B3:B10)</f>
        <v>2.0615528128088303</v>
      </c>
      <c r="E18" s="46"/>
    </row>
    <row r="20" spans="1:6" x14ac:dyDescent="0.25">
      <c r="A20" t="s">
        <v>151</v>
      </c>
      <c r="B20" s="51">
        <f>DEVSQ(B3:B10)</f>
        <v>34</v>
      </c>
      <c r="E20" s="12" t="s">
        <v>163</v>
      </c>
      <c r="F20" s="12" t="s">
        <v>164</v>
      </c>
    </row>
    <row r="21" spans="1:6" x14ac:dyDescent="0.25">
      <c r="D21" t="s">
        <v>102</v>
      </c>
      <c r="E21" s="84">
        <f>QUARTILE(E3:E10,1)</f>
        <v>1.5</v>
      </c>
      <c r="F21" s="85">
        <f>_xlfn.QUARTILE.EXC(E3:E10,1)</f>
        <v>0.5</v>
      </c>
    </row>
    <row r="22" spans="1:6" x14ac:dyDescent="0.25">
      <c r="A22" t="s">
        <v>152</v>
      </c>
      <c r="B22" s="51">
        <f>AVEDEV(B3:B10)</f>
        <v>1.75</v>
      </c>
      <c r="D22" t="s">
        <v>118</v>
      </c>
      <c r="E22" s="48">
        <f>QUARTILE(E3:E10,3)</f>
        <v>4.25</v>
      </c>
      <c r="F22" s="49">
        <f>_xlfn.QUARTILE.EXC(E3:E10,3)</f>
        <v>4.75</v>
      </c>
    </row>
    <row r="23" spans="1:6" x14ac:dyDescent="0.25">
      <c r="D23" t="s">
        <v>72</v>
      </c>
      <c r="E23" s="43">
        <f>E22-E21</f>
        <v>2.75</v>
      </c>
      <c r="F23" s="44">
        <f>F22-F21</f>
        <v>4.25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8"/>
  <dimension ref="A1:D16"/>
  <sheetViews>
    <sheetView workbookViewId="0">
      <selection activeCell="D16" sqref="D16"/>
    </sheetView>
  </sheetViews>
  <sheetFormatPr defaultRowHeight="15" x14ac:dyDescent="0.25"/>
  <cols>
    <col min="3" max="3" width="3.7109375" customWidth="1"/>
    <col min="4" max="4" width="30.28515625" customWidth="1"/>
  </cols>
  <sheetData>
    <row r="1" spans="1:4" x14ac:dyDescent="0.25">
      <c r="A1" s="1" t="s">
        <v>111</v>
      </c>
    </row>
    <row r="3" spans="1:4" x14ac:dyDescent="0.25">
      <c r="B3" s="71">
        <v>2</v>
      </c>
    </row>
    <row r="4" spans="1:4" x14ac:dyDescent="0.25">
      <c r="B4" s="47">
        <v>5</v>
      </c>
    </row>
    <row r="5" spans="1:4" x14ac:dyDescent="0.25">
      <c r="B5" s="47">
        <v>-1</v>
      </c>
    </row>
    <row r="6" spans="1:4" x14ac:dyDescent="0.25">
      <c r="B6" s="47">
        <v>3</v>
      </c>
    </row>
    <row r="7" spans="1:4" x14ac:dyDescent="0.25">
      <c r="B7" s="47">
        <v>4</v>
      </c>
    </row>
    <row r="8" spans="1:4" x14ac:dyDescent="0.25">
      <c r="B8" s="47">
        <v>5</v>
      </c>
    </row>
    <row r="9" spans="1:4" x14ac:dyDescent="0.25">
      <c r="B9" s="47">
        <v>0</v>
      </c>
    </row>
    <row r="10" spans="1:4" x14ac:dyDescent="0.25">
      <c r="B10" s="46">
        <v>2</v>
      </c>
    </row>
    <row r="12" spans="1:4" x14ac:dyDescent="0.25">
      <c r="A12" t="s">
        <v>155</v>
      </c>
      <c r="B12" s="51">
        <f>SKEW(B3:B10)</f>
        <v>-0.42705186492848496</v>
      </c>
      <c r="D12" s="14" t="s">
        <v>209</v>
      </c>
    </row>
    <row r="14" spans="1:4" x14ac:dyDescent="0.25">
      <c r="A14" t="s">
        <v>156</v>
      </c>
      <c r="B14" s="51">
        <f>KURT(B3:B10)</f>
        <v>-0.93979238754325056</v>
      </c>
      <c r="D14" s="14" t="s">
        <v>211</v>
      </c>
    </row>
    <row r="16" spans="1:4" x14ac:dyDescent="0.25">
      <c r="A16" t="s">
        <v>84</v>
      </c>
      <c r="B16" s="51">
        <f>COUNT(B3:B10)</f>
        <v>8</v>
      </c>
      <c r="D16" s="14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2"/>
  <sheetViews>
    <sheetView workbookViewId="0">
      <selection activeCell="D13" sqref="D13"/>
    </sheetView>
  </sheetViews>
  <sheetFormatPr defaultRowHeight="15" x14ac:dyDescent="0.25"/>
  <cols>
    <col min="2" max="2" width="6.28515625" customWidth="1"/>
    <col min="3" max="3" width="20.5703125" customWidth="1"/>
    <col min="4" max="4" width="8.140625" customWidth="1"/>
    <col min="6" max="6" width="18.140625" customWidth="1"/>
    <col min="9" max="9" width="18.140625" customWidth="1"/>
  </cols>
  <sheetData>
    <row r="1" spans="1:9" x14ac:dyDescent="0.25">
      <c r="A1" s="1" t="s">
        <v>73</v>
      </c>
    </row>
    <row r="2" spans="1:9" ht="15.75" thickBot="1" x14ac:dyDescent="0.3"/>
    <row r="3" spans="1:9" x14ac:dyDescent="0.25">
      <c r="A3" s="22" t="s">
        <v>51</v>
      </c>
      <c r="C3" s="23" t="s">
        <v>51</v>
      </c>
      <c r="D3" s="23"/>
      <c r="F3" s="1" t="s">
        <v>52</v>
      </c>
      <c r="I3" s="1" t="s">
        <v>53</v>
      </c>
    </row>
    <row r="4" spans="1:9" x14ac:dyDescent="0.25">
      <c r="A4" s="22">
        <v>23</v>
      </c>
      <c r="C4" s="19"/>
      <c r="D4" s="19"/>
    </row>
    <row r="5" spans="1:9" ht="18" x14ac:dyDescent="0.35">
      <c r="A5" s="22">
        <v>38</v>
      </c>
      <c r="C5" s="19" t="s">
        <v>54</v>
      </c>
      <c r="D5" s="19">
        <v>30.818181818181817</v>
      </c>
      <c r="F5" s="19" t="s">
        <v>54</v>
      </c>
      <c r="G5">
        <f>AVERAGE(A4:A14)</f>
        <v>30.818181818181817</v>
      </c>
      <c r="I5" s="22" t="s">
        <v>136</v>
      </c>
    </row>
    <row r="6" spans="1:9" x14ac:dyDescent="0.25">
      <c r="A6" s="22">
        <v>45</v>
      </c>
      <c r="C6" s="19" t="s">
        <v>55</v>
      </c>
      <c r="D6" s="19">
        <v>4.931933387845862</v>
      </c>
      <c r="F6" s="19" t="s">
        <v>55</v>
      </c>
      <c r="G6">
        <f>G9/SQRT(G17)</f>
        <v>4.931933387845862</v>
      </c>
      <c r="I6" s="22">
        <f>ABS(A4-$G$7)</f>
        <v>0</v>
      </c>
    </row>
    <row r="7" spans="1:9" x14ac:dyDescent="0.25">
      <c r="A7" s="22">
        <v>21</v>
      </c>
      <c r="C7" s="19" t="s">
        <v>56</v>
      </c>
      <c r="D7" s="19">
        <v>23</v>
      </c>
      <c r="F7" s="19" t="s">
        <v>56</v>
      </c>
      <c r="G7">
        <f>MEDIAN(A4:A14)</f>
        <v>23</v>
      </c>
      <c r="I7" s="67">
        <f t="shared" ref="I7:I16" si="0">ABS(A5-$G$7)</f>
        <v>15</v>
      </c>
    </row>
    <row r="8" spans="1:9" x14ac:dyDescent="0.25">
      <c r="A8" s="22">
        <v>17</v>
      </c>
      <c r="C8" s="19" t="s">
        <v>57</v>
      </c>
      <c r="D8" s="19">
        <v>21</v>
      </c>
      <c r="F8" s="19" t="s">
        <v>57</v>
      </c>
      <c r="G8">
        <f>MODE(A4:A14)</f>
        <v>21</v>
      </c>
      <c r="I8" s="67">
        <f t="shared" si="0"/>
        <v>22</v>
      </c>
    </row>
    <row r="9" spans="1:9" x14ac:dyDescent="0.25">
      <c r="A9" s="22">
        <v>21</v>
      </c>
      <c r="C9" s="19" t="s">
        <v>58</v>
      </c>
      <c r="D9" s="19">
        <v>16.357372538511079</v>
      </c>
      <c r="F9" s="19" t="s">
        <v>58</v>
      </c>
      <c r="G9">
        <f>STDEV(A4:A14)</f>
        <v>16.357372538511079</v>
      </c>
      <c r="I9" s="67">
        <f t="shared" si="0"/>
        <v>2</v>
      </c>
    </row>
    <row r="10" spans="1:9" x14ac:dyDescent="0.25">
      <c r="A10" s="22">
        <v>8</v>
      </c>
      <c r="C10" s="19" t="s">
        <v>59</v>
      </c>
      <c r="D10" s="19">
        <v>267.56363636363642</v>
      </c>
      <c r="F10" s="19" t="s">
        <v>59</v>
      </c>
      <c r="G10">
        <f>VAR(A4:A14)</f>
        <v>267.56363636363642</v>
      </c>
      <c r="I10" s="67">
        <f t="shared" si="0"/>
        <v>6</v>
      </c>
    </row>
    <row r="11" spans="1:9" x14ac:dyDescent="0.25">
      <c r="A11" s="22">
        <v>61</v>
      </c>
      <c r="C11" s="19" t="s">
        <v>60</v>
      </c>
      <c r="D11" s="19">
        <v>-0.54713109260868453</v>
      </c>
      <c r="F11" s="19" t="s">
        <v>60</v>
      </c>
      <c r="G11">
        <f>KURT(A4:A14)</f>
        <v>-0.54713109260868453</v>
      </c>
      <c r="I11" s="67">
        <f t="shared" si="0"/>
        <v>2</v>
      </c>
    </row>
    <row r="12" spans="1:9" x14ac:dyDescent="0.25">
      <c r="A12" s="22">
        <v>21</v>
      </c>
      <c r="C12" s="19" t="s">
        <v>61</v>
      </c>
      <c r="D12" s="19">
        <v>0.62513875079366366</v>
      </c>
      <c r="F12" s="19" t="s">
        <v>61</v>
      </c>
      <c r="G12">
        <f>SKEW(A4:A14)</f>
        <v>0.62513875079366366</v>
      </c>
      <c r="I12" s="67">
        <f t="shared" si="0"/>
        <v>15</v>
      </c>
    </row>
    <row r="13" spans="1:9" x14ac:dyDescent="0.25">
      <c r="A13" s="22">
        <v>52</v>
      </c>
      <c r="C13" s="19" t="s">
        <v>62</v>
      </c>
      <c r="D13" s="19">
        <v>53</v>
      </c>
      <c r="F13" s="19" t="s">
        <v>62</v>
      </c>
      <c r="G13">
        <f>G15-G14</f>
        <v>53</v>
      </c>
      <c r="I13" s="67">
        <f t="shared" si="0"/>
        <v>38</v>
      </c>
    </row>
    <row r="14" spans="1:9" x14ac:dyDescent="0.25">
      <c r="A14" s="22">
        <v>32</v>
      </c>
      <c r="C14" s="19" t="s">
        <v>63</v>
      </c>
      <c r="D14" s="19">
        <v>8</v>
      </c>
      <c r="F14" s="19" t="s">
        <v>63</v>
      </c>
      <c r="G14">
        <f>MIN(A4:A14)</f>
        <v>8</v>
      </c>
      <c r="I14" s="67">
        <f t="shared" si="0"/>
        <v>2</v>
      </c>
    </row>
    <row r="15" spans="1:9" x14ac:dyDescent="0.25">
      <c r="C15" s="19" t="s">
        <v>64</v>
      </c>
      <c r="D15" s="19">
        <v>61</v>
      </c>
      <c r="F15" s="19" t="s">
        <v>64</v>
      </c>
      <c r="G15">
        <f>MAX(A4:A14)</f>
        <v>61</v>
      </c>
      <c r="I15" s="67">
        <f t="shared" si="0"/>
        <v>29</v>
      </c>
    </row>
    <row r="16" spans="1:9" x14ac:dyDescent="0.25">
      <c r="C16" s="19" t="s">
        <v>65</v>
      </c>
      <c r="D16" s="19">
        <v>339</v>
      </c>
      <c r="F16" s="19" t="s">
        <v>65</v>
      </c>
      <c r="G16">
        <f>SUM(A4:A14)</f>
        <v>339</v>
      </c>
      <c r="I16" s="67">
        <f t="shared" si="0"/>
        <v>9</v>
      </c>
    </row>
    <row r="17" spans="3:13" ht="15.75" thickBot="1" x14ac:dyDescent="0.3">
      <c r="C17" s="21" t="s">
        <v>66</v>
      </c>
      <c r="D17" s="21">
        <v>11</v>
      </c>
      <c r="F17" s="21" t="s">
        <v>66</v>
      </c>
      <c r="G17" s="25">
        <f>COUNT(A4:A14)</f>
        <v>11</v>
      </c>
    </row>
    <row r="18" spans="3:13" x14ac:dyDescent="0.25">
      <c r="F18" t="s">
        <v>67</v>
      </c>
      <c r="G18">
        <f>GEOMEAN(A4:A14)</f>
        <v>26.754716545631396</v>
      </c>
    </row>
    <row r="19" spans="3:13" x14ac:dyDescent="0.25">
      <c r="F19" t="s">
        <v>68</v>
      </c>
      <c r="G19">
        <f>HARMEAN(A4:A14)</f>
        <v>22.653734367228317</v>
      </c>
      <c r="L19" s="86" t="s">
        <v>163</v>
      </c>
      <c r="M19" s="86" t="s">
        <v>164</v>
      </c>
    </row>
    <row r="20" spans="3:13" x14ac:dyDescent="0.25">
      <c r="F20" t="s">
        <v>70</v>
      </c>
      <c r="G20">
        <f>AVEDEV(A4:A14)</f>
        <v>13.438016528925619</v>
      </c>
      <c r="K20" t="s">
        <v>102</v>
      </c>
      <c r="L20" s="84">
        <f>_xlfn.QUARTILE.INC(A4:A14,1)</f>
        <v>21</v>
      </c>
      <c r="M20" s="85">
        <f>_xlfn.QUARTILE.EXC(A4:A14,1)</f>
        <v>21</v>
      </c>
    </row>
    <row r="21" spans="3:13" x14ac:dyDescent="0.25">
      <c r="F21" t="s">
        <v>71</v>
      </c>
      <c r="G21">
        <f>MEDIAN(I6:I16)</f>
        <v>9</v>
      </c>
      <c r="K21" t="s">
        <v>118</v>
      </c>
      <c r="L21" s="48">
        <f>_xlfn.QUARTILE.INC(A4:A14,3)</f>
        <v>41.5</v>
      </c>
      <c r="M21" s="49">
        <f>_xlfn.QUARTILE.EXC(A4:A14,3)</f>
        <v>45</v>
      </c>
    </row>
    <row r="22" spans="3:13" x14ac:dyDescent="0.25">
      <c r="F22" t="s">
        <v>72</v>
      </c>
      <c r="G22">
        <f>QUARTILE(A4:A14,3)-QUARTILE(A4:A14,1)</f>
        <v>20.5</v>
      </c>
      <c r="K22" t="s">
        <v>72</v>
      </c>
      <c r="L22" s="43">
        <f>L21-L20</f>
        <v>20.5</v>
      </c>
      <c r="M22" s="44">
        <f>M21-M20</f>
        <v>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2"/>
  <sheetViews>
    <sheetView workbookViewId="0">
      <selection activeCell="J20" sqref="J20"/>
    </sheetView>
  </sheetViews>
  <sheetFormatPr defaultRowHeight="15" x14ac:dyDescent="0.25"/>
  <cols>
    <col min="1" max="1" width="8.7109375" customWidth="1"/>
    <col min="3" max="3" width="9.7109375" customWidth="1"/>
    <col min="4" max="4" width="20.85546875" customWidth="1"/>
    <col min="6" max="6" width="20.140625" customWidth="1"/>
    <col min="9" max="9" width="17.42578125" customWidth="1"/>
    <col min="13" max="13" width="18" customWidth="1"/>
  </cols>
  <sheetData>
    <row r="1" spans="1:15" x14ac:dyDescent="0.25">
      <c r="A1" s="1" t="s">
        <v>73</v>
      </c>
      <c r="I1" t="s">
        <v>201</v>
      </c>
      <c r="M1" t="s">
        <v>202</v>
      </c>
    </row>
    <row r="3" spans="1:15" s="1" customFormat="1" x14ac:dyDescent="0.25">
      <c r="A3" s="1" t="s">
        <v>74</v>
      </c>
      <c r="I3" s="1" t="s">
        <v>73</v>
      </c>
      <c r="M3" s="1" t="s">
        <v>73</v>
      </c>
    </row>
    <row r="4" spans="1:15" ht="15.75" thickBot="1" x14ac:dyDescent="0.3"/>
    <row r="5" spans="1:15" x14ac:dyDescent="0.25">
      <c r="A5" s="24" t="s">
        <v>75</v>
      </c>
      <c r="B5" s="24" t="s">
        <v>76</v>
      </c>
      <c r="D5" s="18" t="s">
        <v>75</v>
      </c>
      <c r="E5" s="18"/>
      <c r="F5" s="18" t="s">
        <v>76</v>
      </c>
      <c r="G5" s="18"/>
      <c r="I5" s="24"/>
      <c r="J5" s="24" t="s">
        <v>75</v>
      </c>
      <c r="K5" s="24" t="s">
        <v>76</v>
      </c>
      <c r="M5" s="87"/>
      <c r="N5" s="87" t="str">
        <f>A5</f>
        <v>Sample 1</v>
      </c>
      <c r="O5" s="87" t="str">
        <f>B5</f>
        <v>Sample 2</v>
      </c>
    </row>
    <row r="6" spans="1:15" x14ac:dyDescent="0.25">
      <c r="A6" s="22">
        <v>19</v>
      </c>
      <c r="B6" s="22">
        <v>12</v>
      </c>
      <c r="D6" s="19"/>
      <c r="E6" s="19"/>
      <c r="F6" s="19"/>
      <c r="G6" s="19"/>
      <c r="I6" t="s">
        <v>54</v>
      </c>
      <c r="J6">
        <f>AVERAGE(A6:A18)</f>
        <v>30.46153846153846</v>
      </c>
      <c r="K6">
        <f>AVERAGE(B6:B18)</f>
        <v>30.615384615384617</v>
      </c>
      <c r="M6" t="s">
        <v>54</v>
      </c>
      <c r="N6">
        <f>AVERAGE(A6:A18)</f>
        <v>30.46153846153846</v>
      </c>
      <c r="O6">
        <f>AVERAGE(B6:B18)</f>
        <v>30.615384615384617</v>
      </c>
    </row>
    <row r="7" spans="1:15" x14ac:dyDescent="0.25">
      <c r="A7" s="22">
        <v>41</v>
      </c>
      <c r="B7" s="22">
        <v>27</v>
      </c>
      <c r="D7" s="19" t="s">
        <v>54</v>
      </c>
      <c r="E7" s="19">
        <v>30.46153846153846</v>
      </c>
      <c r="F7" s="19" t="s">
        <v>54</v>
      </c>
      <c r="G7" s="19">
        <v>30.615384615384617</v>
      </c>
      <c r="I7" t="s">
        <v>55</v>
      </c>
      <c r="J7">
        <f>STDEV(A6:A18)/SQRT(COUNT(A6:A18))</f>
        <v>4.6734594124357631</v>
      </c>
      <c r="K7">
        <f>STDEV(B6:B18)/SQRT(COUNT(B6:B18))</f>
        <v>5.4473452267800937</v>
      </c>
      <c r="M7" t="s">
        <v>55</v>
      </c>
      <c r="N7">
        <f>STDEV(A6:A18)/SQRT(COUNT(A6:A18))</f>
        <v>4.6734594124357631</v>
      </c>
      <c r="O7">
        <f>STDEV(B6:B18)/SQRT(COUNT(B6:B18))</f>
        <v>5.4473452267800937</v>
      </c>
    </row>
    <row r="8" spans="1:15" x14ac:dyDescent="0.25">
      <c r="A8" s="22">
        <v>29</v>
      </c>
      <c r="B8" s="22">
        <v>18</v>
      </c>
      <c r="D8" s="19" t="s">
        <v>55</v>
      </c>
      <c r="E8" s="19">
        <v>4.6734594124357631</v>
      </c>
      <c r="F8" s="19" t="s">
        <v>55</v>
      </c>
      <c r="G8" s="19">
        <v>5.4473452267800937</v>
      </c>
      <c r="I8" t="s">
        <v>56</v>
      </c>
      <c r="J8">
        <f>MEDIAN(A6:A18)</f>
        <v>29</v>
      </c>
      <c r="K8">
        <f>MEDIAN(B6:B18)</f>
        <v>27</v>
      </c>
      <c r="M8" t="s">
        <v>56</v>
      </c>
      <c r="N8">
        <f>MEDIAN(A6:A18)</f>
        <v>29</v>
      </c>
      <c r="O8">
        <f>MEDIAN(B6:B18)</f>
        <v>27</v>
      </c>
    </row>
    <row r="9" spans="1:15" x14ac:dyDescent="0.25">
      <c r="A9" s="22">
        <v>18</v>
      </c>
      <c r="B9" s="22">
        <v>23</v>
      </c>
      <c r="D9" s="19" t="s">
        <v>56</v>
      </c>
      <c r="E9" s="19">
        <v>29</v>
      </c>
      <c r="F9" s="19" t="s">
        <v>56</v>
      </c>
      <c r="G9" s="19">
        <v>27</v>
      </c>
      <c r="I9" t="s">
        <v>57</v>
      </c>
      <c r="J9">
        <f>MODE(A6:A18)</f>
        <v>29</v>
      </c>
      <c r="K9">
        <f>MODE(B6:B18)</f>
        <v>27</v>
      </c>
      <c r="M9" t="s">
        <v>57</v>
      </c>
      <c r="N9">
        <f>MODE(A6:A18)</f>
        <v>29</v>
      </c>
      <c r="O9">
        <f>MODE(B6:B18)</f>
        <v>27</v>
      </c>
    </row>
    <row r="10" spans="1:15" x14ac:dyDescent="0.25">
      <c r="A10" s="22">
        <v>8</v>
      </c>
      <c r="B10" s="22">
        <v>72</v>
      </c>
      <c r="D10" s="19" t="s">
        <v>57</v>
      </c>
      <c r="E10" s="19">
        <v>29</v>
      </c>
      <c r="F10" s="19" t="s">
        <v>57</v>
      </c>
      <c r="G10" s="19">
        <v>27</v>
      </c>
      <c r="I10" t="s">
        <v>58</v>
      </c>
      <c r="J10">
        <f>STDEV(A6:A18)</f>
        <v>16.85039754533695</v>
      </c>
      <c r="K10">
        <f>STDEV(B6:B18)</f>
        <v>19.64068253030964</v>
      </c>
      <c r="M10" t="s">
        <v>58</v>
      </c>
      <c r="N10">
        <f>STDEV(A6:A18)</f>
        <v>16.85039754533695</v>
      </c>
      <c r="O10">
        <f>STDEV(B6:B18)</f>
        <v>19.64068253030964</v>
      </c>
    </row>
    <row r="11" spans="1:15" x14ac:dyDescent="0.25">
      <c r="A11" s="22">
        <v>29</v>
      </c>
      <c r="B11" s="22">
        <v>27</v>
      </c>
      <c r="D11" s="19" t="s">
        <v>58</v>
      </c>
      <c r="E11" s="19">
        <v>16.85039754533695</v>
      </c>
      <c r="F11" s="19" t="s">
        <v>58</v>
      </c>
      <c r="G11" s="19">
        <v>19.64068253030964</v>
      </c>
      <c r="I11" t="s">
        <v>59</v>
      </c>
      <c r="J11">
        <f>VAR(A6:A18)</f>
        <v>283.93589743589746</v>
      </c>
      <c r="K11">
        <f>VAR(B6:B18)</f>
        <v>385.75641025641033</v>
      </c>
      <c r="M11" t="s">
        <v>59</v>
      </c>
      <c r="N11">
        <f>VAR(A6:A18)</f>
        <v>283.93589743589746</v>
      </c>
      <c r="O11">
        <f>VAR(B6:B18)</f>
        <v>385.75641025641033</v>
      </c>
    </row>
    <row r="12" spans="1:15" x14ac:dyDescent="0.25">
      <c r="A12" s="22">
        <v>11</v>
      </c>
      <c r="B12" s="22">
        <v>27</v>
      </c>
      <c r="D12" s="19" t="s">
        <v>59</v>
      </c>
      <c r="E12" s="19">
        <v>283.93589743589746</v>
      </c>
      <c r="F12" s="19" t="s">
        <v>59</v>
      </c>
      <c r="G12" s="19">
        <v>385.75641025641033</v>
      </c>
      <c r="I12" t="s">
        <v>60</v>
      </c>
      <c r="J12">
        <f>KURT(A6:A18)</f>
        <v>-1.1507308047969098</v>
      </c>
      <c r="K12">
        <f>KURT(B6:B18)</f>
        <v>6.28405897369122E-2</v>
      </c>
      <c r="M12" t="s">
        <v>60</v>
      </c>
      <c r="N12">
        <f>KURT(A6:A18)</f>
        <v>-1.1507308047969098</v>
      </c>
      <c r="O12">
        <f>KURT(B6:B18)</f>
        <v>6.28405897369122E-2</v>
      </c>
    </row>
    <row r="13" spans="1:15" x14ac:dyDescent="0.25">
      <c r="A13" s="22">
        <v>59</v>
      </c>
      <c r="B13" s="22">
        <v>53</v>
      </c>
      <c r="D13" s="19" t="s">
        <v>60</v>
      </c>
      <c r="E13" s="19">
        <v>-1.1507308047969098</v>
      </c>
      <c r="F13" s="19" t="s">
        <v>60</v>
      </c>
      <c r="G13" s="19">
        <v>6.28405897369122E-2</v>
      </c>
      <c r="I13" t="s">
        <v>61</v>
      </c>
      <c r="J13">
        <f>SKEW(A6:A18)</f>
        <v>0.26560133977590394</v>
      </c>
      <c r="K13">
        <f>SKEW(B6:B18)</f>
        <v>0.78697965196289232</v>
      </c>
      <c r="M13" t="s">
        <v>61</v>
      </c>
      <c r="N13">
        <f>SKEW(A6:A18)</f>
        <v>0.26560133977590394</v>
      </c>
      <c r="O13">
        <f>SKEW(B6:B18)</f>
        <v>0.78697965196289232</v>
      </c>
    </row>
    <row r="14" spans="1:15" x14ac:dyDescent="0.25">
      <c r="A14" s="22">
        <v>41</v>
      </c>
      <c r="B14" s="22">
        <v>3</v>
      </c>
      <c r="D14" s="19" t="s">
        <v>61</v>
      </c>
      <c r="E14" s="19">
        <v>0.26560133977590394</v>
      </c>
      <c r="F14" s="19" t="s">
        <v>61</v>
      </c>
      <c r="G14" s="19">
        <v>0.78697965196289232</v>
      </c>
      <c r="I14" t="s">
        <v>62</v>
      </c>
      <c r="J14">
        <f>J16-J15</f>
        <v>51</v>
      </c>
      <c r="K14">
        <f>K16-K15</f>
        <v>69</v>
      </c>
      <c r="M14" t="s">
        <v>62</v>
      </c>
      <c r="N14">
        <f>N15-N16</f>
        <v>51</v>
      </c>
      <c r="O14">
        <f>O15-O16</f>
        <v>69</v>
      </c>
    </row>
    <row r="15" spans="1:15" x14ac:dyDescent="0.25">
      <c r="A15" s="22">
        <v>48</v>
      </c>
      <c r="B15" s="22">
        <v>45</v>
      </c>
      <c r="D15" s="19" t="s">
        <v>62</v>
      </c>
      <c r="E15" s="19">
        <v>51</v>
      </c>
      <c r="F15" s="19" t="s">
        <v>62</v>
      </c>
      <c r="G15" s="19">
        <v>69</v>
      </c>
      <c r="I15" t="s">
        <v>63</v>
      </c>
      <c r="J15">
        <f>MIN(A6:A18)</f>
        <v>8</v>
      </c>
      <c r="K15">
        <f>MIN(B6:B18)</f>
        <v>3</v>
      </c>
      <c r="M15" t="s">
        <v>64</v>
      </c>
      <c r="N15">
        <f>MAX(A6:A18)</f>
        <v>59</v>
      </c>
      <c r="O15">
        <f>MAX(B6:B18)</f>
        <v>72</v>
      </c>
    </row>
    <row r="16" spans="1:15" x14ac:dyDescent="0.25">
      <c r="A16" s="22">
        <v>53</v>
      </c>
      <c r="B16" s="22">
        <v>53</v>
      </c>
      <c r="D16" s="19" t="s">
        <v>63</v>
      </c>
      <c r="E16" s="19">
        <v>8</v>
      </c>
      <c r="F16" s="19" t="s">
        <v>63</v>
      </c>
      <c r="G16" s="19">
        <v>3</v>
      </c>
      <c r="I16" t="s">
        <v>64</v>
      </c>
      <c r="J16">
        <f>MAX(A6:A18)</f>
        <v>59</v>
      </c>
      <c r="K16">
        <f>MAX(B6:B18)</f>
        <v>72</v>
      </c>
      <c r="M16" t="s">
        <v>63</v>
      </c>
      <c r="N16">
        <f>MIN(A6:A18)</f>
        <v>8</v>
      </c>
      <c r="O16">
        <f>MIN(B6:B18)</f>
        <v>3</v>
      </c>
    </row>
    <row r="17" spans="1:15" x14ac:dyDescent="0.25">
      <c r="A17" s="22">
        <v>29</v>
      </c>
      <c r="B17" s="22">
        <v>13</v>
      </c>
      <c r="D17" s="19" t="s">
        <v>64</v>
      </c>
      <c r="E17" s="19">
        <v>59</v>
      </c>
      <c r="F17" s="19" t="s">
        <v>64</v>
      </c>
      <c r="G17" s="19">
        <v>72</v>
      </c>
      <c r="I17" t="s">
        <v>65</v>
      </c>
      <c r="J17">
        <f>SUM(A6:A18)</f>
        <v>396</v>
      </c>
      <c r="K17">
        <f>SUM(B6:B18)</f>
        <v>398</v>
      </c>
      <c r="M17" t="s">
        <v>65</v>
      </c>
      <c r="N17">
        <f>SUM(A6:A18)</f>
        <v>396</v>
      </c>
      <c r="O17">
        <f>SUM(B6:B18)</f>
        <v>398</v>
      </c>
    </row>
    <row r="18" spans="1:15" x14ac:dyDescent="0.25">
      <c r="A18" s="72">
        <v>11</v>
      </c>
      <c r="B18" s="72">
        <v>25</v>
      </c>
      <c r="D18" s="19" t="s">
        <v>65</v>
      </c>
      <c r="E18" s="19">
        <v>396</v>
      </c>
      <c r="F18" s="19" t="s">
        <v>65</v>
      </c>
      <c r="G18" s="19">
        <v>398</v>
      </c>
      <c r="I18" t="s">
        <v>66</v>
      </c>
      <c r="J18">
        <f>COUNT(A6:A18)</f>
        <v>13</v>
      </c>
      <c r="K18">
        <f>COUNT(B6:B18)</f>
        <v>13</v>
      </c>
      <c r="M18" t="s">
        <v>66</v>
      </c>
      <c r="N18">
        <f>COUNT(A6:A18)</f>
        <v>13</v>
      </c>
      <c r="O18">
        <f>COUNT(B6:B18)</f>
        <v>13</v>
      </c>
    </row>
    <row r="19" spans="1:15" ht="15.75" thickBot="1" x14ac:dyDescent="0.3">
      <c r="D19" s="21" t="s">
        <v>66</v>
      </c>
      <c r="E19" s="21">
        <v>13</v>
      </c>
      <c r="F19" s="21" t="s">
        <v>66</v>
      </c>
      <c r="G19" s="21">
        <v>13</v>
      </c>
      <c r="I19" t="s">
        <v>22</v>
      </c>
      <c r="J19">
        <f>GEOMEAN(A6:A18)</f>
        <v>25.608674447554829</v>
      </c>
      <c r="K19">
        <f>GEOMEAN(B6:B18)</f>
        <v>23.981422579554366</v>
      </c>
      <c r="M19" t="s">
        <v>22</v>
      </c>
      <c r="N19">
        <f>GEOMEAN(A6:A18)</f>
        <v>25.608674447554829</v>
      </c>
      <c r="O19">
        <f>GEOMEAN(B6:B18)</f>
        <v>23.981422579554366</v>
      </c>
    </row>
    <row r="20" spans="1:15" x14ac:dyDescent="0.25">
      <c r="I20" t="s">
        <v>69</v>
      </c>
      <c r="J20">
        <f>HARMEAN(A6:A18)</f>
        <v>20.837190537996147</v>
      </c>
      <c r="K20">
        <f>HARMEAN(B6:B18)</f>
        <v>15.900552926353798</v>
      </c>
      <c r="M20" t="s">
        <v>69</v>
      </c>
      <c r="N20">
        <f>HARMEAN(A6:A18)</f>
        <v>20.837190537996147</v>
      </c>
      <c r="O20">
        <f>HARMEAN(B6:B18)</f>
        <v>15.900552926353798</v>
      </c>
    </row>
    <row r="21" spans="1:15" x14ac:dyDescent="0.25">
      <c r="I21" t="s">
        <v>70</v>
      </c>
      <c r="J21">
        <f>AVEDEV(A6:A18)</f>
        <v>13.798816568047338</v>
      </c>
      <c r="K21">
        <f>AVEDEV(B6:B18)</f>
        <v>15.467455621301777</v>
      </c>
      <c r="M21" t="s">
        <v>70</v>
      </c>
      <c r="N21">
        <f>AVEDEV(A6:A18)</f>
        <v>13.798816568047338</v>
      </c>
      <c r="O21">
        <f>AVEDEV(B6:B18)</f>
        <v>15.467455621301777</v>
      </c>
    </row>
    <row r="22" spans="1:15" x14ac:dyDescent="0.25">
      <c r="I22" s="10" t="s">
        <v>72</v>
      </c>
      <c r="J22" s="10">
        <f>QUARTILE(A6:A18,3)-QUARTILE(A6:A18,1)</f>
        <v>23</v>
      </c>
      <c r="K22" s="10">
        <f>QUARTILE(B6:B18,3)-QUARTILE(B6:B18,1)</f>
        <v>27</v>
      </c>
      <c r="M22" s="68" t="s">
        <v>72</v>
      </c>
      <c r="N22" s="68">
        <f>_xlfn.QUARTILE.EXC(A6:A18,3)-_xlfn.QUARTILE.EXC(A6:A18,1)</f>
        <v>30</v>
      </c>
      <c r="O22" s="68">
        <f>_xlfn.QUARTILE.EXC(B6:B18,3)-_xlfn.QUARTILE.EXC(B6:B18,1)</f>
        <v>33.5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5"/>
  <sheetViews>
    <sheetView workbookViewId="0">
      <selection activeCell="M11" sqref="M11"/>
    </sheetView>
  </sheetViews>
  <sheetFormatPr defaultRowHeight="15" x14ac:dyDescent="0.25"/>
  <cols>
    <col min="1" max="1" width="6.42578125" customWidth="1"/>
    <col min="2" max="2" width="6.85546875" customWidth="1"/>
    <col min="3" max="4" width="6.7109375" customWidth="1"/>
    <col min="6" max="7" width="6.140625" customWidth="1"/>
    <col min="8" max="9" width="6.28515625" customWidth="1"/>
    <col min="10" max="10" width="3.140625" customWidth="1"/>
    <col min="12" max="12" width="2.85546875" customWidth="1"/>
    <col min="13" max="13" width="64.7109375" customWidth="1"/>
    <col min="17" max="22" width="6.28515625" style="54" customWidth="1"/>
  </cols>
  <sheetData>
    <row r="1" spans="1:22" x14ac:dyDescent="0.25">
      <c r="A1" s="1" t="s">
        <v>77</v>
      </c>
    </row>
    <row r="3" spans="1:22" ht="17.25" x14ac:dyDescent="0.25">
      <c r="A3" s="64" t="s">
        <v>162</v>
      </c>
      <c r="C3" s="64" t="s">
        <v>17</v>
      </c>
      <c r="D3" s="64" t="s">
        <v>78</v>
      </c>
      <c r="F3" s="52" t="s">
        <v>17</v>
      </c>
      <c r="G3" s="36" t="s">
        <v>21</v>
      </c>
      <c r="H3" s="52" t="s">
        <v>79</v>
      </c>
      <c r="I3" s="53" t="s">
        <v>80</v>
      </c>
      <c r="J3" s="112"/>
      <c r="Q3" s="52" t="s">
        <v>81</v>
      </c>
      <c r="R3" s="28" t="s">
        <v>82</v>
      </c>
      <c r="S3" s="36" t="s">
        <v>21</v>
      </c>
      <c r="T3" s="52" t="s">
        <v>83</v>
      </c>
      <c r="U3" s="52" t="s">
        <v>79</v>
      </c>
      <c r="V3" s="53" t="s">
        <v>80</v>
      </c>
    </row>
    <row r="4" spans="1:22" x14ac:dyDescent="0.25">
      <c r="A4" s="7">
        <v>2</v>
      </c>
      <c r="C4" s="7">
        <v>2</v>
      </c>
      <c r="D4" s="7">
        <v>4</v>
      </c>
      <c r="F4" s="30">
        <v>2</v>
      </c>
      <c r="G4" s="55">
        <v>4</v>
      </c>
      <c r="H4" s="30">
        <f>F4*G4</f>
        <v>8</v>
      </c>
      <c r="I4" s="31">
        <f>F4^2*G4</f>
        <v>16</v>
      </c>
      <c r="J4" s="112"/>
      <c r="N4" t="s">
        <v>48</v>
      </c>
      <c r="O4" s="45">
        <f>AVERAGE(A4:A11)</f>
        <v>3</v>
      </c>
      <c r="Q4" s="30">
        <v>0</v>
      </c>
      <c r="R4" s="40">
        <v>4</v>
      </c>
      <c r="S4" s="55">
        <v>3</v>
      </c>
      <c r="T4" s="30">
        <f>(Q4+R4)/2</f>
        <v>2</v>
      </c>
      <c r="U4" s="30">
        <f>T4*S4</f>
        <v>6</v>
      </c>
      <c r="V4" s="31">
        <f>T4^2*S4</f>
        <v>12</v>
      </c>
    </row>
    <row r="5" spans="1:22" x14ac:dyDescent="0.25">
      <c r="A5" s="7">
        <v>2</v>
      </c>
      <c r="C5" s="7">
        <v>3</v>
      </c>
      <c r="D5" s="7">
        <v>1</v>
      </c>
      <c r="F5" s="30">
        <v>3</v>
      </c>
      <c r="G5" s="55">
        <v>1</v>
      </c>
      <c r="H5" s="30">
        <f>F5*G5</f>
        <v>3</v>
      </c>
      <c r="I5" s="31">
        <f>F5^2*G5</f>
        <v>9</v>
      </c>
      <c r="J5" s="112"/>
      <c r="N5" t="s">
        <v>49</v>
      </c>
      <c r="O5" s="47">
        <f>VAR(A4:A11)</f>
        <v>1.4285714285714286</v>
      </c>
      <c r="Q5" s="30">
        <v>4</v>
      </c>
      <c r="R5" s="40">
        <v>10</v>
      </c>
      <c r="S5" s="55">
        <v>1</v>
      </c>
      <c r="T5" s="30">
        <f>(Q5+R5)/2</f>
        <v>7</v>
      </c>
      <c r="U5" s="30">
        <f>T5*S5</f>
        <v>7</v>
      </c>
      <c r="V5" s="31">
        <f>T5^2*S5</f>
        <v>49</v>
      </c>
    </row>
    <row r="6" spans="1:22" x14ac:dyDescent="0.25">
      <c r="A6" s="7">
        <v>2</v>
      </c>
      <c r="C6" s="7">
        <v>4</v>
      </c>
      <c r="D6" s="7">
        <v>2</v>
      </c>
      <c r="F6" s="30">
        <v>4</v>
      </c>
      <c r="G6" s="55">
        <v>2</v>
      </c>
      <c r="H6" s="30">
        <f>F6*G6</f>
        <v>8</v>
      </c>
      <c r="I6" s="31">
        <f>F6^2*G6</f>
        <v>32</v>
      </c>
      <c r="J6" s="112"/>
      <c r="N6" t="s">
        <v>112</v>
      </c>
      <c r="O6" s="46">
        <f>SUMSQ(A4:A11)</f>
        <v>82</v>
      </c>
      <c r="Q6" s="30">
        <v>10</v>
      </c>
      <c r="R6" s="40">
        <v>20</v>
      </c>
      <c r="S6" s="55">
        <v>2</v>
      </c>
      <c r="T6" s="30">
        <f>(Q6+R6)/2</f>
        <v>15</v>
      </c>
      <c r="U6" s="30">
        <f>T6*S6</f>
        <v>30</v>
      </c>
      <c r="V6" s="31">
        <f>T6^2*S6</f>
        <v>450</v>
      </c>
    </row>
    <row r="7" spans="1:22" x14ac:dyDescent="0.25">
      <c r="A7" s="7">
        <v>2</v>
      </c>
      <c r="C7" s="68">
        <v>5</v>
      </c>
      <c r="D7" s="68">
        <v>1</v>
      </c>
      <c r="F7" s="32">
        <v>5</v>
      </c>
      <c r="G7" s="56">
        <v>1</v>
      </c>
      <c r="H7" s="32">
        <f>F7*G7</f>
        <v>5</v>
      </c>
      <c r="I7" s="33">
        <f>F7^2*G7</f>
        <v>25</v>
      </c>
      <c r="J7" s="112"/>
      <c r="Q7" s="32">
        <v>20</v>
      </c>
      <c r="R7" s="58">
        <v>30</v>
      </c>
      <c r="S7" s="56">
        <v>1</v>
      </c>
      <c r="T7" s="32">
        <f>(Q7+R7)/2</f>
        <v>25</v>
      </c>
      <c r="U7" s="32">
        <f>T7*S7</f>
        <v>25</v>
      </c>
      <c r="V7" s="33">
        <f>T7^2*S7</f>
        <v>625</v>
      </c>
    </row>
    <row r="8" spans="1:22" x14ac:dyDescent="0.25">
      <c r="A8" s="7">
        <v>3</v>
      </c>
      <c r="F8" s="54"/>
      <c r="G8" s="54">
        <f>SUM(G4:G7)</f>
        <v>8</v>
      </c>
      <c r="H8" s="54">
        <f>SUM(H4:H7)</f>
        <v>24</v>
      </c>
      <c r="I8" s="54">
        <f>SUM(I4:I7)</f>
        <v>82</v>
      </c>
      <c r="J8" s="111"/>
      <c r="S8" s="54">
        <f>SUM(S4:S7)</f>
        <v>7</v>
      </c>
      <c r="U8" s="54">
        <f>SUM(U4:U7)</f>
        <v>68</v>
      </c>
      <c r="V8" s="54">
        <f>SUM(V4:V7)</f>
        <v>1136</v>
      </c>
    </row>
    <row r="9" spans="1:22" x14ac:dyDescent="0.25">
      <c r="A9" s="7">
        <v>4</v>
      </c>
      <c r="C9" t="s">
        <v>20</v>
      </c>
      <c r="F9" s="54"/>
      <c r="G9" s="54"/>
      <c r="H9" s="54"/>
      <c r="I9" s="54"/>
      <c r="J9" s="111"/>
    </row>
    <row r="10" spans="1:22" x14ac:dyDescent="0.25">
      <c r="A10" s="7">
        <v>4</v>
      </c>
      <c r="F10" s="56" t="s">
        <v>129</v>
      </c>
      <c r="G10" s="56" t="s">
        <v>84</v>
      </c>
      <c r="H10" s="56" t="s">
        <v>114</v>
      </c>
      <c r="I10" s="54"/>
      <c r="J10" s="111"/>
      <c r="Q10" s="56" t="s">
        <v>129</v>
      </c>
      <c r="R10" s="56" t="s">
        <v>84</v>
      </c>
      <c r="S10" s="56" t="s">
        <v>114</v>
      </c>
    </row>
    <row r="11" spans="1:22" x14ac:dyDescent="0.25">
      <c r="A11" s="68">
        <v>5</v>
      </c>
      <c r="C11" s="64" t="s">
        <v>17</v>
      </c>
      <c r="D11" s="64" t="s">
        <v>18</v>
      </c>
      <c r="F11" s="54">
        <f>H8</f>
        <v>24</v>
      </c>
      <c r="G11" s="54">
        <f>G8</f>
        <v>8</v>
      </c>
      <c r="H11" s="54">
        <f>F11/G11</f>
        <v>3</v>
      </c>
      <c r="I11" s="54"/>
      <c r="J11" s="111"/>
      <c r="K11" s="51">
        <f>SUMPRODUCT(F4:F7,G4:G7)/SUM(G4:G7)</f>
        <v>3</v>
      </c>
      <c r="M11" s="14" t="s">
        <v>224</v>
      </c>
      <c r="Q11" s="54">
        <f>U8</f>
        <v>68</v>
      </c>
      <c r="R11" s="54">
        <f>S8</f>
        <v>7</v>
      </c>
      <c r="S11" s="54">
        <f>Q11/R11</f>
        <v>9.7142857142857135</v>
      </c>
    </row>
    <row r="12" spans="1:22" x14ac:dyDescent="0.25">
      <c r="C12" s="7">
        <v>2</v>
      </c>
      <c r="D12" s="7">
        <f>G4/$G$8</f>
        <v>0.5</v>
      </c>
      <c r="F12" s="54"/>
      <c r="G12" s="54"/>
      <c r="H12" s="54"/>
      <c r="I12" s="54"/>
      <c r="J12" s="111"/>
    </row>
    <row r="13" spans="1:22" ht="17.25" x14ac:dyDescent="0.25">
      <c r="C13" s="7">
        <v>3</v>
      </c>
      <c r="D13" s="7">
        <f>G5/$G$8</f>
        <v>0.125</v>
      </c>
      <c r="F13" s="56" t="s">
        <v>128</v>
      </c>
      <c r="G13" s="56" t="s">
        <v>84</v>
      </c>
      <c r="H13" s="56" t="s">
        <v>127</v>
      </c>
      <c r="I13" s="57" t="s">
        <v>49</v>
      </c>
      <c r="J13" s="39"/>
      <c r="Q13" s="56" t="s">
        <v>128</v>
      </c>
      <c r="R13" s="56" t="s">
        <v>84</v>
      </c>
      <c r="S13" s="56" t="s">
        <v>127</v>
      </c>
      <c r="T13" s="57" t="s">
        <v>49</v>
      </c>
    </row>
    <row r="14" spans="1:22" x14ac:dyDescent="0.25">
      <c r="C14" s="7">
        <v>4</v>
      </c>
      <c r="D14" s="7">
        <f>G6/$G$8</f>
        <v>0.25</v>
      </c>
      <c r="F14" s="54">
        <f>I8</f>
        <v>82</v>
      </c>
      <c r="G14" s="54">
        <f>G8</f>
        <v>8</v>
      </c>
      <c r="H14" s="54">
        <f>H11^2</f>
        <v>9</v>
      </c>
      <c r="I14" s="54">
        <f>(F14-G14*H14)/(G14-1)</f>
        <v>1.4285714285714286</v>
      </c>
      <c r="J14" s="111"/>
      <c r="K14" s="51">
        <f>(SUMPRODUCT(F4:F7^2,G4:G7)-SUM(G4:G7)*K11^2)/(SUM(G4:G7)-1)</f>
        <v>1.4285714285714286</v>
      </c>
      <c r="M14" s="14" t="s">
        <v>223</v>
      </c>
      <c r="Q14" s="54">
        <f>V8</f>
        <v>1136</v>
      </c>
      <c r="R14" s="54">
        <f>S8</f>
        <v>7</v>
      </c>
      <c r="S14" s="54">
        <f>S11^2</f>
        <v>94.367346938775498</v>
      </c>
      <c r="T14" s="54">
        <f>(Q14-R14*S14)/(R14-1)</f>
        <v>79.238095238095255</v>
      </c>
    </row>
    <row r="15" spans="1:22" x14ac:dyDescent="0.25">
      <c r="C15" s="68">
        <v>5</v>
      </c>
      <c r="D15" s="68">
        <f>G7/$G$8</f>
        <v>0.125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6"/>
  <sheetViews>
    <sheetView workbookViewId="0">
      <selection activeCell="A24" sqref="A24"/>
    </sheetView>
  </sheetViews>
  <sheetFormatPr defaultRowHeight="15" x14ac:dyDescent="0.25"/>
  <cols>
    <col min="1" max="1" width="5.42578125" customWidth="1"/>
    <col min="2" max="3" width="8.85546875" customWidth="1"/>
    <col min="4" max="4" width="4" customWidth="1"/>
    <col min="5" max="5" width="24.85546875" customWidth="1"/>
  </cols>
  <sheetData>
    <row r="1" spans="1:5" x14ac:dyDescent="0.25">
      <c r="A1" s="1" t="s">
        <v>16</v>
      </c>
    </row>
    <row r="3" spans="1:5" x14ac:dyDescent="0.25">
      <c r="A3" s="92" t="s">
        <v>17</v>
      </c>
      <c r="B3" s="93" t="s">
        <v>18</v>
      </c>
      <c r="C3" s="88" t="s">
        <v>19</v>
      </c>
      <c r="D3" s="26"/>
    </row>
    <row r="4" spans="1:5" x14ac:dyDescent="0.25">
      <c r="A4" s="94">
        <v>1</v>
      </c>
      <c r="B4" s="95">
        <v>0.12</v>
      </c>
      <c r="C4" s="89">
        <f>B4</f>
        <v>0.12</v>
      </c>
      <c r="D4" s="34"/>
      <c r="E4" t="s">
        <v>165</v>
      </c>
    </row>
    <row r="5" spans="1:5" x14ac:dyDescent="0.25">
      <c r="A5" s="96">
        <f>A4+1</f>
        <v>2</v>
      </c>
      <c r="B5" s="97">
        <v>0.25</v>
      </c>
      <c r="C5" s="90">
        <f>B5+C4</f>
        <v>0.37</v>
      </c>
      <c r="D5" s="34"/>
      <c r="E5" t="s">
        <v>166</v>
      </c>
    </row>
    <row r="6" spans="1:5" x14ac:dyDescent="0.25">
      <c r="A6" s="96">
        <f t="shared" ref="A6:A11" si="0">A5+1</f>
        <v>3</v>
      </c>
      <c r="B6" s="97">
        <v>0.08</v>
      </c>
      <c r="C6" s="90">
        <f t="shared" ref="C6:C11" si="1">B6+C5</f>
        <v>0.45</v>
      </c>
      <c r="D6" s="34"/>
      <c r="E6" t="s">
        <v>167</v>
      </c>
    </row>
    <row r="7" spans="1:5" x14ac:dyDescent="0.25">
      <c r="A7" s="96">
        <f t="shared" si="0"/>
        <v>4</v>
      </c>
      <c r="B7" s="97">
        <v>0.14000000000000001</v>
      </c>
      <c r="C7" s="90">
        <f t="shared" si="1"/>
        <v>0.59000000000000008</v>
      </c>
      <c r="D7" s="34"/>
      <c r="E7" t="s">
        <v>168</v>
      </c>
    </row>
    <row r="8" spans="1:5" x14ac:dyDescent="0.25">
      <c r="A8" s="96">
        <f t="shared" si="0"/>
        <v>5</v>
      </c>
      <c r="B8" s="97">
        <v>0.09</v>
      </c>
      <c r="C8" s="90">
        <f t="shared" si="1"/>
        <v>0.68</v>
      </c>
      <c r="D8" s="34"/>
      <c r="E8" t="s">
        <v>169</v>
      </c>
    </row>
    <row r="9" spans="1:5" x14ac:dyDescent="0.25">
      <c r="A9" s="96">
        <f t="shared" si="0"/>
        <v>6</v>
      </c>
      <c r="B9" s="97">
        <v>0.18</v>
      </c>
      <c r="C9" s="90">
        <f t="shared" si="1"/>
        <v>0.8600000000000001</v>
      </c>
      <c r="D9" s="34"/>
      <c r="E9" t="s">
        <v>170</v>
      </c>
    </row>
    <row r="10" spans="1:5" x14ac:dyDescent="0.25">
      <c r="A10" s="96">
        <f t="shared" si="0"/>
        <v>7</v>
      </c>
      <c r="B10" s="97">
        <v>0.09</v>
      </c>
      <c r="C10" s="90">
        <f t="shared" si="1"/>
        <v>0.95000000000000007</v>
      </c>
      <c r="D10" s="34"/>
      <c r="E10" t="s">
        <v>171</v>
      </c>
    </row>
    <row r="11" spans="1:5" x14ac:dyDescent="0.25">
      <c r="A11" s="98">
        <f t="shared" si="0"/>
        <v>8</v>
      </c>
      <c r="B11" s="99">
        <v>0.05</v>
      </c>
      <c r="C11" s="91">
        <f t="shared" si="1"/>
        <v>1</v>
      </c>
      <c r="D11" s="34"/>
      <c r="E11" t="s">
        <v>172</v>
      </c>
    </row>
    <row r="14" spans="1:5" x14ac:dyDescent="0.25">
      <c r="A14" s="100" t="s">
        <v>173</v>
      </c>
      <c r="B14" s="100"/>
      <c r="C14" s="101">
        <f>PROB(A4:A11,B4:B11,3)</f>
        <v>0.08</v>
      </c>
      <c r="E14" s="14" t="s">
        <v>177</v>
      </c>
    </row>
    <row r="15" spans="1:5" x14ac:dyDescent="0.25">
      <c r="A15" s="100" t="s">
        <v>174</v>
      </c>
      <c r="B15" s="100"/>
      <c r="C15" s="102">
        <f>PROB(A4:A11,B4:B11,,5)</f>
        <v>0.68</v>
      </c>
      <c r="E15" s="14" t="s">
        <v>178</v>
      </c>
    </row>
    <row r="16" spans="1:5" x14ac:dyDescent="0.25">
      <c r="A16" s="100" t="s">
        <v>175</v>
      </c>
      <c r="B16" s="100"/>
      <c r="C16" s="103">
        <f>PROB(A4:A11,B4:B11,3,5)</f>
        <v>0.31000000000000005</v>
      </c>
      <c r="E16" s="14" t="s">
        <v>176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"/>
  <sheetViews>
    <sheetView workbookViewId="0">
      <selection activeCell="O20" sqref="O20"/>
    </sheetView>
  </sheetViews>
  <sheetFormatPr defaultRowHeight="15" x14ac:dyDescent="0.25"/>
  <cols>
    <col min="1" max="1" width="4.7109375" customWidth="1"/>
    <col min="2" max="2" width="6.140625" customWidth="1"/>
    <col min="3" max="3" width="6" customWidth="1"/>
    <col min="4" max="4" width="6.140625" customWidth="1"/>
    <col min="5" max="5" width="6.28515625" customWidth="1"/>
    <col min="9" max="10" width="6.42578125" customWidth="1"/>
  </cols>
  <sheetData>
    <row r="1" spans="1:11" x14ac:dyDescent="0.25">
      <c r="A1" s="1" t="s">
        <v>20</v>
      </c>
      <c r="I1" t="s">
        <v>99</v>
      </c>
    </row>
    <row r="3" spans="1:11" x14ac:dyDescent="0.25">
      <c r="A3" s="104">
        <v>14</v>
      </c>
      <c r="C3" s="50" t="s">
        <v>17</v>
      </c>
      <c r="D3" s="50" t="s">
        <v>78</v>
      </c>
      <c r="E3" s="50" t="s">
        <v>18</v>
      </c>
      <c r="I3" s="69" t="s">
        <v>138</v>
      </c>
      <c r="J3" s="69" t="s">
        <v>78</v>
      </c>
      <c r="K3" s="69" t="s">
        <v>125</v>
      </c>
    </row>
    <row r="4" spans="1:11" x14ac:dyDescent="0.25">
      <c r="A4" s="105">
        <v>18</v>
      </c>
      <c r="C4" s="7">
        <v>12</v>
      </c>
      <c r="D4" s="7">
        <f>COUNTIF($A$3:$A$15,C4)</f>
        <v>2</v>
      </c>
      <c r="E4" s="107">
        <f>D4/D$9</f>
        <v>0.16666666666666666</v>
      </c>
      <c r="I4">
        <f>C4</f>
        <v>12</v>
      </c>
      <c r="J4">
        <f>COUNTIF($A$3:$A$14,I4)</f>
        <v>2</v>
      </c>
      <c r="K4">
        <f>J4/$J$9</f>
        <v>0.16666666666666666</v>
      </c>
    </row>
    <row r="5" spans="1:11" x14ac:dyDescent="0.25">
      <c r="A5" s="105">
        <v>13</v>
      </c>
      <c r="C5" s="7">
        <v>13</v>
      </c>
      <c r="D5" s="7">
        <f>COUNTIF($A$3:$A$17,C5)</f>
        <v>3</v>
      </c>
      <c r="E5" s="107">
        <f>D5/D$9</f>
        <v>0.25</v>
      </c>
      <c r="I5">
        <f>C5</f>
        <v>13</v>
      </c>
      <c r="J5">
        <f>COUNTIF($A$3:$A$14,I5)</f>
        <v>3</v>
      </c>
      <c r="K5">
        <f>J5/$J$9</f>
        <v>0.25</v>
      </c>
    </row>
    <row r="6" spans="1:11" x14ac:dyDescent="0.25">
      <c r="A6" s="105">
        <v>12</v>
      </c>
      <c r="C6" s="7">
        <v>14</v>
      </c>
      <c r="D6" s="7">
        <f>COUNTIF($A$3:$A$17,C6)</f>
        <v>1</v>
      </c>
      <c r="E6" s="107">
        <f>D6/D$9</f>
        <v>8.3333333333333329E-2</v>
      </c>
      <c r="I6">
        <f>C6</f>
        <v>14</v>
      </c>
      <c r="J6">
        <f>COUNTIF($A$3:$A$14,I6)</f>
        <v>1</v>
      </c>
      <c r="K6">
        <f>J6/$J$9</f>
        <v>8.3333333333333329E-2</v>
      </c>
    </row>
    <row r="7" spans="1:11" x14ac:dyDescent="0.25">
      <c r="A7" s="105">
        <v>18</v>
      </c>
      <c r="C7" s="7">
        <v>16</v>
      </c>
      <c r="D7" s="7">
        <f>COUNTIF($A$3:$A$17,C7)</f>
        <v>2</v>
      </c>
      <c r="E7" s="107">
        <f>D7/D$9</f>
        <v>0.16666666666666666</v>
      </c>
      <c r="I7">
        <f>C7</f>
        <v>16</v>
      </c>
      <c r="J7">
        <f>COUNTIF($A$3:$A$14,I7)</f>
        <v>2</v>
      </c>
      <c r="K7">
        <f>J7/$J$9</f>
        <v>0.16666666666666666</v>
      </c>
    </row>
    <row r="8" spans="1:11" x14ac:dyDescent="0.25">
      <c r="A8" s="105">
        <v>12</v>
      </c>
      <c r="C8" s="10">
        <v>18</v>
      </c>
      <c r="D8" s="10">
        <f>COUNTIF($A$3:$A$17,C8)</f>
        <v>4</v>
      </c>
      <c r="E8" s="108">
        <f>D8/D$9</f>
        <v>0.33333333333333331</v>
      </c>
      <c r="I8" s="68">
        <f>C8</f>
        <v>18</v>
      </c>
      <c r="J8" s="68">
        <f>COUNTIF($A$3:$A$14,I8)</f>
        <v>4</v>
      </c>
      <c r="K8" s="68">
        <f>J8/$J$9</f>
        <v>0.33333333333333331</v>
      </c>
    </row>
    <row r="9" spans="1:11" x14ac:dyDescent="0.25">
      <c r="A9" s="105">
        <v>13</v>
      </c>
      <c r="D9">
        <f>SUM(D4:D8)</f>
        <v>12</v>
      </c>
      <c r="J9">
        <f>SUM(J4:J8)</f>
        <v>12</v>
      </c>
      <c r="K9">
        <f>SUM(K4:K8)</f>
        <v>1</v>
      </c>
    </row>
    <row r="10" spans="1:11" x14ac:dyDescent="0.25">
      <c r="A10" s="105">
        <v>13</v>
      </c>
    </row>
    <row r="11" spans="1:11" x14ac:dyDescent="0.25">
      <c r="A11" s="105">
        <v>16</v>
      </c>
    </row>
    <row r="12" spans="1:11" x14ac:dyDescent="0.25">
      <c r="A12" s="105">
        <v>18</v>
      </c>
    </row>
    <row r="13" spans="1:11" x14ac:dyDescent="0.25">
      <c r="A13" s="105">
        <v>18</v>
      </c>
    </row>
    <row r="14" spans="1:11" x14ac:dyDescent="0.25">
      <c r="A14" s="106">
        <v>16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33"/>
  <sheetViews>
    <sheetView tabSelected="1" workbookViewId="0">
      <selection activeCell="K1" sqref="K1:M1"/>
    </sheetView>
  </sheetViews>
  <sheetFormatPr defaultRowHeight="15" x14ac:dyDescent="0.25"/>
  <sheetData>
    <row r="1" spans="1:13" x14ac:dyDescent="0.25">
      <c r="A1" s="1" t="s">
        <v>99</v>
      </c>
      <c r="K1" t="s">
        <v>141</v>
      </c>
    </row>
    <row r="2" spans="1:13" x14ac:dyDescent="0.25">
      <c r="A2" s="16"/>
      <c r="B2" s="16"/>
      <c r="C2" s="37"/>
      <c r="D2" s="16"/>
      <c r="E2" s="16"/>
    </row>
    <row r="3" spans="1:13" x14ac:dyDescent="0.25">
      <c r="A3" s="193" t="s">
        <v>51</v>
      </c>
      <c r="B3" s="193"/>
      <c r="C3" s="7"/>
      <c r="D3" s="62" t="s">
        <v>86</v>
      </c>
      <c r="E3" s="62" t="s">
        <v>66</v>
      </c>
      <c r="K3" t="s">
        <v>99</v>
      </c>
    </row>
    <row r="4" spans="1:13" x14ac:dyDescent="0.25">
      <c r="A4" s="4">
        <v>34</v>
      </c>
      <c r="B4" s="4">
        <v>20</v>
      </c>
      <c r="C4" s="7"/>
      <c r="D4" s="4">
        <v>20</v>
      </c>
      <c r="E4" s="4">
        <f t="array" ref="E4:E8">FREQUENCY(A4:B14,D4:D7)</f>
        <v>6</v>
      </c>
    </row>
    <row r="5" spans="1:13" x14ac:dyDescent="0.25">
      <c r="A5" s="7">
        <v>45</v>
      </c>
      <c r="B5" s="7">
        <v>34</v>
      </c>
      <c r="C5" s="7"/>
      <c r="D5" s="7">
        <v>40</v>
      </c>
      <c r="E5" s="7">
        <v>10</v>
      </c>
      <c r="K5" t="s">
        <v>140</v>
      </c>
      <c r="L5">
        <v>15</v>
      </c>
    </row>
    <row r="6" spans="1:13" x14ac:dyDescent="0.25">
      <c r="A6" s="7">
        <v>23</v>
      </c>
      <c r="B6" s="7">
        <v>29</v>
      </c>
      <c r="C6" s="7"/>
      <c r="D6" s="7">
        <v>60</v>
      </c>
      <c r="E6" s="7">
        <v>2</v>
      </c>
    </row>
    <row r="7" spans="1:13" x14ac:dyDescent="0.25">
      <c r="A7" s="7">
        <v>22</v>
      </c>
      <c r="B7" s="7">
        <v>12</v>
      </c>
      <c r="C7" s="7"/>
      <c r="D7" s="7">
        <v>80</v>
      </c>
      <c r="E7" s="7">
        <v>3</v>
      </c>
      <c r="K7" s="69" t="s">
        <v>138</v>
      </c>
      <c r="L7" s="69" t="s">
        <v>78</v>
      </c>
      <c r="M7" s="69" t="s">
        <v>139</v>
      </c>
    </row>
    <row r="8" spans="1:13" x14ac:dyDescent="0.25">
      <c r="A8" s="7">
        <v>7</v>
      </c>
      <c r="B8" s="7">
        <v>72</v>
      </c>
      <c r="C8" s="7"/>
      <c r="D8" s="41" t="s">
        <v>87</v>
      </c>
      <c r="E8" s="10">
        <v>1</v>
      </c>
      <c r="K8">
        <f t="shared" ref="K8:K13" si="0">K9-$L$5</f>
        <v>0</v>
      </c>
    </row>
    <row r="9" spans="1:13" x14ac:dyDescent="0.25">
      <c r="A9" s="7">
        <v>34</v>
      </c>
      <c r="B9" s="7">
        <v>23</v>
      </c>
      <c r="C9" s="7"/>
      <c r="D9" s="7"/>
      <c r="E9" s="7"/>
      <c r="K9">
        <f t="shared" si="0"/>
        <v>15</v>
      </c>
      <c r="L9">
        <f t="shared" ref="L9:L14" si="1">M9-M8</f>
        <v>5</v>
      </c>
      <c r="M9">
        <f t="shared" ref="M9:M14" si="2">COUNTIF($A$4:$B$14,"&lt;="&amp;K9)</f>
        <v>5</v>
      </c>
    </row>
    <row r="10" spans="1:13" x14ac:dyDescent="0.25">
      <c r="A10" s="7">
        <v>9</v>
      </c>
      <c r="B10" s="7">
        <v>10</v>
      </c>
      <c r="C10" s="7"/>
      <c r="D10" s="7"/>
      <c r="E10" s="7"/>
      <c r="K10">
        <f t="shared" si="0"/>
        <v>30</v>
      </c>
      <c r="L10">
        <f t="shared" si="1"/>
        <v>8</v>
      </c>
      <c r="M10">
        <f t="shared" si="2"/>
        <v>13</v>
      </c>
    </row>
    <row r="11" spans="1:13" x14ac:dyDescent="0.25">
      <c r="A11" s="7">
        <v>66</v>
      </c>
      <c r="B11" s="7">
        <v>14</v>
      </c>
      <c r="C11" s="7"/>
      <c r="D11" s="7"/>
      <c r="E11" s="7"/>
      <c r="K11">
        <f t="shared" si="0"/>
        <v>45</v>
      </c>
      <c r="L11">
        <f t="shared" si="1"/>
        <v>5</v>
      </c>
      <c r="M11">
        <f t="shared" si="2"/>
        <v>18</v>
      </c>
    </row>
    <row r="12" spans="1:13" x14ac:dyDescent="0.25">
      <c r="A12" s="7">
        <v>29</v>
      </c>
      <c r="B12" s="7">
        <v>23</v>
      </c>
      <c r="C12" s="7"/>
      <c r="D12" s="7"/>
      <c r="E12" s="7"/>
      <c r="K12">
        <f t="shared" si="0"/>
        <v>60</v>
      </c>
      <c r="L12">
        <f t="shared" si="1"/>
        <v>0</v>
      </c>
      <c r="M12">
        <f t="shared" si="2"/>
        <v>18</v>
      </c>
    </row>
    <row r="13" spans="1:13" x14ac:dyDescent="0.25">
      <c r="A13" s="7">
        <v>67</v>
      </c>
      <c r="B13" s="7">
        <v>24</v>
      </c>
      <c r="C13" s="7"/>
      <c r="D13" s="7"/>
      <c r="E13" s="7"/>
      <c r="K13">
        <f t="shared" si="0"/>
        <v>75</v>
      </c>
      <c r="L13">
        <f t="shared" si="1"/>
        <v>3</v>
      </c>
      <c r="M13">
        <f t="shared" si="2"/>
        <v>21</v>
      </c>
    </row>
    <row r="14" spans="1:13" x14ac:dyDescent="0.25">
      <c r="A14" s="10">
        <v>44</v>
      </c>
      <c r="B14" s="10">
        <v>90</v>
      </c>
      <c r="C14" s="7"/>
      <c r="D14" s="7"/>
      <c r="E14" s="7"/>
      <c r="K14" s="68">
        <f>MAX(A4:B14)</f>
        <v>90</v>
      </c>
      <c r="L14" s="68">
        <f t="shared" si="1"/>
        <v>1</v>
      </c>
      <c r="M14" s="68">
        <f t="shared" si="2"/>
        <v>22</v>
      </c>
    </row>
    <row r="15" spans="1:13" x14ac:dyDescent="0.25">
      <c r="A15" s="7"/>
      <c r="B15" s="7"/>
      <c r="C15" s="7"/>
      <c r="D15" s="7"/>
      <c r="E15" s="7"/>
    </row>
    <row r="16" spans="1:13" x14ac:dyDescent="0.25">
      <c r="A16" s="1" t="s">
        <v>88</v>
      </c>
      <c r="B16" s="1"/>
      <c r="C16" s="1"/>
      <c r="D16" s="1"/>
      <c r="E16" s="1"/>
    </row>
    <row r="17" spans="1:13" ht="15.75" thickBot="1" x14ac:dyDescent="0.3"/>
    <row r="18" spans="1:13" x14ac:dyDescent="0.25">
      <c r="A18" s="18" t="s">
        <v>89</v>
      </c>
      <c r="B18" s="18" t="s">
        <v>85</v>
      </c>
    </row>
    <row r="19" spans="1:13" x14ac:dyDescent="0.25">
      <c r="A19" s="20">
        <v>20</v>
      </c>
      <c r="B19" s="19">
        <v>6</v>
      </c>
    </row>
    <row r="20" spans="1:13" x14ac:dyDescent="0.25">
      <c r="A20" s="20">
        <v>40</v>
      </c>
      <c r="B20" s="19">
        <v>10</v>
      </c>
    </row>
    <row r="21" spans="1:13" x14ac:dyDescent="0.25">
      <c r="A21" s="20">
        <v>60</v>
      </c>
      <c r="B21" s="19">
        <v>2</v>
      </c>
      <c r="K21" t="s">
        <v>99</v>
      </c>
    </row>
    <row r="22" spans="1:13" x14ac:dyDescent="0.25">
      <c r="A22" s="20">
        <v>80</v>
      </c>
      <c r="B22" s="19">
        <v>3</v>
      </c>
    </row>
    <row r="23" spans="1:13" ht="15.75" thickBot="1" x14ac:dyDescent="0.3">
      <c r="A23" s="21" t="s">
        <v>90</v>
      </c>
      <c r="B23" s="21">
        <v>1</v>
      </c>
      <c r="K23" t="s">
        <v>140</v>
      </c>
      <c r="L23">
        <v>15</v>
      </c>
    </row>
    <row r="25" spans="1:13" x14ac:dyDescent="0.25">
      <c r="K25" s="81" t="s">
        <v>138</v>
      </c>
      <c r="L25" s="81" t="s">
        <v>78</v>
      </c>
      <c r="M25" s="81" t="s">
        <v>139</v>
      </c>
    </row>
    <row r="26" spans="1:13" x14ac:dyDescent="0.25">
      <c r="K26">
        <f t="shared" ref="K26:K31" si="3">K27-$L$23</f>
        <v>-5</v>
      </c>
    </row>
    <row r="27" spans="1:13" x14ac:dyDescent="0.25">
      <c r="K27">
        <f t="shared" si="3"/>
        <v>10</v>
      </c>
      <c r="L27">
        <f>M27-M26</f>
        <v>3</v>
      </c>
      <c r="M27">
        <f>COUNTIF($A$4:$B$14,"&lt;="&amp;K27)</f>
        <v>3</v>
      </c>
    </row>
    <row r="28" spans="1:13" x14ac:dyDescent="0.25">
      <c r="K28">
        <f t="shared" si="3"/>
        <v>25</v>
      </c>
      <c r="L28">
        <f t="shared" ref="L28:L33" si="4">M28-M27</f>
        <v>8</v>
      </c>
      <c r="M28">
        <f t="shared" ref="M28:M33" si="5">COUNTIF($A$4:$B$14,"&lt;="&amp;K28)</f>
        <v>11</v>
      </c>
    </row>
    <row r="29" spans="1:13" x14ac:dyDescent="0.25">
      <c r="K29">
        <f t="shared" si="3"/>
        <v>40</v>
      </c>
      <c r="L29">
        <f t="shared" si="4"/>
        <v>5</v>
      </c>
      <c r="M29">
        <f t="shared" si="5"/>
        <v>16</v>
      </c>
    </row>
    <row r="30" spans="1:13" x14ac:dyDescent="0.25">
      <c r="K30">
        <f t="shared" si="3"/>
        <v>55</v>
      </c>
      <c r="L30">
        <f t="shared" si="4"/>
        <v>2</v>
      </c>
      <c r="M30">
        <f t="shared" si="5"/>
        <v>18</v>
      </c>
    </row>
    <row r="31" spans="1:13" x14ac:dyDescent="0.25">
      <c r="K31">
        <f t="shared" si="3"/>
        <v>70</v>
      </c>
      <c r="L31">
        <f t="shared" si="4"/>
        <v>2</v>
      </c>
      <c r="M31">
        <f t="shared" si="5"/>
        <v>20</v>
      </c>
    </row>
    <row r="32" spans="1:13" x14ac:dyDescent="0.25">
      <c r="K32">
        <f>K33-$L$23</f>
        <v>85</v>
      </c>
      <c r="L32">
        <f t="shared" si="4"/>
        <v>1</v>
      </c>
      <c r="M32">
        <f t="shared" si="5"/>
        <v>21</v>
      </c>
    </row>
    <row r="33" spans="11:13" x14ac:dyDescent="0.25">
      <c r="K33" s="68">
        <v>100</v>
      </c>
      <c r="L33" s="68">
        <f t="shared" si="4"/>
        <v>1</v>
      </c>
      <c r="M33" s="68">
        <f t="shared" si="5"/>
        <v>22</v>
      </c>
    </row>
  </sheetData>
  <mergeCells count="1">
    <mergeCell ref="A3:B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1" sqref="C21"/>
    </sheetView>
  </sheetViews>
  <sheetFormatPr defaultRowHeight="15" x14ac:dyDescent="0.25"/>
  <cols>
    <col min="2" max="2" width="12.5703125" customWidth="1"/>
    <col min="3" max="3" width="14.85546875" customWidth="1"/>
    <col min="4" max="4" width="15.28515625" customWidth="1"/>
    <col min="6" max="6" width="18" customWidth="1"/>
  </cols>
  <sheetData>
    <row r="1" spans="1:6" ht="15.75" customHeight="1" thickBot="1" x14ac:dyDescent="0.3">
      <c r="A1" s="137"/>
      <c r="B1" s="159"/>
      <c r="C1" s="194"/>
      <c r="D1" s="194"/>
      <c r="E1" s="194"/>
      <c r="F1" s="159"/>
    </row>
    <row r="2" spans="1:6" ht="15.75" thickBot="1" x14ac:dyDescent="0.3">
      <c r="A2" s="137"/>
      <c r="B2" s="159"/>
      <c r="C2" s="194" t="s">
        <v>245</v>
      </c>
      <c r="D2" s="194"/>
      <c r="E2" s="194"/>
      <c r="F2" s="159"/>
    </row>
    <row r="3" spans="1:6" ht="15.75" thickBot="1" x14ac:dyDescent="0.3">
      <c r="A3" s="137"/>
      <c r="B3" s="160" t="s">
        <v>246</v>
      </c>
      <c r="C3" s="159" t="s">
        <v>247</v>
      </c>
      <c r="D3" s="159" t="s">
        <v>248</v>
      </c>
      <c r="E3" s="160" t="s">
        <v>249</v>
      </c>
      <c r="F3" s="159" t="s">
        <v>11</v>
      </c>
    </row>
    <row r="4" spans="1:6" x14ac:dyDescent="0.25">
      <c r="A4" s="137"/>
      <c r="B4" s="161" t="s">
        <v>250</v>
      </c>
      <c r="C4" s="162">
        <v>40</v>
      </c>
      <c r="D4" s="162">
        <v>10</v>
      </c>
      <c r="E4" s="163">
        <v>30</v>
      </c>
      <c r="F4" s="162">
        <f>SUM(C5:E5)</f>
        <v>120</v>
      </c>
    </row>
    <row r="5" spans="1:6" ht="15.75" thickBot="1" x14ac:dyDescent="0.3">
      <c r="A5" s="137"/>
      <c r="B5" s="164" t="s">
        <v>251</v>
      </c>
      <c r="C5" s="165">
        <v>30</v>
      </c>
      <c r="D5" s="165">
        <v>20</v>
      </c>
      <c r="E5" s="166">
        <v>70</v>
      </c>
      <c r="F5" s="165">
        <v>20</v>
      </c>
    </row>
    <row r="6" spans="1:6" x14ac:dyDescent="0.25">
      <c r="A6" s="137"/>
      <c r="B6" s="167" t="s">
        <v>11</v>
      </c>
      <c r="C6" s="162">
        <f>SUM(C4:C5)</f>
        <v>70</v>
      </c>
      <c r="D6" s="162">
        <f>SUM(D4:D5)</f>
        <v>30</v>
      </c>
      <c r="E6" s="162">
        <f>SUM(E4:E5)</f>
        <v>100</v>
      </c>
      <c r="F6" s="168">
        <f>SUM(C6:E6)</f>
        <v>200</v>
      </c>
    </row>
    <row r="7" spans="1:6" x14ac:dyDescent="0.25">
      <c r="A7" s="137"/>
      <c r="B7" s="137"/>
      <c r="C7" s="137"/>
      <c r="D7" s="137"/>
      <c r="E7" s="137"/>
      <c r="F7" s="137"/>
    </row>
    <row r="8" spans="1:6" x14ac:dyDescent="0.25">
      <c r="A8" s="137"/>
      <c r="B8" s="137"/>
      <c r="C8" s="137"/>
      <c r="D8" s="137"/>
      <c r="E8" s="137"/>
      <c r="F8" s="137"/>
    </row>
    <row r="9" spans="1:6" x14ac:dyDescent="0.25">
      <c r="A9" s="137"/>
      <c r="B9" s="137"/>
      <c r="C9" s="137"/>
      <c r="D9" s="137"/>
      <c r="E9" s="137"/>
      <c r="F9" s="137"/>
    </row>
    <row r="10" spans="1:6" ht="15.75" x14ac:dyDescent="0.25">
      <c r="A10" s="137"/>
      <c r="B10" s="195" t="s">
        <v>252</v>
      </c>
      <c r="C10" s="195"/>
      <c r="D10" s="195"/>
      <c r="E10" s="195"/>
      <c r="F10" s="195"/>
    </row>
    <row r="11" spans="1:6" ht="15.75" customHeight="1" thickBot="1" x14ac:dyDescent="0.3">
      <c r="A11" s="137"/>
      <c r="B11" s="159"/>
      <c r="C11" s="194" t="s">
        <v>245</v>
      </c>
      <c r="D11" s="194"/>
      <c r="E11" s="194"/>
      <c r="F11" s="159"/>
    </row>
    <row r="12" spans="1:6" ht="15.75" thickBot="1" x14ac:dyDescent="0.3">
      <c r="A12" s="137"/>
      <c r="B12" s="160" t="s">
        <v>246</v>
      </c>
      <c r="C12" s="169" t="s">
        <v>247</v>
      </c>
      <c r="D12" s="169" t="s">
        <v>248</v>
      </c>
      <c r="E12" s="170" t="s">
        <v>249</v>
      </c>
      <c r="F12" s="169" t="s">
        <v>11</v>
      </c>
    </row>
    <row r="13" spans="1:6" x14ac:dyDescent="0.25">
      <c r="A13" s="137"/>
      <c r="B13" s="161" t="s">
        <v>250</v>
      </c>
      <c r="C13" s="162">
        <f t="shared" ref="C13:E14" si="0">C4/$F$6</f>
        <v>0.2</v>
      </c>
      <c r="D13" s="162">
        <f t="shared" si="0"/>
        <v>0.05</v>
      </c>
      <c r="E13" s="162">
        <f t="shared" si="0"/>
        <v>0.15</v>
      </c>
      <c r="F13" s="168">
        <f>SUM(C13:E13)</f>
        <v>0.4</v>
      </c>
    </row>
    <row r="14" spans="1:6" ht="15.75" thickBot="1" x14ac:dyDescent="0.3">
      <c r="A14" s="137"/>
      <c r="B14" s="164" t="s">
        <v>251</v>
      </c>
      <c r="C14" s="165">
        <f t="shared" si="0"/>
        <v>0.15</v>
      </c>
      <c r="D14" s="165">
        <f t="shared" si="0"/>
        <v>0.1</v>
      </c>
      <c r="E14" s="165">
        <f t="shared" si="0"/>
        <v>0.35</v>
      </c>
      <c r="F14" s="171">
        <f>SUM(C14:E14)</f>
        <v>0.6</v>
      </c>
    </row>
    <row r="15" spans="1:6" x14ac:dyDescent="0.25">
      <c r="A15" s="137"/>
      <c r="B15" s="167" t="s">
        <v>11</v>
      </c>
      <c r="C15" s="162">
        <f>SUM(C13:C14)</f>
        <v>0.35</v>
      </c>
      <c r="D15" s="162">
        <f>SUM(D13:D14)</f>
        <v>0.15000000000000002</v>
      </c>
      <c r="E15" s="162">
        <f>SUM(E13:E14)</f>
        <v>0.5</v>
      </c>
      <c r="F15" s="168">
        <f>SUM(C15:E15)</f>
        <v>1</v>
      </c>
    </row>
    <row r="16" spans="1:6" x14ac:dyDescent="0.25">
      <c r="A16" s="137"/>
      <c r="B16" s="137"/>
      <c r="C16" s="137"/>
      <c r="D16" s="137"/>
      <c r="E16" s="137"/>
      <c r="F16" s="137"/>
    </row>
    <row r="17" spans="1:6" x14ac:dyDescent="0.25">
      <c r="A17" s="137"/>
      <c r="B17" s="137">
        <v>0</v>
      </c>
      <c r="C17" s="137">
        <v>0</v>
      </c>
      <c r="D17" s="137">
        <v>1</v>
      </c>
      <c r="E17" s="137">
        <v>2</v>
      </c>
      <c r="F17" s="137"/>
    </row>
    <row r="18" spans="1:6" x14ac:dyDescent="0.25">
      <c r="A18" s="137"/>
      <c r="B18" s="137">
        <v>1</v>
      </c>
      <c r="C18" s="137"/>
      <c r="D18" s="137"/>
      <c r="E18" s="137"/>
      <c r="F18" s="137"/>
    </row>
    <row r="19" spans="1:6" x14ac:dyDescent="0.25">
      <c r="A19" s="137"/>
      <c r="B19" s="137"/>
      <c r="C19" s="137"/>
      <c r="D19" s="137"/>
      <c r="E19" s="137"/>
      <c r="F19" s="137"/>
    </row>
    <row r="20" spans="1:6" x14ac:dyDescent="0.25">
      <c r="A20" s="137"/>
      <c r="B20" s="174" t="s">
        <v>253</v>
      </c>
      <c r="C20" s="174">
        <f>C13*C17+D13*D17+E13*E17</f>
        <v>0.35</v>
      </c>
      <c r="D20" s="137"/>
      <c r="E20" s="137"/>
      <c r="F20" s="137"/>
    </row>
    <row r="21" spans="1:6" x14ac:dyDescent="0.25">
      <c r="A21" s="137"/>
      <c r="B21" s="174" t="s">
        <v>254</v>
      </c>
      <c r="C21" s="173">
        <f>C14*C17+D14*D17+E14*E17</f>
        <v>0.79999999999999993</v>
      </c>
      <c r="D21" s="137"/>
      <c r="E21" s="137"/>
      <c r="F21" s="137"/>
    </row>
  </sheetData>
  <mergeCells count="4">
    <mergeCell ref="C1:E1"/>
    <mergeCell ref="B10:F10"/>
    <mergeCell ref="C11:E11"/>
    <mergeCell ref="C2:E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1"/>
    </sheetView>
  </sheetViews>
  <sheetFormatPr defaultRowHeight="15" x14ac:dyDescent="0.25"/>
  <sheetData>
    <row r="1" spans="1:9" x14ac:dyDescent="0.25">
      <c r="A1" s="137"/>
      <c r="B1" s="137"/>
      <c r="C1" s="196" t="s">
        <v>255</v>
      </c>
      <c r="D1" s="196"/>
      <c r="E1" s="137"/>
      <c r="F1" s="137"/>
      <c r="G1" s="137"/>
      <c r="H1" s="137"/>
      <c r="I1" s="137"/>
    </row>
    <row r="2" spans="1:9" x14ac:dyDescent="0.25">
      <c r="A2" s="172" t="s">
        <v>256</v>
      </c>
      <c r="B2" s="137" t="s">
        <v>257</v>
      </c>
      <c r="C2" s="137" t="s">
        <v>258</v>
      </c>
      <c r="D2" s="137" t="s">
        <v>259</v>
      </c>
      <c r="E2" s="137"/>
      <c r="F2" s="137" t="s">
        <v>260</v>
      </c>
      <c r="G2" s="137" t="s">
        <v>261</v>
      </c>
      <c r="H2" s="137"/>
      <c r="I2" s="137"/>
    </row>
    <row r="3" spans="1:9" x14ac:dyDescent="0.25">
      <c r="A3" s="172">
        <v>0.2</v>
      </c>
      <c r="B3" s="137" t="s">
        <v>262</v>
      </c>
      <c r="C3" s="137">
        <v>-25</v>
      </c>
      <c r="D3" s="137">
        <v>-200</v>
      </c>
      <c r="E3" s="137"/>
      <c r="F3" s="137">
        <f>C3-$C$7</f>
        <v>-75</v>
      </c>
      <c r="G3" s="137">
        <f>D3-$C$8</f>
        <v>-295</v>
      </c>
      <c r="H3" s="137"/>
      <c r="I3" s="137">
        <f>F3*G3</f>
        <v>22125</v>
      </c>
    </row>
    <row r="4" spans="1:9" x14ac:dyDescent="0.25">
      <c r="A4" s="172">
        <v>0.5</v>
      </c>
      <c r="B4" s="137" t="s">
        <v>263</v>
      </c>
      <c r="C4" s="137">
        <v>50</v>
      </c>
      <c r="D4" s="137">
        <v>60</v>
      </c>
      <c r="E4" s="137"/>
      <c r="F4" s="137">
        <f>C4-$C$7</f>
        <v>0</v>
      </c>
      <c r="G4" s="137">
        <f>D4-$C$8</f>
        <v>-35</v>
      </c>
      <c r="H4" s="137"/>
      <c r="I4" s="137">
        <f>F4*G4</f>
        <v>0</v>
      </c>
    </row>
    <row r="5" spans="1:9" x14ac:dyDescent="0.25">
      <c r="A5" s="172">
        <v>0.3</v>
      </c>
      <c r="B5" s="137" t="s">
        <v>264</v>
      </c>
      <c r="C5" s="137">
        <v>100</v>
      </c>
      <c r="D5" s="137">
        <v>350</v>
      </c>
      <c r="E5" s="137"/>
      <c r="F5" s="137">
        <f>C5-$C$7</f>
        <v>50</v>
      </c>
      <c r="G5" s="137">
        <f>D5-$C$8</f>
        <v>255</v>
      </c>
      <c r="H5" s="137"/>
      <c r="I5" s="137">
        <f>F5*G5</f>
        <v>12750</v>
      </c>
    </row>
    <row r="6" spans="1:9" x14ac:dyDescent="0.25">
      <c r="A6" s="137"/>
      <c r="B6" s="137"/>
      <c r="C6" s="137"/>
      <c r="D6" s="137"/>
      <c r="E6" s="137"/>
      <c r="F6" s="137"/>
      <c r="G6" s="137"/>
      <c r="H6" s="137"/>
      <c r="I6" s="137"/>
    </row>
    <row r="7" spans="1:9" x14ac:dyDescent="0.25">
      <c r="A7" s="137"/>
      <c r="B7" s="137" t="s">
        <v>265</v>
      </c>
      <c r="C7" s="137">
        <f>A3*C3+A4*C4+A5*C5</f>
        <v>50</v>
      </c>
      <c r="D7" s="137">
        <f t="array" ref="D7">SUM(A3:A5*C3:C5)</f>
        <v>50</v>
      </c>
      <c r="E7" s="175" t="s">
        <v>266</v>
      </c>
      <c r="F7" s="137"/>
      <c r="G7" s="137"/>
      <c r="H7" s="137"/>
      <c r="I7" s="137"/>
    </row>
    <row r="8" spans="1:9" x14ac:dyDescent="0.25">
      <c r="A8" s="137"/>
      <c r="B8" s="137" t="s">
        <v>267</v>
      </c>
      <c r="C8" s="137">
        <f>A3*D3+A4*D4+A5*D5</f>
        <v>95</v>
      </c>
      <c r="D8" s="137">
        <f t="array" ref="D8">SUM(A3:A5*D3:D5)</f>
        <v>95</v>
      </c>
      <c r="E8" s="175" t="s">
        <v>268</v>
      </c>
      <c r="F8" s="137"/>
      <c r="G8" s="137"/>
      <c r="H8" s="137"/>
      <c r="I8" s="137"/>
    </row>
    <row r="9" spans="1:9" x14ac:dyDescent="0.25">
      <c r="A9" s="137"/>
      <c r="B9" s="137"/>
      <c r="C9" s="137"/>
      <c r="D9" s="137"/>
      <c r="E9" s="137"/>
      <c r="F9" s="137"/>
      <c r="G9" s="137"/>
      <c r="H9" s="137"/>
      <c r="I9" s="137"/>
    </row>
    <row r="10" spans="1:9" x14ac:dyDescent="0.25">
      <c r="A10" s="137"/>
      <c r="B10" s="137" t="s">
        <v>269</v>
      </c>
      <c r="C10" s="137">
        <f>A3*F3^2+A4*F4^2+A5*F5^2</f>
        <v>1875</v>
      </c>
      <c r="D10" s="137"/>
      <c r="E10" s="137"/>
      <c r="F10" s="137"/>
      <c r="G10" s="137"/>
      <c r="H10" s="137"/>
      <c r="I10" s="137"/>
    </row>
    <row r="11" spans="1:9" x14ac:dyDescent="0.25">
      <c r="A11" s="137"/>
      <c r="B11" s="137" t="s">
        <v>270</v>
      </c>
      <c r="C11" s="137">
        <f>A3*G3^2+A4*G4^2+A5*G5^2</f>
        <v>37525</v>
      </c>
      <c r="D11" s="137"/>
      <c r="E11" s="137"/>
      <c r="F11" s="137"/>
      <c r="G11" s="137"/>
      <c r="H11" s="137"/>
      <c r="I11" s="137"/>
    </row>
    <row r="12" spans="1:9" x14ac:dyDescent="0.25">
      <c r="A12" s="137"/>
      <c r="B12" s="137"/>
      <c r="C12" s="137"/>
      <c r="D12" s="137"/>
      <c r="E12" s="137"/>
      <c r="F12" s="137"/>
      <c r="G12" s="137"/>
      <c r="H12" s="137"/>
      <c r="I12" s="137"/>
    </row>
    <row r="13" spans="1:9" ht="16.5" x14ac:dyDescent="0.3">
      <c r="A13" s="137"/>
      <c r="B13" s="174" t="s">
        <v>271</v>
      </c>
      <c r="C13" s="176">
        <f>SQRT(C10)</f>
        <v>43.301270189221931</v>
      </c>
      <c r="D13" s="137"/>
      <c r="E13" s="137"/>
      <c r="F13" s="137"/>
      <c r="G13" s="137"/>
      <c r="H13" s="137"/>
      <c r="I13" s="137"/>
    </row>
    <row r="14" spans="1:9" ht="16.5" x14ac:dyDescent="0.3">
      <c r="A14" s="137"/>
      <c r="B14" s="174" t="s">
        <v>272</v>
      </c>
      <c r="C14" s="176">
        <f>SQRT(C11)</f>
        <v>193.71370627810515</v>
      </c>
      <c r="D14" s="137"/>
      <c r="E14" s="137"/>
      <c r="F14" s="137"/>
      <c r="G14" s="137"/>
      <c r="H14" s="137"/>
      <c r="I14" s="137"/>
    </row>
    <row r="15" spans="1:9" x14ac:dyDescent="0.25">
      <c r="A15" s="137"/>
      <c r="B15" s="137" t="s">
        <v>273</v>
      </c>
      <c r="C15" s="137">
        <f>A3*F3*G3+A4*F4*G4+A5*F5*G5</f>
        <v>8250</v>
      </c>
      <c r="D15" s="137">
        <f t="array" ref="D15">SUM(F3:F5*G3:G5*A3:A5)</f>
        <v>8250</v>
      </c>
      <c r="E15" s="177" t="s">
        <v>274</v>
      </c>
      <c r="F15" s="137"/>
      <c r="G15" s="137"/>
      <c r="H15" s="137"/>
      <c r="I15" s="137"/>
    </row>
    <row r="16" spans="1:9" x14ac:dyDescent="0.25">
      <c r="A16" s="137"/>
      <c r="B16" s="137"/>
      <c r="C16" s="137"/>
      <c r="D16" s="137"/>
      <c r="E16" s="137"/>
      <c r="F16" s="137"/>
      <c r="G16" s="137"/>
      <c r="H16" s="137"/>
      <c r="I16" s="137"/>
    </row>
    <row r="17" spans="1:9" x14ac:dyDescent="0.25">
      <c r="A17" s="137"/>
      <c r="B17" s="137"/>
      <c r="C17" s="137" t="s">
        <v>275</v>
      </c>
      <c r="D17" s="137" t="s">
        <v>276</v>
      </c>
      <c r="E17" s="137"/>
      <c r="F17" s="137"/>
      <c r="G17" s="137"/>
      <c r="H17" s="137"/>
      <c r="I17" s="137"/>
    </row>
    <row r="18" spans="1:9" x14ac:dyDescent="0.25">
      <c r="A18" s="137"/>
      <c r="B18" s="137"/>
      <c r="C18" s="137">
        <v>0.4</v>
      </c>
      <c r="D18" s="137">
        <f>1-C18</f>
        <v>0.6</v>
      </c>
      <c r="E18" s="137"/>
      <c r="F18" s="137"/>
      <c r="G18" s="137"/>
      <c r="H18" s="137"/>
      <c r="I18" s="137"/>
    </row>
    <row r="19" spans="1:9" x14ac:dyDescent="0.25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9" x14ac:dyDescent="0.25">
      <c r="A20" s="137"/>
      <c r="B20" s="137" t="s">
        <v>277</v>
      </c>
      <c r="C20" s="137">
        <f>C18*C7+D18*C8</f>
        <v>77</v>
      </c>
      <c r="D20" s="137"/>
      <c r="E20" s="137"/>
      <c r="F20" s="137"/>
      <c r="G20" s="137"/>
      <c r="H20" s="137"/>
      <c r="I20" s="137"/>
    </row>
    <row r="21" spans="1:9" ht="16.5" x14ac:dyDescent="0.3">
      <c r="A21" s="137"/>
      <c r="B21" s="174" t="s">
        <v>278</v>
      </c>
      <c r="C21" s="176">
        <f>SQRT(C18^2*C10+D18^2*C11+2*C18*D18*C15)</f>
        <v>133.30041260251224</v>
      </c>
      <c r="D21" s="137"/>
      <c r="E21" s="137"/>
      <c r="F21" s="137"/>
      <c r="G21" s="137"/>
      <c r="H21" s="137"/>
      <c r="I21" s="137"/>
    </row>
  </sheetData>
  <mergeCells count="1">
    <mergeCell ref="C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2" sqref="B2"/>
    </sheetView>
  </sheetViews>
  <sheetFormatPr defaultRowHeight="15" x14ac:dyDescent="0.25"/>
  <cols>
    <col min="2" max="2" width="14" customWidth="1"/>
  </cols>
  <sheetData>
    <row r="1" spans="1:5" ht="15.75" thickBot="1" x14ac:dyDescent="0.3">
      <c r="A1" s="137"/>
      <c r="B1" s="137"/>
      <c r="C1" s="197" t="s">
        <v>239</v>
      </c>
      <c r="D1" s="197"/>
      <c r="E1" s="197"/>
    </row>
    <row r="2" spans="1:5" ht="15.75" thickBot="1" x14ac:dyDescent="0.3">
      <c r="A2" s="137"/>
      <c r="B2" s="179" t="s">
        <v>279</v>
      </c>
      <c r="C2" s="178">
        <v>-0.05</v>
      </c>
      <c r="D2" s="180">
        <v>0</v>
      </c>
      <c r="E2" s="181">
        <v>0.06</v>
      </c>
    </row>
    <row r="3" spans="1:5" x14ac:dyDescent="0.25">
      <c r="A3" s="137"/>
      <c r="B3" s="182">
        <v>-7.0000000000000007E-2</v>
      </c>
      <c r="C3" s="183">
        <f>1/6</f>
        <v>0.16666666666666666</v>
      </c>
      <c r="D3" s="184">
        <f>1/12</f>
        <v>8.3333333333333329E-2</v>
      </c>
      <c r="E3" s="185">
        <f>1/12</f>
        <v>8.3333333333333329E-2</v>
      </c>
    </row>
    <row r="4" spans="1:5" x14ac:dyDescent="0.25">
      <c r="A4" s="186" t="s">
        <v>280</v>
      </c>
      <c r="B4" s="187">
        <v>0</v>
      </c>
      <c r="C4" s="188">
        <f>2/9</f>
        <v>0.22222222222222221</v>
      </c>
      <c r="D4" s="137">
        <f>1/6</f>
        <v>0.16666666666666666</v>
      </c>
      <c r="E4" s="189">
        <f>1/36</f>
        <v>2.7777777777777776E-2</v>
      </c>
    </row>
    <row r="5" spans="1:5" ht="15.75" thickBot="1" x14ac:dyDescent="0.3">
      <c r="A5" s="186"/>
      <c r="B5" s="190">
        <v>0.09</v>
      </c>
      <c r="C5" s="191">
        <f>1/9</f>
        <v>0.1111111111111111</v>
      </c>
      <c r="D5" s="192">
        <f>1/12</f>
        <v>8.3333333333333329E-2</v>
      </c>
      <c r="E5" s="179">
        <f>2/36</f>
        <v>5.5555555555555552E-2</v>
      </c>
    </row>
  </sheetData>
  <mergeCells count="1">
    <mergeCell ref="C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39"/>
  <sheetViews>
    <sheetView topLeftCell="A25" workbookViewId="0">
      <selection activeCell="B31" sqref="B31"/>
    </sheetView>
  </sheetViews>
  <sheetFormatPr defaultRowHeight="15" x14ac:dyDescent="0.25"/>
  <sheetData>
    <row r="1" spans="1:2" x14ac:dyDescent="0.25">
      <c r="A1" s="1" t="s">
        <v>105</v>
      </c>
    </row>
    <row r="3" spans="1:2" x14ac:dyDescent="0.25">
      <c r="A3" s="12" t="s">
        <v>17</v>
      </c>
      <c r="B3" s="12" t="s">
        <v>18</v>
      </c>
    </row>
    <row r="4" spans="1:2" x14ac:dyDescent="0.25">
      <c r="A4">
        <v>0</v>
      </c>
      <c r="B4">
        <f>BINOMDIST(A4,20,0.25,FALSE)</f>
        <v>3.1712119389339963E-3</v>
      </c>
    </row>
    <row r="5" spans="1:2" x14ac:dyDescent="0.25">
      <c r="A5">
        <f>A4+1</f>
        <v>1</v>
      </c>
      <c r="B5">
        <f>BINOMDIST(A5,20,0.25,FALSE)</f>
        <v>2.1141412926226615E-2</v>
      </c>
    </row>
    <row r="6" spans="1:2" x14ac:dyDescent="0.25">
      <c r="A6">
        <f t="shared" ref="A6:A24" si="0">A5+1</f>
        <v>2</v>
      </c>
      <c r="B6">
        <f t="shared" ref="B6:B24" si="1">BINOMDIST(A6,20,0.25,FALSE)</f>
        <v>6.6947807599717662E-2</v>
      </c>
    </row>
    <row r="7" spans="1:2" x14ac:dyDescent="0.25">
      <c r="A7">
        <f t="shared" si="0"/>
        <v>3</v>
      </c>
      <c r="B7">
        <f t="shared" si="1"/>
        <v>0.13389561519943524</v>
      </c>
    </row>
    <row r="8" spans="1:2" x14ac:dyDescent="0.25">
      <c r="A8">
        <f t="shared" si="0"/>
        <v>4</v>
      </c>
      <c r="B8">
        <f t="shared" si="1"/>
        <v>0.18968545486586663</v>
      </c>
    </row>
    <row r="9" spans="1:2" x14ac:dyDescent="0.25">
      <c r="A9">
        <f t="shared" si="0"/>
        <v>5</v>
      </c>
      <c r="B9">
        <f t="shared" si="1"/>
        <v>0.20233115185692441</v>
      </c>
    </row>
    <row r="10" spans="1:2" x14ac:dyDescent="0.25">
      <c r="A10">
        <f t="shared" si="0"/>
        <v>6</v>
      </c>
      <c r="B10">
        <f t="shared" si="1"/>
        <v>0.1686092932141037</v>
      </c>
    </row>
    <row r="11" spans="1:2" x14ac:dyDescent="0.25">
      <c r="A11">
        <f t="shared" si="0"/>
        <v>7</v>
      </c>
      <c r="B11">
        <f t="shared" si="1"/>
        <v>0.11240619547606913</v>
      </c>
    </row>
    <row r="12" spans="1:2" x14ac:dyDescent="0.25">
      <c r="A12">
        <f t="shared" si="0"/>
        <v>8</v>
      </c>
      <c r="B12">
        <f t="shared" si="1"/>
        <v>6.0886689216204062E-2</v>
      </c>
    </row>
    <row r="13" spans="1:2" x14ac:dyDescent="0.25">
      <c r="A13">
        <f t="shared" si="0"/>
        <v>9</v>
      </c>
      <c r="B13">
        <f t="shared" si="1"/>
        <v>2.7060750762757369E-2</v>
      </c>
    </row>
    <row r="14" spans="1:2" x14ac:dyDescent="0.25">
      <c r="A14">
        <f t="shared" si="0"/>
        <v>10</v>
      </c>
      <c r="B14">
        <f t="shared" si="1"/>
        <v>9.9222752796777041E-3</v>
      </c>
    </row>
    <row r="15" spans="1:2" x14ac:dyDescent="0.25">
      <c r="A15">
        <f t="shared" si="0"/>
        <v>11</v>
      </c>
      <c r="B15">
        <f t="shared" si="1"/>
        <v>3.0067500847508173E-3</v>
      </c>
    </row>
    <row r="16" spans="1:2" x14ac:dyDescent="0.25">
      <c r="A16">
        <f t="shared" si="0"/>
        <v>12</v>
      </c>
      <c r="B16">
        <f t="shared" si="1"/>
        <v>7.5168752118770586E-4</v>
      </c>
    </row>
    <row r="17" spans="1:2" x14ac:dyDescent="0.25">
      <c r="A17">
        <f t="shared" si="0"/>
        <v>13</v>
      </c>
      <c r="B17">
        <f t="shared" si="1"/>
        <v>1.541923120385034E-4</v>
      </c>
    </row>
    <row r="18" spans="1:2" x14ac:dyDescent="0.25">
      <c r="A18">
        <f t="shared" si="0"/>
        <v>14</v>
      </c>
      <c r="B18">
        <f t="shared" si="1"/>
        <v>2.5698718673083962E-5</v>
      </c>
    </row>
    <row r="19" spans="1:2" x14ac:dyDescent="0.25">
      <c r="A19">
        <f t="shared" si="0"/>
        <v>15</v>
      </c>
      <c r="B19">
        <f t="shared" si="1"/>
        <v>3.42649582307786E-6</v>
      </c>
    </row>
    <row r="20" spans="1:2" x14ac:dyDescent="0.25">
      <c r="A20">
        <f t="shared" si="0"/>
        <v>16</v>
      </c>
      <c r="B20">
        <f t="shared" si="1"/>
        <v>3.5692664823727645E-7</v>
      </c>
    </row>
    <row r="21" spans="1:2" x14ac:dyDescent="0.25">
      <c r="A21">
        <f t="shared" si="0"/>
        <v>17</v>
      </c>
      <c r="B21">
        <f t="shared" si="1"/>
        <v>2.7994246920570738E-8</v>
      </c>
    </row>
    <row r="22" spans="1:2" x14ac:dyDescent="0.25">
      <c r="A22">
        <f t="shared" si="0"/>
        <v>18</v>
      </c>
      <c r="B22">
        <f t="shared" si="1"/>
        <v>1.5552359400317114E-9</v>
      </c>
    </row>
    <row r="23" spans="1:2" x14ac:dyDescent="0.25">
      <c r="A23">
        <f t="shared" si="0"/>
        <v>19</v>
      </c>
      <c r="B23">
        <f t="shared" si="1"/>
        <v>5.4569682106375856E-11</v>
      </c>
    </row>
    <row r="24" spans="1:2" x14ac:dyDescent="0.25">
      <c r="A24">
        <f t="shared" si="0"/>
        <v>20</v>
      </c>
      <c r="B24">
        <f t="shared" si="1"/>
        <v>9.0949470177292824E-13</v>
      </c>
    </row>
    <row r="28" spans="1:2" x14ac:dyDescent="0.25">
      <c r="A28" s="12" t="s">
        <v>17</v>
      </c>
      <c r="B28" s="12" t="s">
        <v>19</v>
      </c>
    </row>
    <row r="29" spans="1:2" x14ac:dyDescent="0.25">
      <c r="A29">
        <v>0</v>
      </c>
      <c r="B29" s="35">
        <f>BINOMDIST(A29,10,1/6,TRUE)</f>
        <v>0.16150558288984571</v>
      </c>
    </row>
    <row r="30" spans="1:2" x14ac:dyDescent="0.25">
      <c r="A30">
        <f>A29+1</f>
        <v>1</v>
      </c>
      <c r="B30" s="35">
        <f t="shared" ref="B30:B39" si="2">BINOMDIST(A30,10,1/6,TRUE)</f>
        <v>0.48451674866953731</v>
      </c>
    </row>
    <row r="31" spans="1:2" x14ac:dyDescent="0.25">
      <c r="A31">
        <f t="shared" ref="A31:A39" si="3">A30+1</f>
        <v>2</v>
      </c>
      <c r="B31" s="35">
        <f t="shared" si="2"/>
        <v>0.77522679787125948</v>
      </c>
    </row>
    <row r="32" spans="1:2" x14ac:dyDescent="0.25">
      <c r="A32">
        <f t="shared" si="3"/>
        <v>3</v>
      </c>
      <c r="B32" s="35">
        <f t="shared" si="2"/>
        <v>0.93027215744551128</v>
      </c>
    </row>
    <row r="33" spans="1:2" x14ac:dyDescent="0.25">
      <c r="A33">
        <f t="shared" si="3"/>
        <v>4</v>
      </c>
      <c r="B33" s="35">
        <f t="shared" si="2"/>
        <v>0.98453803329649947</v>
      </c>
    </row>
    <row r="34" spans="1:2" x14ac:dyDescent="0.25">
      <c r="A34">
        <f t="shared" si="3"/>
        <v>5</v>
      </c>
      <c r="B34" s="35">
        <f t="shared" si="2"/>
        <v>0.99756184350073673</v>
      </c>
    </row>
    <row r="35" spans="1:2" x14ac:dyDescent="0.25">
      <c r="A35">
        <f t="shared" si="3"/>
        <v>6</v>
      </c>
      <c r="B35" s="35">
        <f t="shared" si="2"/>
        <v>0.9997324785347762</v>
      </c>
    </row>
    <row r="36" spans="1:2" x14ac:dyDescent="0.25">
      <c r="A36">
        <f t="shared" si="3"/>
        <v>7</v>
      </c>
      <c r="B36" s="35">
        <f t="shared" si="2"/>
        <v>0.99998055111009498</v>
      </c>
    </row>
    <row r="37" spans="1:2" x14ac:dyDescent="0.25">
      <c r="A37">
        <f t="shared" si="3"/>
        <v>8</v>
      </c>
      <c r="B37" s="35">
        <f t="shared" si="2"/>
        <v>0.9999991565532439</v>
      </c>
    </row>
    <row r="38" spans="1:2" x14ac:dyDescent="0.25">
      <c r="A38">
        <f t="shared" si="3"/>
        <v>9</v>
      </c>
      <c r="B38" s="35">
        <f t="shared" si="2"/>
        <v>0.99999998346182828</v>
      </c>
    </row>
    <row r="39" spans="1:2" x14ac:dyDescent="0.25">
      <c r="A39">
        <f t="shared" si="3"/>
        <v>10</v>
      </c>
      <c r="B39" s="35">
        <f t="shared" si="2"/>
        <v>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/>
  <dimension ref="A1:I29"/>
  <sheetViews>
    <sheetView topLeftCell="A10" workbookViewId="0">
      <selection activeCell="G29" sqref="G29"/>
    </sheetView>
  </sheetViews>
  <sheetFormatPr defaultRowHeight="15" x14ac:dyDescent="0.25"/>
  <sheetData>
    <row r="1" spans="1:9" x14ac:dyDescent="0.25">
      <c r="A1" s="1"/>
    </row>
    <row r="2" spans="1:9" x14ac:dyDescent="0.25">
      <c r="A2" s="139" t="s">
        <v>225</v>
      </c>
      <c r="B2" s="138">
        <v>5</v>
      </c>
      <c r="C2" s="138"/>
      <c r="D2" s="138"/>
      <c r="E2" s="138"/>
      <c r="F2" s="138"/>
      <c r="G2" s="138"/>
      <c r="H2" s="138"/>
      <c r="I2" s="138"/>
    </row>
    <row r="3" spans="1:9" x14ac:dyDescent="0.25">
      <c r="A3" s="139" t="s">
        <v>226</v>
      </c>
      <c r="B3" s="138">
        <v>0.1</v>
      </c>
      <c r="C3" s="138"/>
      <c r="D3" s="138"/>
      <c r="E3" s="138"/>
      <c r="F3" s="138"/>
      <c r="G3" s="138"/>
      <c r="H3" s="138"/>
      <c r="I3" s="138"/>
    </row>
    <row r="4" spans="1:9" x14ac:dyDescent="0.25">
      <c r="A4" s="139" t="s">
        <v>227</v>
      </c>
      <c r="B4" s="138">
        <v>1</v>
      </c>
      <c r="C4" s="138"/>
      <c r="D4" s="138"/>
      <c r="E4" s="138"/>
      <c r="F4" s="138"/>
      <c r="G4" s="138"/>
      <c r="H4" s="138"/>
      <c r="I4" s="138"/>
    </row>
    <row r="5" spans="1:9" x14ac:dyDescent="0.25">
      <c r="A5" s="138"/>
      <c r="B5" s="138"/>
      <c r="C5" s="138"/>
      <c r="D5" s="138" t="s">
        <v>228</v>
      </c>
      <c r="E5" s="138"/>
      <c r="F5" s="138"/>
      <c r="G5" s="138"/>
      <c r="H5" s="138"/>
      <c r="I5" s="138"/>
    </row>
    <row r="6" spans="1:9" x14ac:dyDescent="0.25">
      <c r="A6" s="138"/>
      <c r="B6" s="138"/>
      <c r="C6" s="140" t="s">
        <v>229</v>
      </c>
      <c r="D6" s="138">
        <f>FACT(B2)/(FACT(B4)*FACT(B2-B4))</f>
        <v>5</v>
      </c>
      <c r="E6" s="138">
        <f>D6*B3^B4*(1-B3)^(B2-B4)</f>
        <v>0.32805000000000006</v>
      </c>
      <c r="F6" s="138"/>
      <c r="G6" s="138"/>
      <c r="H6" s="138"/>
      <c r="I6" s="138"/>
    </row>
    <row r="7" spans="1:9" x14ac:dyDescent="0.25">
      <c r="B7" s="47"/>
    </row>
    <row r="8" spans="1:9" x14ac:dyDescent="0.25">
      <c r="A8" s="138"/>
      <c r="B8" s="138"/>
      <c r="C8" s="140" t="s">
        <v>229</v>
      </c>
      <c r="D8" s="138">
        <f>_xlfn.BINOM.DIST(B4,B2,B3,FALSE)</f>
        <v>0.32805000000000001</v>
      </c>
      <c r="E8" s="138"/>
      <c r="F8" s="138"/>
      <c r="G8" s="138"/>
      <c r="H8" s="138"/>
      <c r="I8" s="138"/>
    </row>
    <row r="9" spans="1:9" x14ac:dyDescent="0.25">
      <c r="A9" s="141"/>
      <c r="B9" s="141"/>
      <c r="C9" s="141"/>
      <c r="D9" s="141"/>
      <c r="E9" s="141"/>
      <c r="F9" s="141"/>
      <c r="G9" s="141"/>
      <c r="H9" s="141"/>
      <c r="I9" s="141"/>
    </row>
    <row r="10" spans="1:9" x14ac:dyDescent="0.25">
      <c r="A10" s="139" t="s">
        <v>225</v>
      </c>
      <c r="B10" s="138">
        <v>20</v>
      </c>
      <c r="C10" s="138"/>
      <c r="D10" s="138"/>
      <c r="E10" s="138"/>
      <c r="F10" s="138"/>
      <c r="G10" s="138"/>
      <c r="H10" s="138"/>
      <c r="I10" s="138"/>
    </row>
    <row r="11" spans="1:9" x14ac:dyDescent="0.25">
      <c r="A11" s="139" t="s">
        <v>226</v>
      </c>
      <c r="B11" s="138">
        <v>0.3</v>
      </c>
      <c r="C11" s="138"/>
      <c r="D11" s="138"/>
      <c r="E11" s="138"/>
      <c r="F11" s="138"/>
      <c r="G11" s="138"/>
      <c r="H11" s="138"/>
      <c r="I11" s="138"/>
    </row>
    <row r="12" spans="1:9" x14ac:dyDescent="0.25">
      <c r="A12" s="139" t="s">
        <v>227</v>
      </c>
      <c r="B12" s="138">
        <v>5</v>
      </c>
      <c r="C12" s="138"/>
      <c r="D12" s="138"/>
      <c r="E12" s="138"/>
      <c r="F12" s="138"/>
      <c r="G12" s="138"/>
      <c r="H12" s="138"/>
      <c r="I12" s="138"/>
    </row>
    <row r="13" spans="1:9" x14ac:dyDescent="0.25">
      <c r="A13" s="138"/>
      <c r="B13" s="138"/>
      <c r="C13" s="138"/>
      <c r="D13" s="138" t="s">
        <v>228</v>
      </c>
      <c r="E13" s="138"/>
      <c r="F13" s="138"/>
      <c r="G13" s="138"/>
      <c r="H13" s="138"/>
      <c r="I13" s="138"/>
    </row>
    <row r="14" spans="1:9" x14ac:dyDescent="0.25">
      <c r="A14" s="138"/>
      <c r="B14" s="138"/>
      <c r="C14" s="140" t="s">
        <v>230</v>
      </c>
      <c r="D14" s="138">
        <f>FACT(B10)/(FACT(B12)*FACT(B10-B12))</f>
        <v>15504</v>
      </c>
      <c r="E14" s="138">
        <f>D14*B11^B12*(1-B11)^(B10-B12)</f>
        <v>0.17886305056987953</v>
      </c>
      <c r="F14" s="138"/>
      <c r="G14" s="140" t="s">
        <v>231</v>
      </c>
      <c r="H14" s="138"/>
      <c r="I14" s="138"/>
    </row>
    <row r="16" spans="1:9" x14ac:dyDescent="0.25">
      <c r="A16" s="138"/>
      <c r="B16" s="138"/>
      <c r="C16" s="140" t="s">
        <v>230</v>
      </c>
      <c r="D16" s="138">
        <f>_xlfn.BINOM.DIST(B12,B10,B11,FALSE)</f>
        <v>0.17886305056987975</v>
      </c>
      <c r="E16" s="138"/>
      <c r="F16" s="138"/>
      <c r="G16" s="140" t="s">
        <v>232</v>
      </c>
      <c r="H16" s="138">
        <f>_xlfn.BINOM.DIST(B12,B10,B11,TRUE)</f>
        <v>0.41637082944748122</v>
      </c>
      <c r="I16" s="138"/>
    </row>
    <row r="18" spans="1:9" x14ac:dyDescent="0.25">
      <c r="A18" s="141"/>
      <c r="B18" s="141"/>
      <c r="C18" s="141"/>
      <c r="D18" s="141"/>
      <c r="E18" s="141"/>
      <c r="F18" s="141"/>
      <c r="G18" s="141"/>
      <c r="H18" s="141"/>
      <c r="I18" s="141"/>
    </row>
    <row r="19" spans="1:9" x14ac:dyDescent="0.25">
      <c r="A19" s="139" t="s">
        <v>225</v>
      </c>
      <c r="B19" s="138">
        <v>150</v>
      </c>
      <c r="C19" s="138"/>
      <c r="D19" s="138"/>
      <c r="E19" s="138"/>
      <c r="F19" s="138"/>
      <c r="G19" s="138"/>
      <c r="H19" s="138"/>
      <c r="I19" s="138"/>
    </row>
    <row r="20" spans="1:9" x14ac:dyDescent="0.25">
      <c r="A20" s="139" t="s">
        <v>226</v>
      </c>
      <c r="B20" s="138">
        <v>0.35</v>
      </c>
      <c r="C20" s="138"/>
      <c r="D20" s="138"/>
      <c r="E20" s="138"/>
      <c r="F20" s="138"/>
      <c r="G20" s="138"/>
      <c r="H20" s="138"/>
      <c r="I20" s="138"/>
    </row>
    <row r="21" spans="1:9" x14ac:dyDescent="0.25">
      <c r="A21" s="139" t="s">
        <v>227</v>
      </c>
      <c r="B21" s="138">
        <v>55</v>
      </c>
      <c r="C21" s="138"/>
      <c r="D21" s="138"/>
      <c r="E21" s="138"/>
      <c r="F21" s="138"/>
      <c r="G21" s="138"/>
      <c r="H21" s="138"/>
      <c r="I21" s="138"/>
    </row>
    <row r="22" spans="1:9" x14ac:dyDescent="0.25">
      <c r="A22" s="138"/>
      <c r="B22" s="138"/>
      <c r="C22" s="138"/>
      <c r="D22" s="138" t="s">
        <v>228</v>
      </c>
      <c r="E22" s="138"/>
      <c r="F22" s="138"/>
      <c r="G22" s="138"/>
      <c r="H22" s="138"/>
      <c r="I22" s="138"/>
    </row>
    <row r="23" spans="1:9" x14ac:dyDescent="0.25">
      <c r="A23" s="138"/>
      <c r="B23" s="138"/>
      <c r="C23" s="140" t="s">
        <v>233</v>
      </c>
      <c r="D23" s="138">
        <f>FACT(B19)/(FACT(B21)*FACT(B19-B21))</f>
        <v>4.3562548873425428E+41</v>
      </c>
      <c r="E23" s="138">
        <f>D23*B20^B21*(1-B20)^(B19-B21)</f>
        <v>6.1606225760231781E-2</v>
      </c>
      <c r="F23" s="138"/>
      <c r="G23" s="138"/>
      <c r="H23" s="138"/>
      <c r="I23" s="138"/>
    </row>
    <row r="25" spans="1:9" x14ac:dyDescent="0.25">
      <c r="A25" s="138"/>
      <c r="B25" s="138"/>
      <c r="C25" s="140" t="s">
        <v>230</v>
      </c>
      <c r="D25" s="138">
        <f>_xlfn.BINOM.DIST(B21,B19,B20,FALSE)</f>
        <v>6.1606225760231663E-2</v>
      </c>
      <c r="E25" s="138"/>
      <c r="F25" s="138"/>
      <c r="G25" s="140" t="s">
        <v>234</v>
      </c>
      <c r="H25" s="138">
        <f>_xlfn.BINOM.DIST(B21,B19,B20,TRUE)</f>
        <v>0.69834899344402479</v>
      </c>
      <c r="I25" s="138"/>
    </row>
    <row r="28" spans="1:9" x14ac:dyDescent="0.25">
      <c r="A28" s="138"/>
      <c r="B28" s="138"/>
      <c r="C28" s="138"/>
      <c r="D28" s="138"/>
      <c r="E28" s="138"/>
      <c r="F28" s="138"/>
      <c r="G28" s="140" t="s">
        <v>235</v>
      </c>
      <c r="H28" s="138"/>
      <c r="I28" s="138"/>
    </row>
    <row r="29" spans="1:9" x14ac:dyDescent="0.25">
      <c r="A29" s="138"/>
      <c r="B29" s="138"/>
      <c r="C29" s="138"/>
      <c r="D29" s="138"/>
      <c r="E29" s="138"/>
      <c r="F29" s="138"/>
      <c r="G29" s="138">
        <f>1-_xlfn.BINOM.DIST(B21,B19,B20,TRUE)</f>
        <v>0.30165100655597521</v>
      </c>
      <c r="H29" s="138"/>
      <c r="I29" s="13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3"/>
  <dimension ref="A1:C31"/>
  <sheetViews>
    <sheetView workbookViewId="0">
      <selection activeCell="C11" sqref="C11"/>
    </sheetView>
  </sheetViews>
  <sheetFormatPr defaultRowHeight="15" x14ac:dyDescent="0.25"/>
  <cols>
    <col min="1" max="1" width="9.140625" customWidth="1"/>
  </cols>
  <sheetData>
    <row r="1" spans="1:3" x14ac:dyDescent="0.25">
      <c r="A1" s="1" t="s">
        <v>130</v>
      </c>
    </row>
    <row r="3" spans="1:3" x14ac:dyDescent="0.25">
      <c r="A3" t="s">
        <v>84</v>
      </c>
      <c r="B3" s="45">
        <v>20</v>
      </c>
    </row>
    <row r="4" spans="1:3" x14ac:dyDescent="0.25">
      <c r="A4" t="s">
        <v>106</v>
      </c>
      <c r="B4" s="47">
        <v>0.25</v>
      </c>
    </row>
    <row r="5" spans="1:3" x14ac:dyDescent="0.25">
      <c r="A5" t="s">
        <v>131</v>
      </c>
      <c r="B5" s="47">
        <f>B3*B4</f>
        <v>5</v>
      </c>
    </row>
    <row r="6" spans="1:3" x14ac:dyDescent="0.25">
      <c r="A6" t="s">
        <v>132</v>
      </c>
      <c r="B6" s="47">
        <f>B5*(1-B4)</f>
        <v>3.75</v>
      </c>
    </row>
    <row r="7" spans="1:3" x14ac:dyDescent="0.25">
      <c r="A7" t="s">
        <v>50</v>
      </c>
      <c r="B7" s="46">
        <f>SQRT(B6)</f>
        <v>1.9364916731037085</v>
      </c>
    </row>
    <row r="10" spans="1:3" x14ac:dyDescent="0.25">
      <c r="A10" s="12" t="s">
        <v>17</v>
      </c>
      <c r="B10" s="12" t="s">
        <v>133</v>
      </c>
      <c r="C10" t="s">
        <v>134</v>
      </c>
    </row>
    <row r="11" spans="1:3" x14ac:dyDescent="0.25">
      <c r="A11">
        <v>0</v>
      </c>
      <c r="B11">
        <f>BINOMDIST(A11,$B$3,$B$4,FALSE)</f>
        <v>3.1712119389339963E-3</v>
      </c>
      <c r="C11">
        <f>NORMDIST(A11,$B$5,$B$7,FALSE)</f>
        <v>7.3493031003682655E-3</v>
      </c>
    </row>
    <row r="12" spans="1:3" x14ac:dyDescent="0.25">
      <c r="A12">
        <f>A11+1</f>
        <v>1</v>
      </c>
      <c r="B12">
        <f t="shared" ref="B12:B31" si="0">BINOMDIST(A12,$B$3,$B$4,FALSE)</f>
        <v>2.1141412926226615E-2</v>
      </c>
      <c r="C12">
        <f t="shared" ref="C12:C31" si="1">NORMDIST(A12,$B$5,$B$7,FALSE)</f>
        <v>2.4400545593852858E-2</v>
      </c>
    </row>
    <row r="13" spans="1:3" x14ac:dyDescent="0.25">
      <c r="A13">
        <f t="shared" ref="A13:A31" si="2">A12+1</f>
        <v>2</v>
      </c>
      <c r="B13">
        <f t="shared" si="0"/>
        <v>6.6947807599717662E-2</v>
      </c>
      <c r="C13">
        <f t="shared" si="1"/>
        <v>6.2049895392207628E-2</v>
      </c>
    </row>
    <row r="14" spans="1:3" x14ac:dyDescent="0.25">
      <c r="A14">
        <f t="shared" si="2"/>
        <v>3</v>
      </c>
      <c r="B14">
        <f t="shared" si="0"/>
        <v>0.13389561519943524</v>
      </c>
      <c r="C14">
        <f t="shared" si="1"/>
        <v>0.12085669349928452</v>
      </c>
    </row>
    <row r="15" spans="1:3" x14ac:dyDescent="0.25">
      <c r="A15">
        <f t="shared" si="2"/>
        <v>4</v>
      </c>
      <c r="B15">
        <f t="shared" si="0"/>
        <v>0.18968545486586663</v>
      </c>
      <c r="C15">
        <f t="shared" si="1"/>
        <v>0.18029700023749379</v>
      </c>
    </row>
    <row r="16" spans="1:3" x14ac:dyDescent="0.25">
      <c r="A16">
        <f t="shared" si="2"/>
        <v>5</v>
      </c>
      <c r="B16">
        <f t="shared" si="0"/>
        <v>0.20233115185692441</v>
      </c>
      <c r="C16">
        <f t="shared" si="1"/>
        <v>0.20601290774570111</v>
      </c>
    </row>
    <row r="17" spans="1:3" x14ac:dyDescent="0.25">
      <c r="A17">
        <f t="shared" si="2"/>
        <v>6</v>
      </c>
      <c r="B17">
        <f t="shared" si="0"/>
        <v>0.1686092932141037</v>
      </c>
      <c r="C17">
        <f t="shared" si="1"/>
        <v>0.18029700023749379</v>
      </c>
    </row>
    <row r="18" spans="1:3" x14ac:dyDescent="0.25">
      <c r="A18">
        <f t="shared" si="2"/>
        <v>7</v>
      </c>
      <c r="B18">
        <f t="shared" si="0"/>
        <v>0.11240619547606913</v>
      </c>
      <c r="C18">
        <f t="shared" si="1"/>
        <v>0.12085669349928452</v>
      </c>
    </row>
    <row r="19" spans="1:3" x14ac:dyDescent="0.25">
      <c r="A19">
        <f t="shared" si="2"/>
        <v>8</v>
      </c>
      <c r="B19">
        <f t="shared" si="0"/>
        <v>6.0886689216204062E-2</v>
      </c>
      <c r="C19">
        <f t="shared" si="1"/>
        <v>6.2049895392207628E-2</v>
      </c>
    </row>
    <row r="20" spans="1:3" x14ac:dyDescent="0.25">
      <c r="A20">
        <f t="shared" si="2"/>
        <v>9</v>
      </c>
      <c r="B20">
        <f t="shared" si="0"/>
        <v>2.7060750762757369E-2</v>
      </c>
      <c r="C20">
        <f t="shared" si="1"/>
        <v>2.4400545593852858E-2</v>
      </c>
    </row>
    <row r="21" spans="1:3" x14ac:dyDescent="0.25">
      <c r="A21">
        <f t="shared" si="2"/>
        <v>10</v>
      </c>
      <c r="B21">
        <f t="shared" si="0"/>
        <v>9.9222752796777041E-3</v>
      </c>
      <c r="C21">
        <f t="shared" si="1"/>
        <v>7.3493031003682655E-3</v>
      </c>
    </row>
    <row r="22" spans="1:3" x14ac:dyDescent="0.25">
      <c r="A22">
        <f t="shared" si="2"/>
        <v>11</v>
      </c>
      <c r="B22">
        <f t="shared" si="0"/>
        <v>3.0067500847508173E-3</v>
      </c>
      <c r="C22">
        <f t="shared" si="1"/>
        <v>1.6954341195802181E-3</v>
      </c>
    </row>
    <row r="23" spans="1:3" x14ac:dyDescent="0.25">
      <c r="A23">
        <f t="shared" si="2"/>
        <v>12</v>
      </c>
      <c r="B23">
        <f t="shared" si="0"/>
        <v>7.5168752118770586E-4</v>
      </c>
      <c r="C23">
        <f t="shared" si="1"/>
        <v>2.9957379207605066E-4</v>
      </c>
    </row>
    <row r="24" spans="1:3" x14ac:dyDescent="0.25">
      <c r="A24">
        <f t="shared" si="2"/>
        <v>13</v>
      </c>
      <c r="B24">
        <f t="shared" si="0"/>
        <v>1.541923120385034E-4</v>
      </c>
      <c r="C24">
        <f t="shared" si="1"/>
        <v>4.0542904000878473E-5</v>
      </c>
    </row>
    <row r="25" spans="1:3" x14ac:dyDescent="0.25">
      <c r="A25">
        <f t="shared" si="2"/>
        <v>14</v>
      </c>
      <c r="B25">
        <f t="shared" si="0"/>
        <v>2.5698718673083962E-5</v>
      </c>
      <c r="C25">
        <f t="shared" si="1"/>
        <v>4.2025610143038761E-6</v>
      </c>
    </row>
    <row r="26" spans="1:3" x14ac:dyDescent="0.25">
      <c r="A26">
        <f t="shared" si="2"/>
        <v>15</v>
      </c>
      <c r="B26">
        <f t="shared" si="0"/>
        <v>3.42649582307786E-6</v>
      </c>
      <c r="C26">
        <f t="shared" si="1"/>
        <v>3.3365784455993171E-7</v>
      </c>
    </row>
    <row r="27" spans="1:3" x14ac:dyDescent="0.25">
      <c r="A27">
        <f t="shared" si="2"/>
        <v>16</v>
      </c>
      <c r="B27">
        <f t="shared" si="0"/>
        <v>3.5692664823727645E-7</v>
      </c>
      <c r="C27">
        <f t="shared" si="1"/>
        <v>2.0289754423084675E-8</v>
      </c>
    </row>
    <row r="28" spans="1:3" x14ac:dyDescent="0.25">
      <c r="A28">
        <f t="shared" si="2"/>
        <v>17</v>
      </c>
      <c r="B28">
        <f t="shared" si="0"/>
        <v>2.7994246920570738E-8</v>
      </c>
      <c r="C28">
        <f t="shared" si="1"/>
        <v>9.4501864998485711E-10</v>
      </c>
    </row>
    <row r="29" spans="1:3" x14ac:dyDescent="0.25">
      <c r="A29">
        <f t="shared" si="2"/>
        <v>18</v>
      </c>
      <c r="B29">
        <f t="shared" si="0"/>
        <v>1.5552359400317114E-9</v>
      </c>
      <c r="C29">
        <f t="shared" si="1"/>
        <v>3.3712589032589398E-11</v>
      </c>
    </row>
    <row r="30" spans="1:3" x14ac:dyDescent="0.25">
      <c r="A30">
        <f t="shared" si="2"/>
        <v>19</v>
      </c>
      <c r="B30">
        <f t="shared" si="0"/>
        <v>5.4569682106375856E-11</v>
      </c>
      <c r="C30">
        <f t="shared" si="1"/>
        <v>9.2115342570611369E-13</v>
      </c>
    </row>
    <row r="31" spans="1:3" x14ac:dyDescent="0.25">
      <c r="A31">
        <f t="shared" si="2"/>
        <v>20</v>
      </c>
      <c r="B31">
        <f t="shared" si="0"/>
        <v>9.0949470177292824E-13</v>
      </c>
      <c r="C31">
        <f t="shared" si="1"/>
        <v>1.9277911173987313E-14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9"/>
  <dimension ref="A1:I17"/>
  <sheetViews>
    <sheetView workbookViewId="0">
      <selection activeCell="E21" sqref="E21"/>
    </sheetView>
  </sheetViews>
  <sheetFormatPr defaultRowHeight="15" x14ac:dyDescent="0.25"/>
  <sheetData>
    <row r="1" spans="1:9" x14ac:dyDescent="0.25">
      <c r="A1" s="117" t="s">
        <v>126</v>
      </c>
      <c r="B1" s="118"/>
      <c r="C1" s="118"/>
      <c r="D1" s="118"/>
      <c r="E1" s="118"/>
      <c r="F1" s="132"/>
      <c r="G1" s="198" t="s">
        <v>119</v>
      </c>
      <c r="H1" s="198"/>
      <c r="I1" s="198"/>
    </row>
    <row r="2" spans="1:9" x14ac:dyDescent="0.25">
      <c r="A2" s="118"/>
      <c r="B2" s="118"/>
      <c r="C2" s="118"/>
      <c r="D2" s="118"/>
      <c r="E2" s="118"/>
      <c r="F2" s="119" t="s">
        <v>17</v>
      </c>
      <c r="G2" s="118">
        <v>2</v>
      </c>
      <c r="H2" s="118">
        <v>3</v>
      </c>
      <c r="I2" s="118">
        <v>4</v>
      </c>
    </row>
    <row r="3" spans="1:9" x14ac:dyDescent="0.25">
      <c r="A3" s="118" t="s">
        <v>106</v>
      </c>
      <c r="B3" s="123">
        <v>5.0000000000000001E-4</v>
      </c>
      <c r="C3" s="118"/>
      <c r="D3" s="118"/>
      <c r="E3" s="118"/>
      <c r="F3" s="118">
        <v>0</v>
      </c>
      <c r="G3" s="120">
        <f t="shared" ref="G3:I6" si="0">POISSON($F3,G$2,FALSE)</f>
        <v>0.1353352832366127</v>
      </c>
      <c r="H3" s="121">
        <f t="shared" si="0"/>
        <v>4.9787068367863944E-2</v>
      </c>
      <c r="I3" s="122">
        <f t="shared" si="0"/>
        <v>1.8315638888734179E-2</v>
      </c>
    </row>
    <row r="4" spans="1:9" x14ac:dyDescent="0.25">
      <c r="A4" s="118" t="s">
        <v>84</v>
      </c>
      <c r="B4" s="127">
        <v>4000</v>
      </c>
      <c r="C4" s="118"/>
      <c r="D4" s="118"/>
      <c r="E4" s="118"/>
      <c r="F4" s="118">
        <f>F3+1</f>
        <v>1</v>
      </c>
      <c r="G4" s="124">
        <f t="shared" si="0"/>
        <v>0.27067056647322535</v>
      </c>
      <c r="H4" s="125">
        <f t="shared" si="0"/>
        <v>0.14936120510359185</v>
      </c>
      <c r="I4" s="126">
        <f t="shared" si="0"/>
        <v>7.3262555554936715E-2</v>
      </c>
    </row>
    <row r="5" spans="1:9" x14ac:dyDescent="0.25">
      <c r="A5" s="118" t="s">
        <v>17</v>
      </c>
      <c r="B5" s="128">
        <v>3</v>
      </c>
      <c r="C5" s="118"/>
      <c r="D5" s="118"/>
      <c r="E5" s="118"/>
      <c r="F5" s="118">
        <f>F4+1</f>
        <v>2</v>
      </c>
      <c r="G5" s="124">
        <f t="shared" si="0"/>
        <v>0.27067056647322546</v>
      </c>
      <c r="H5" s="125">
        <f t="shared" si="0"/>
        <v>0.22404180765538775</v>
      </c>
      <c r="I5" s="126">
        <f t="shared" si="0"/>
        <v>0.14652511110987346</v>
      </c>
    </row>
    <row r="6" spans="1:9" x14ac:dyDescent="0.25">
      <c r="A6" s="118"/>
      <c r="B6" s="118"/>
      <c r="C6" s="118"/>
      <c r="D6" s="118"/>
      <c r="E6" s="118"/>
      <c r="F6" s="118">
        <f t="shared" ref="F6:F15" si="1">F5+1</f>
        <v>3</v>
      </c>
      <c r="G6" s="124">
        <f t="shared" si="0"/>
        <v>0.18044704431548364</v>
      </c>
      <c r="H6" s="125">
        <f t="shared" si="0"/>
        <v>0.22404180765538778</v>
      </c>
      <c r="I6" s="126">
        <f t="shared" si="0"/>
        <v>0.19536681481316462</v>
      </c>
    </row>
    <row r="7" spans="1:9" x14ac:dyDescent="0.25">
      <c r="A7" s="118"/>
      <c r="B7" s="118"/>
      <c r="C7" s="118"/>
      <c r="D7" s="118"/>
      <c r="E7" s="118"/>
      <c r="F7" s="118">
        <f>F6+1</f>
        <v>4</v>
      </c>
      <c r="G7" s="124">
        <f t="shared" ref="G7:I15" si="2">POISSON($F7,G$2,FALSE)</f>
        <v>9.022352215774182E-2</v>
      </c>
      <c r="H7" s="125">
        <f t="shared" si="2"/>
        <v>0.16803135574154085</v>
      </c>
      <c r="I7" s="126">
        <f t="shared" si="2"/>
        <v>0.19536681481316462</v>
      </c>
    </row>
    <row r="8" spans="1:9" x14ac:dyDescent="0.25">
      <c r="A8" s="118"/>
      <c r="B8" s="118"/>
      <c r="C8" s="118"/>
      <c r="D8" s="118"/>
      <c r="E8" s="118"/>
      <c r="F8" s="118">
        <f t="shared" si="1"/>
        <v>5</v>
      </c>
      <c r="G8" s="124">
        <f t="shared" si="2"/>
        <v>3.6089408863096716E-2</v>
      </c>
      <c r="H8" s="125">
        <f t="shared" si="2"/>
        <v>0.10081881344492449</v>
      </c>
      <c r="I8" s="126">
        <f t="shared" si="2"/>
        <v>0.1562934518505317</v>
      </c>
    </row>
    <row r="9" spans="1:9" x14ac:dyDescent="0.25">
      <c r="A9" s="118"/>
      <c r="B9" s="123"/>
      <c r="C9" s="118"/>
      <c r="D9" s="118"/>
      <c r="E9" s="118"/>
      <c r="F9" s="118">
        <f t="shared" si="1"/>
        <v>6</v>
      </c>
      <c r="G9" s="124">
        <f t="shared" si="2"/>
        <v>1.2029802954365572E-2</v>
      </c>
      <c r="H9" s="125">
        <f t="shared" si="2"/>
        <v>5.0409406722462261E-2</v>
      </c>
      <c r="I9" s="126">
        <f t="shared" si="2"/>
        <v>0.10419563456702115</v>
      </c>
    </row>
    <row r="10" spans="1:9" x14ac:dyDescent="0.25">
      <c r="A10" s="118"/>
      <c r="B10" s="128"/>
      <c r="C10" s="118"/>
      <c r="D10" s="118"/>
      <c r="E10" s="118"/>
      <c r="F10" s="118">
        <f t="shared" si="1"/>
        <v>7</v>
      </c>
      <c r="G10" s="124">
        <f t="shared" si="2"/>
        <v>3.4370865583901629E-3</v>
      </c>
      <c r="H10" s="125">
        <f t="shared" si="2"/>
        <v>2.1604031452483807E-2</v>
      </c>
      <c r="I10" s="126">
        <f t="shared" si="2"/>
        <v>5.9540362609726373E-2</v>
      </c>
    </row>
    <row r="11" spans="1:9" x14ac:dyDescent="0.25">
      <c r="A11" s="118"/>
      <c r="B11" s="118"/>
      <c r="C11" s="118"/>
      <c r="D11" s="118"/>
      <c r="E11" s="118"/>
      <c r="F11" s="118">
        <f t="shared" si="1"/>
        <v>8</v>
      </c>
      <c r="G11" s="124">
        <f t="shared" si="2"/>
        <v>8.5927163959754148E-4</v>
      </c>
      <c r="H11" s="125">
        <f t="shared" si="2"/>
        <v>8.1015117946814375E-3</v>
      </c>
      <c r="I11" s="126">
        <f t="shared" si="2"/>
        <v>2.9770181304863183E-2</v>
      </c>
    </row>
    <row r="12" spans="1:9" x14ac:dyDescent="0.25">
      <c r="A12" s="118"/>
      <c r="B12" s="118"/>
      <c r="C12" s="118"/>
      <c r="D12" s="118"/>
      <c r="E12" s="118"/>
      <c r="F12" s="118">
        <f t="shared" si="1"/>
        <v>9</v>
      </c>
      <c r="G12" s="124">
        <f t="shared" si="2"/>
        <v>1.9094925324389769E-4</v>
      </c>
      <c r="H12" s="125">
        <f t="shared" si="2"/>
        <v>2.7005039315604771E-3</v>
      </c>
      <c r="I12" s="126">
        <f t="shared" si="2"/>
        <v>1.3231191691050297E-2</v>
      </c>
    </row>
    <row r="13" spans="1:9" x14ac:dyDescent="0.25">
      <c r="A13" s="118"/>
      <c r="B13" s="118"/>
      <c r="C13" s="118"/>
      <c r="D13" s="118"/>
      <c r="E13" s="118"/>
      <c r="F13" s="118">
        <f t="shared" si="1"/>
        <v>10</v>
      </c>
      <c r="G13" s="124">
        <f t="shared" si="2"/>
        <v>3.8189850648779602E-5</v>
      </c>
      <c r="H13" s="125">
        <f t="shared" si="2"/>
        <v>8.1015117946814244E-4</v>
      </c>
      <c r="I13" s="126">
        <f t="shared" si="2"/>
        <v>5.2924766764201169E-3</v>
      </c>
    </row>
    <row r="14" spans="1:9" x14ac:dyDescent="0.25">
      <c r="A14" s="118"/>
      <c r="B14" s="123"/>
      <c r="C14" s="118"/>
      <c r="D14" s="118"/>
      <c r="E14" s="118"/>
      <c r="F14" s="118">
        <f t="shared" si="1"/>
        <v>11</v>
      </c>
      <c r="G14" s="124">
        <f t="shared" si="2"/>
        <v>6.9436092088690095E-6</v>
      </c>
      <c r="H14" s="125">
        <f t="shared" si="2"/>
        <v>2.2095032167312987E-4</v>
      </c>
      <c r="I14" s="126">
        <f t="shared" si="2"/>
        <v>1.9245369732436813E-3</v>
      </c>
    </row>
    <row r="15" spans="1:9" x14ac:dyDescent="0.25">
      <c r="A15" s="118"/>
      <c r="B15" s="127"/>
      <c r="C15" s="118"/>
      <c r="D15" s="118"/>
      <c r="E15" s="118"/>
      <c r="F15" s="118">
        <f t="shared" si="1"/>
        <v>12</v>
      </c>
      <c r="G15" s="129">
        <f t="shared" si="2"/>
        <v>1.1572682014781686E-6</v>
      </c>
      <c r="H15" s="130">
        <f t="shared" si="2"/>
        <v>5.5237580418282596E-5</v>
      </c>
      <c r="I15" s="131">
        <f t="shared" si="2"/>
        <v>6.4151232441456022E-4</v>
      </c>
    </row>
    <row r="16" spans="1:9" x14ac:dyDescent="0.25">
      <c r="A16" s="118"/>
      <c r="B16" s="128"/>
      <c r="C16" s="118"/>
      <c r="D16" s="118"/>
      <c r="E16" s="118"/>
      <c r="F16" s="118"/>
      <c r="G16" s="118"/>
      <c r="H16" s="118"/>
      <c r="I16" s="118"/>
    </row>
    <row r="17" spans="6:9" x14ac:dyDescent="0.25">
      <c r="F17" s="118"/>
      <c r="G17" s="118"/>
      <c r="H17" s="118"/>
      <c r="I17" s="118"/>
    </row>
  </sheetData>
  <mergeCells count="1">
    <mergeCell ref="G1:I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9"/>
  <dimension ref="A1:H46"/>
  <sheetViews>
    <sheetView topLeftCell="A40" workbookViewId="0">
      <selection activeCell="D8" sqref="D8"/>
    </sheetView>
  </sheetViews>
  <sheetFormatPr defaultRowHeight="15" x14ac:dyDescent="0.25"/>
  <cols>
    <col min="4" max="4" width="10.7109375" customWidth="1"/>
    <col min="8" max="8" width="12" bestFit="1" customWidth="1"/>
    <col min="10" max="10" width="12" bestFit="1" customWidth="1"/>
  </cols>
  <sheetData>
    <row r="1" spans="1:8" x14ac:dyDescent="0.25">
      <c r="A1" s="142" t="s">
        <v>236</v>
      </c>
      <c r="B1" s="143"/>
      <c r="C1" s="144"/>
      <c r="D1" s="143"/>
      <c r="E1" s="144"/>
      <c r="F1" s="144"/>
      <c r="G1" s="144"/>
      <c r="H1" s="137"/>
    </row>
    <row r="2" spans="1:8" x14ac:dyDescent="0.25">
      <c r="A2" s="137"/>
      <c r="B2" s="137"/>
      <c r="C2" s="137"/>
      <c r="D2" s="137"/>
      <c r="E2" s="137"/>
      <c r="F2" s="137"/>
      <c r="G2" s="137"/>
      <c r="H2" s="137"/>
    </row>
    <row r="3" spans="1:8" x14ac:dyDescent="0.25">
      <c r="A3" s="199" t="s">
        <v>103</v>
      </c>
      <c r="B3" s="200"/>
      <c r="C3" s="200"/>
      <c r="D3" s="200"/>
      <c r="E3" s="201"/>
      <c r="F3" s="143"/>
      <c r="G3" s="143"/>
      <c r="H3" s="137"/>
    </row>
    <row r="4" spans="1:8" x14ac:dyDescent="0.25">
      <c r="A4" s="145" t="s">
        <v>237</v>
      </c>
      <c r="B4" s="146"/>
      <c r="C4" s="147"/>
      <c r="D4" s="148"/>
      <c r="E4" s="149">
        <v>0.1</v>
      </c>
      <c r="F4" s="143"/>
      <c r="G4" s="143"/>
      <c r="H4" s="137"/>
    </row>
    <row r="5" spans="1:8" x14ac:dyDescent="0.25">
      <c r="A5" s="150"/>
      <c r="B5" s="151"/>
      <c r="C5" s="143"/>
      <c r="D5" s="152"/>
      <c r="E5" s="152"/>
      <c r="F5" s="143"/>
      <c r="G5" s="143"/>
      <c r="H5" s="137"/>
    </row>
    <row r="6" spans="1:8" x14ac:dyDescent="0.25">
      <c r="A6" s="150" t="s">
        <v>238</v>
      </c>
      <c r="B6" s="153"/>
      <c r="C6" s="143"/>
      <c r="D6" s="151"/>
      <c r="E6" s="143"/>
      <c r="F6" s="143"/>
      <c r="G6" s="143"/>
      <c r="H6" s="137"/>
    </row>
    <row r="7" spans="1:8" x14ac:dyDescent="0.25">
      <c r="A7" s="143"/>
      <c r="B7" s="154" t="s">
        <v>239</v>
      </c>
      <c r="C7" s="154" t="s">
        <v>240</v>
      </c>
      <c r="D7" s="154" t="s">
        <v>241</v>
      </c>
      <c r="E7" s="154" t="s">
        <v>242</v>
      </c>
      <c r="F7" s="154" t="s">
        <v>243</v>
      </c>
      <c r="G7" s="154" t="s">
        <v>244</v>
      </c>
      <c r="H7" s="137"/>
    </row>
    <row r="8" spans="1:8" x14ac:dyDescent="0.25">
      <c r="A8" s="143"/>
      <c r="B8" s="155">
        <v>0</v>
      </c>
      <c r="C8" s="156">
        <f t="shared" ref="C8:C15" si="0">POISSON(B8,$E$4,FALSE)</f>
        <v>0.90483741803595952</v>
      </c>
      <c r="D8" s="157">
        <f t="shared" ref="D8:D15" si="1">POISSON(B8,$E$4,TRUE)</f>
        <v>0.90483741803595952</v>
      </c>
      <c r="E8" s="157">
        <f t="shared" ref="E8:E15" si="2">D8-C8</f>
        <v>0</v>
      </c>
      <c r="F8" s="157">
        <f t="shared" ref="F8:G15" si="3">1-D8</f>
        <v>9.5162581964040482E-2</v>
      </c>
      <c r="G8" s="157">
        <f t="shared" si="3"/>
        <v>1</v>
      </c>
      <c r="H8" s="137"/>
    </row>
    <row r="9" spans="1:8" x14ac:dyDescent="0.25">
      <c r="A9" s="143"/>
      <c r="B9" s="155">
        <v>1</v>
      </c>
      <c r="C9" s="156">
        <f t="shared" si="0"/>
        <v>9.0483741803595974E-2</v>
      </c>
      <c r="D9" s="157">
        <f t="shared" si="1"/>
        <v>0.99532115983955549</v>
      </c>
      <c r="E9" s="157">
        <f t="shared" si="2"/>
        <v>0.90483741803595952</v>
      </c>
      <c r="F9" s="157">
        <f t="shared" si="3"/>
        <v>4.6788401604445085E-3</v>
      </c>
      <c r="G9" s="157">
        <f t="shared" si="3"/>
        <v>9.5162581964040482E-2</v>
      </c>
      <c r="H9" s="137"/>
    </row>
    <row r="10" spans="1:8" x14ac:dyDescent="0.25">
      <c r="A10" s="143"/>
      <c r="B10" s="155">
        <v>2</v>
      </c>
      <c r="C10" s="156">
        <f t="shared" si="0"/>
        <v>4.5241870901797992E-3</v>
      </c>
      <c r="D10" s="157">
        <f t="shared" si="1"/>
        <v>0.99984534692973526</v>
      </c>
      <c r="E10" s="157">
        <f t="shared" si="2"/>
        <v>0.99532115983955549</v>
      </c>
      <c r="F10" s="157">
        <f t="shared" si="3"/>
        <v>1.5465307026474306E-4</v>
      </c>
      <c r="G10" s="157">
        <f t="shared" si="3"/>
        <v>4.6788401604445085E-3</v>
      </c>
      <c r="H10" s="137"/>
    </row>
    <row r="11" spans="1:8" x14ac:dyDescent="0.25">
      <c r="A11" s="143"/>
      <c r="B11" s="155">
        <v>3</v>
      </c>
      <c r="C11" s="156">
        <f t="shared" si="0"/>
        <v>1.5080623633932666E-4</v>
      </c>
      <c r="D11" s="157">
        <f t="shared" si="1"/>
        <v>0.9999961531660746</v>
      </c>
      <c r="E11" s="157">
        <f t="shared" si="2"/>
        <v>0.99984534692973526</v>
      </c>
      <c r="F11" s="157">
        <f t="shared" si="3"/>
        <v>3.8468339254027484E-6</v>
      </c>
      <c r="G11" s="157">
        <f t="shared" si="3"/>
        <v>1.5465307026474306E-4</v>
      </c>
      <c r="H11" s="137"/>
    </row>
    <row r="12" spans="1:8" x14ac:dyDescent="0.25">
      <c r="A12" s="143"/>
      <c r="B12" s="155">
        <v>4</v>
      </c>
      <c r="C12" s="156">
        <f t="shared" si="0"/>
        <v>3.770155908483168E-6</v>
      </c>
      <c r="D12" s="157">
        <f t="shared" si="1"/>
        <v>0.99999992332198318</v>
      </c>
      <c r="E12" s="157">
        <f t="shared" si="2"/>
        <v>0.99999615316607471</v>
      </c>
      <c r="F12" s="157">
        <f t="shared" si="3"/>
        <v>7.667801682487152E-8</v>
      </c>
      <c r="G12" s="157">
        <f t="shared" si="3"/>
        <v>3.8468339252917261E-6</v>
      </c>
      <c r="H12" s="137"/>
    </row>
    <row r="13" spans="1:8" x14ac:dyDescent="0.25">
      <c r="A13" s="143"/>
      <c r="B13" s="155">
        <v>5</v>
      </c>
      <c r="C13" s="156">
        <f t="shared" si="0"/>
        <v>7.5403118169663434E-8</v>
      </c>
      <c r="D13" s="157">
        <f t="shared" si="1"/>
        <v>0.99999999872510137</v>
      </c>
      <c r="E13" s="157">
        <f t="shared" si="2"/>
        <v>0.99999992332198318</v>
      </c>
      <c r="F13" s="157">
        <f t="shared" si="3"/>
        <v>1.2748986311095223E-9</v>
      </c>
      <c r="G13" s="157">
        <f t="shared" si="3"/>
        <v>7.667801682487152E-8</v>
      </c>
      <c r="H13" s="137"/>
    </row>
    <row r="14" spans="1:8" x14ac:dyDescent="0.25">
      <c r="A14" s="143"/>
      <c r="B14" s="155">
        <v>6</v>
      </c>
      <c r="C14" s="156">
        <f t="shared" si="0"/>
        <v>1.2567186361610553E-9</v>
      </c>
      <c r="D14" s="157">
        <f t="shared" si="1"/>
        <v>0.99999999998181988</v>
      </c>
      <c r="E14" s="157">
        <f t="shared" si="2"/>
        <v>0.99999999872510126</v>
      </c>
      <c r="F14" s="157">
        <f t="shared" si="3"/>
        <v>1.8180124072841863E-11</v>
      </c>
      <c r="G14" s="157">
        <f t="shared" si="3"/>
        <v>1.2748987421318247E-9</v>
      </c>
      <c r="H14" s="137"/>
    </row>
    <row r="15" spans="1:8" x14ac:dyDescent="0.25">
      <c r="A15" s="143"/>
      <c r="B15" s="155">
        <v>7</v>
      </c>
      <c r="C15" s="156">
        <f t="shared" si="0"/>
        <v>1.7953123373729432E-11</v>
      </c>
      <c r="D15" s="157">
        <f t="shared" si="1"/>
        <v>0.99999999999977307</v>
      </c>
      <c r="E15" s="157">
        <f t="shared" si="2"/>
        <v>0.99999999998181999</v>
      </c>
      <c r="F15" s="157">
        <f t="shared" si="3"/>
        <v>2.26929586233382E-13</v>
      </c>
      <c r="G15" s="157">
        <f t="shared" si="3"/>
        <v>1.8180013050539401E-11</v>
      </c>
      <c r="H15" s="137"/>
    </row>
    <row r="16" spans="1:8" x14ac:dyDescent="0.25">
      <c r="A16" s="137"/>
      <c r="B16" s="137"/>
      <c r="C16" s="137"/>
      <c r="D16" s="137"/>
      <c r="E16" s="137"/>
      <c r="F16" s="137"/>
      <c r="G16" s="137"/>
      <c r="H16" s="137"/>
    </row>
    <row r="17" spans="1:8" x14ac:dyDescent="0.25">
      <c r="A17" s="137"/>
      <c r="B17" s="137"/>
      <c r="C17" s="137"/>
      <c r="D17" s="137"/>
      <c r="E17" s="137"/>
      <c r="F17" s="137"/>
      <c r="G17" s="137"/>
      <c r="H17" s="137"/>
    </row>
    <row r="18" spans="1:8" x14ac:dyDescent="0.25">
      <c r="A18" s="137"/>
      <c r="B18" s="137"/>
      <c r="C18" s="137"/>
      <c r="D18" s="137"/>
      <c r="E18" s="137"/>
      <c r="F18" s="137"/>
      <c r="G18" s="137"/>
      <c r="H18" s="137"/>
    </row>
    <row r="19" spans="1:8" x14ac:dyDescent="0.25">
      <c r="A19" s="142" t="s">
        <v>236</v>
      </c>
      <c r="B19" s="143"/>
      <c r="C19" s="144"/>
      <c r="D19" s="143"/>
      <c r="E19" s="144"/>
      <c r="F19" s="144"/>
      <c r="G19" s="144"/>
      <c r="H19" s="137"/>
    </row>
    <row r="20" spans="1:8" x14ac:dyDescent="0.25">
      <c r="A20" s="137"/>
      <c r="B20" s="137"/>
      <c r="C20" s="137"/>
      <c r="D20" s="137"/>
      <c r="E20" s="137"/>
      <c r="F20" s="137"/>
      <c r="G20" s="137"/>
      <c r="H20" s="137"/>
    </row>
    <row r="21" spans="1:8" x14ac:dyDescent="0.25">
      <c r="A21" s="199" t="s">
        <v>103</v>
      </c>
      <c r="B21" s="200"/>
      <c r="C21" s="200"/>
      <c r="D21" s="200"/>
      <c r="E21" s="201"/>
      <c r="F21" s="143"/>
      <c r="G21" s="143"/>
      <c r="H21" s="137"/>
    </row>
    <row r="22" spans="1:8" x14ac:dyDescent="0.25">
      <c r="A22" s="145" t="s">
        <v>237</v>
      </c>
      <c r="B22" s="146"/>
      <c r="C22" s="147"/>
      <c r="D22" s="148"/>
      <c r="E22" s="149">
        <v>0.5</v>
      </c>
      <c r="F22" s="143"/>
      <c r="G22" s="143"/>
      <c r="H22" s="137"/>
    </row>
    <row r="23" spans="1:8" x14ac:dyDescent="0.25">
      <c r="A23" s="150"/>
      <c r="B23" s="151"/>
      <c r="C23" s="143"/>
      <c r="D23" s="152"/>
      <c r="E23" s="152"/>
      <c r="F23" s="143"/>
      <c r="G23" s="143"/>
      <c r="H23" s="137"/>
    </row>
    <row r="24" spans="1:8" x14ac:dyDescent="0.25">
      <c r="A24" s="150" t="s">
        <v>238</v>
      </c>
      <c r="B24" s="153"/>
      <c r="C24" s="143"/>
      <c r="D24" s="151"/>
      <c r="E24" s="143"/>
      <c r="F24" s="143"/>
      <c r="G24" s="143"/>
      <c r="H24" s="137"/>
    </row>
    <row r="25" spans="1:8" x14ac:dyDescent="0.25">
      <c r="A25" s="143"/>
      <c r="B25" s="154" t="s">
        <v>239</v>
      </c>
      <c r="C25" s="154" t="s">
        <v>240</v>
      </c>
      <c r="D25" s="154" t="s">
        <v>241</v>
      </c>
      <c r="E25" s="154" t="s">
        <v>242</v>
      </c>
      <c r="F25" s="154" t="s">
        <v>243</v>
      </c>
      <c r="G25" s="154" t="s">
        <v>244</v>
      </c>
      <c r="H25" s="137"/>
    </row>
    <row r="26" spans="1:8" x14ac:dyDescent="0.25">
      <c r="A26" s="143"/>
      <c r="B26" s="155">
        <v>0</v>
      </c>
      <c r="C26" s="157">
        <f t="shared" ref="C26:C46" si="4">POISSON(B26,$E$4,FALSE)</f>
        <v>0.90483741803595952</v>
      </c>
      <c r="D26" s="157">
        <f t="shared" ref="D26:D46" si="5">POISSON(B26,$E$4,TRUE)</f>
        <v>0.90483741803595952</v>
      </c>
      <c r="E26" s="157">
        <f t="shared" ref="E26:E46" si="6">D26-C26</f>
        <v>0</v>
      </c>
      <c r="F26" s="157">
        <f t="shared" ref="F26:F46" si="7">1-D26</f>
        <v>9.5162581964040482E-2</v>
      </c>
      <c r="G26" s="157">
        <f t="shared" ref="G26:G46" si="8">1-E26</f>
        <v>1</v>
      </c>
      <c r="H26" s="137"/>
    </row>
    <row r="27" spans="1:8" x14ac:dyDescent="0.25">
      <c r="A27" s="143"/>
      <c r="B27" s="155">
        <v>1</v>
      </c>
      <c r="C27" s="157">
        <f t="shared" si="4"/>
        <v>9.0483741803595974E-2</v>
      </c>
      <c r="D27" s="157">
        <f t="shared" si="5"/>
        <v>0.99532115983955549</v>
      </c>
      <c r="E27" s="157">
        <f t="shared" si="6"/>
        <v>0.90483741803595952</v>
      </c>
      <c r="F27" s="157">
        <f t="shared" si="7"/>
        <v>4.6788401604445085E-3</v>
      </c>
      <c r="G27" s="157">
        <f t="shared" si="8"/>
        <v>9.5162581964040482E-2</v>
      </c>
      <c r="H27" s="137"/>
    </row>
    <row r="28" spans="1:8" x14ac:dyDescent="0.25">
      <c r="A28" s="143"/>
      <c r="B28" s="155">
        <v>2</v>
      </c>
      <c r="C28" s="157">
        <f t="shared" si="4"/>
        <v>4.5241870901797992E-3</v>
      </c>
      <c r="D28" s="157">
        <f t="shared" si="5"/>
        <v>0.99984534692973526</v>
      </c>
      <c r="E28" s="157">
        <f t="shared" si="6"/>
        <v>0.99532115983955549</v>
      </c>
      <c r="F28" s="157">
        <f t="shared" si="7"/>
        <v>1.5465307026474306E-4</v>
      </c>
      <c r="G28" s="157">
        <f t="shared" si="8"/>
        <v>4.6788401604445085E-3</v>
      </c>
      <c r="H28" s="137"/>
    </row>
    <row r="29" spans="1:8" x14ac:dyDescent="0.25">
      <c r="A29" s="143"/>
      <c r="B29" s="155">
        <v>3</v>
      </c>
      <c r="C29" s="157">
        <f t="shared" si="4"/>
        <v>1.5080623633932666E-4</v>
      </c>
      <c r="D29" s="157">
        <f t="shared" si="5"/>
        <v>0.9999961531660746</v>
      </c>
      <c r="E29" s="157">
        <f t="shared" si="6"/>
        <v>0.99984534692973526</v>
      </c>
      <c r="F29" s="157">
        <f t="shared" si="7"/>
        <v>3.8468339254027484E-6</v>
      </c>
      <c r="G29" s="157">
        <f t="shared" si="8"/>
        <v>1.5465307026474306E-4</v>
      </c>
      <c r="H29" s="137"/>
    </row>
    <row r="30" spans="1:8" x14ac:dyDescent="0.25">
      <c r="A30" s="143"/>
      <c r="B30" s="155">
        <v>4</v>
      </c>
      <c r="C30" s="157">
        <f t="shared" si="4"/>
        <v>3.770155908483168E-6</v>
      </c>
      <c r="D30" s="157">
        <f t="shared" si="5"/>
        <v>0.99999992332198318</v>
      </c>
      <c r="E30" s="157">
        <f t="shared" si="6"/>
        <v>0.99999615316607471</v>
      </c>
      <c r="F30" s="157">
        <f t="shared" si="7"/>
        <v>7.667801682487152E-8</v>
      </c>
      <c r="G30" s="157">
        <f t="shared" si="8"/>
        <v>3.8468339252917261E-6</v>
      </c>
      <c r="H30" s="137"/>
    </row>
    <row r="31" spans="1:8" x14ac:dyDescent="0.25">
      <c r="A31" s="143"/>
      <c r="B31" s="155">
        <v>5</v>
      </c>
      <c r="C31" s="157">
        <f t="shared" si="4"/>
        <v>7.5403118169663434E-8</v>
      </c>
      <c r="D31" s="157">
        <f t="shared" si="5"/>
        <v>0.99999999872510137</v>
      </c>
      <c r="E31" s="157">
        <f t="shared" si="6"/>
        <v>0.99999992332198318</v>
      </c>
      <c r="F31" s="157">
        <f t="shared" si="7"/>
        <v>1.2748986311095223E-9</v>
      </c>
      <c r="G31" s="157">
        <f t="shared" si="8"/>
        <v>7.667801682487152E-8</v>
      </c>
      <c r="H31" s="137"/>
    </row>
    <row r="32" spans="1:8" x14ac:dyDescent="0.25">
      <c r="A32" s="143"/>
      <c r="B32" s="155">
        <v>6</v>
      </c>
      <c r="C32" s="157">
        <f t="shared" si="4"/>
        <v>1.2567186361610553E-9</v>
      </c>
      <c r="D32" s="157">
        <f t="shared" si="5"/>
        <v>0.99999999998181988</v>
      </c>
      <c r="E32" s="157">
        <f t="shared" si="6"/>
        <v>0.99999999872510126</v>
      </c>
      <c r="F32" s="157">
        <f t="shared" si="7"/>
        <v>1.8180124072841863E-11</v>
      </c>
      <c r="G32" s="157">
        <f t="shared" si="8"/>
        <v>1.2748987421318247E-9</v>
      </c>
      <c r="H32" s="137"/>
    </row>
    <row r="33" spans="1:8" x14ac:dyDescent="0.25">
      <c r="A33" s="143"/>
      <c r="B33" s="155">
        <v>7</v>
      </c>
      <c r="C33" s="157">
        <f t="shared" si="4"/>
        <v>1.7953123373729432E-11</v>
      </c>
      <c r="D33" s="157">
        <f t="shared" si="5"/>
        <v>0.99999999999977307</v>
      </c>
      <c r="E33" s="157">
        <f t="shared" si="6"/>
        <v>0.99999999998181999</v>
      </c>
      <c r="F33" s="157">
        <f t="shared" si="7"/>
        <v>2.26929586233382E-13</v>
      </c>
      <c r="G33" s="157">
        <f t="shared" si="8"/>
        <v>1.8180013050539401E-11</v>
      </c>
      <c r="H33" s="137"/>
    </row>
    <row r="34" spans="1:8" x14ac:dyDescent="0.25">
      <c r="A34" s="143"/>
      <c r="B34" s="155">
        <v>8</v>
      </c>
      <c r="C34" s="157">
        <f t="shared" si="4"/>
        <v>2.2441404217161682E-13</v>
      </c>
      <c r="D34" s="157">
        <f t="shared" si="5"/>
        <v>0.99999999999999756</v>
      </c>
      <c r="E34" s="157">
        <f t="shared" si="6"/>
        <v>0.99999999999977318</v>
      </c>
      <c r="F34" s="157">
        <f t="shared" si="7"/>
        <v>2.4424906541753444E-15</v>
      </c>
      <c r="G34" s="157">
        <f t="shared" si="8"/>
        <v>2.2681856393091948E-13</v>
      </c>
      <c r="H34" s="137"/>
    </row>
    <row r="35" spans="1:8" x14ac:dyDescent="0.25">
      <c r="A35" s="137"/>
      <c r="B35" s="155">
        <v>9</v>
      </c>
      <c r="C35" s="157">
        <f t="shared" si="4"/>
        <v>2.4934893574624087E-15</v>
      </c>
      <c r="D35" s="157">
        <f t="shared" si="5"/>
        <v>1</v>
      </c>
      <c r="E35" s="157">
        <f t="shared" si="6"/>
        <v>0.99999999999999756</v>
      </c>
      <c r="F35" s="157">
        <f t="shared" si="7"/>
        <v>0</v>
      </c>
      <c r="G35" s="157">
        <f t="shared" si="8"/>
        <v>2.4424906541753444E-15</v>
      </c>
      <c r="H35" s="137"/>
    </row>
    <row r="36" spans="1:8" x14ac:dyDescent="0.25">
      <c r="A36" s="137"/>
      <c r="B36" s="155">
        <v>10</v>
      </c>
      <c r="C36" s="157">
        <f t="shared" si="4"/>
        <v>2.4934893574624125E-17</v>
      </c>
      <c r="D36" s="157">
        <f t="shared" si="5"/>
        <v>1</v>
      </c>
      <c r="E36" s="157">
        <f t="shared" si="6"/>
        <v>1</v>
      </c>
      <c r="F36" s="157">
        <f t="shared" si="7"/>
        <v>0</v>
      </c>
      <c r="G36" s="157">
        <f t="shared" si="8"/>
        <v>0</v>
      </c>
      <c r="H36" s="137"/>
    </row>
    <row r="37" spans="1:8" x14ac:dyDescent="0.25">
      <c r="A37" s="137"/>
      <c r="B37" s="155">
        <v>11</v>
      </c>
      <c r="C37" s="157">
        <f t="shared" si="4"/>
        <v>2.2668085067840045E-19</v>
      </c>
      <c r="D37" s="157">
        <f t="shared" si="5"/>
        <v>1</v>
      </c>
      <c r="E37" s="157">
        <f t="shared" si="6"/>
        <v>1</v>
      </c>
      <c r="F37" s="157">
        <f t="shared" si="7"/>
        <v>0</v>
      </c>
      <c r="G37" s="157">
        <f t="shared" si="8"/>
        <v>0</v>
      </c>
      <c r="H37" s="137"/>
    </row>
    <row r="38" spans="1:8" x14ac:dyDescent="0.25">
      <c r="A38" s="137"/>
      <c r="B38" s="155">
        <v>12</v>
      </c>
      <c r="C38" s="157">
        <f t="shared" si="4"/>
        <v>1.8890070889866793E-21</v>
      </c>
      <c r="D38" s="157">
        <f t="shared" si="5"/>
        <v>1</v>
      </c>
      <c r="E38" s="157">
        <f t="shared" si="6"/>
        <v>1</v>
      </c>
      <c r="F38" s="157">
        <f t="shared" si="7"/>
        <v>0</v>
      </c>
      <c r="G38" s="157">
        <f t="shared" si="8"/>
        <v>0</v>
      </c>
      <c r="H38" s="137"/>
    </row>
    <row r="39" spans="1:8" x14ac:dyDescent="0.25">
      <c r="A39" s="137"/>
      <c r="B39" s="155">
        <v>13</v>
      </c>
      <c r="C39" s="157">
        <f t="shared" si="4"/>
        <v>1.4530823761436035E-23</v>
      </c>
      <c r="D39" s="157">
        <f t="shared" si="5"/>
        <v>1</v>
      </c>
      <c r="E39" s="157">
        <f t="shared" si="6"/>
        <v>1</v>
      </c>
      <c r="F39" s="157">
        <f t="shared" si="7"/>
        <v>0</v>
      </c>
      <c r="G39" s="157">
        <f t="shared" si="8"/>
        <v>0</v>
      </c>
      <c r="H39" s="137"/>
    </row>
    <row r="40" spans="1:8" x14ac:dyDescent="0.25">
      <c r="A40" s="137"/>
      <c r="B40" s="155">
        <v>14</v>
      </c>
      <c r="C40" s="157">
        <f t="shared" si="4"/>
        <v>1.0379159829597154E-25</v>
      </c>
      <c r="D40" s="157">
        <f t="shared" si="5"/>
        <v>1</v>
      </c>
      <c r="E40" s="157">
        <f t="shared" si="6"/>
        <v>1</v>
      </c>
      <c r="F40" s="157">
        <f t="shared" si="7"/>
        <v>0</v>
      </c>
      <c r="G40" s="157">
        <f t="shared" si="8"/>
        <v>0</v>
      </c>
      <c r="H40" s="137"/>
    </row>
    <row r="41" spans="1:8" x14ac:dyDescent="0.25">
      <c r="A41" s="137"/>
      <c r="B41" s="155">
        <v>15</v>
      </c>
      <c r="C41" s="157">
        <f t="shared" si="4"/>
        <v>6.9194398863980673E-28</v>
      </c>
      <c r="D41" s="157">
        <f t="shared" si="5"/>
        <v>1</v>
      </c>
      <c r="E41" s="157">
        <f t="shared" si="6"/>
        <v>1</v>
      </c>
      <c r="F41" s="157">
        <f t="shared" si="7"/>
        <v>0</v>
      </c>
      <c r="G41" s="157">
        <f t="shared" si="8"/>
        <v>0</v>
      </c>
      <c r="H41" s="137"/>
    </row>
    <row r="42" spans="1:8" x14ac:dyDescent="0.25">
      <c r="A42" s="137"/>
      <c r="B42" s="158">
        <v>16</v>
      </c>
      <c r="C42" s="157">
        <f t="shared" si="4"/>
        <v>4.324649928998801E-30</v>
      </c>
      <c r="D42" s="157">
        <f t="shared" si="5"/>
        <v>1</v>
      </c>
      <c r="E42" s="157">
        <f t="shared" si="6"/>
        <v>1</v>
      </c>
      <c r="F42" s="157">
        <f t="shared" si="7"/>
        <v>0</v>
      </c>
      <c r="G42" s="157">
        <f t="shared" si="8"/>
        <v>0</v>
      </c>
      <c r="H42" s="137"/>
    </row>
    <row r="43" spans="1:8" x14ac:dyDescent="0.25">
      <c r="A43" s="137"/>
      <c r="B43" s="158">
        <v>17</v>
      </c>
      <c r="C43" s="157">
        <f t="shared" si="4"/>
        <v>2.5439117229404793E-32</v>
      </c>
      <c r="D43" s="157">
        <f t="shared" si="5"/>
        <v>1</v>
      </c>
      <c r="E43" s="157">
        <f t="shared" si="6"/>
        <v>1</v>
      </c>
      <c r="F43" s="157">
        <f t="shared" si="7"/>
        <v>0</v>
      </c>
      <c r="G43" s="157">
        <f t="shared" si="8"/>
        <v>0</v>
      </c>
      <c r="H43" s="137"/>
    </row>
    <row r="44" spans="1:8" x14ac:dyDescent="0.25">
      <c r="A44" s="137"/>
      <c r="B44" s="158">
        <v>18</v>
      </c>
      <c r="C44" s="157">
        <f t="shared" si="4"/>
        <v>1.4132842905224861E-34</v>
      </c>
      <c r="D44" s="157">
        <f t="shared" si="5"/>
        <v>1</v>
      </c>
      <c r="E44" s="157">
        <f t="shared" si="6"/>
        <v>1</v>
      </c>
      <c r="F44" s="157">
        <f t="shared" si="7"/>
        <v>0</v>
      </c>
      <c r="G44" s="157">
        <f t="shared" si="8"/>
        <v>0</v>
      </c>
      <c r="H44" s="137"/>
    </row>
    <row r="45" spans="1:8" x14ac:dyDescent="0.25">
      <c r="A45" s="137"/>
      <c r="B45" s="158">
        <v>19</v>
      </c>
      <c r="C45" s="157">
        <f t="shared" si="4"/>
        <v>7.4383383711709856E-37</v>
      </c>
      <c r="D45" s="157">
        <f t="shared" si="5"/>
        <v>1</v>
      </c>
      <c r="E45" s="157">
        <f t="shared" si="6"/>
        <v>1</v>
      </c>
      <c r="F45" s="157">
        <f t="shared" si="7"/>
        <v>0</v>
      </c>
      <c r="G45" s="157">
        <f t="shared" si="8"/>
        <v>0</v>
      </c>
      <c r="H45" s="137"/>
    </row>
    <row r="46" spans="1:8" x14ac:dyDescent="0.25">
      <c r="A46" s="137"/>
      <c r="B46" s="158">
        <v>20</v>
      </c>
      <c r="C46" s="157">
        <f t="shared" si="4"/>
        <v>3.7191691855855044E-39</v>
      </c>
      <c r="D46" s="157">
        <f t="shared" si="5"/>
        <v>1</v>
      </c>
      <c r="E46" s="157">
        <f t="shared" si="6"/>
        <v>1</v>
      </c>
      <c r="F46" s="157">
        <f t="shared" si="7"/>
        <v>0</v>
      </c>
      <c r="G46" s="157">
        <f t="shared" si="8"/>
        <v>0</v>
      </c>
      <c r="H46" s="137"/>
    </row>
  </sheetData>
  <mergeCells count="2">
    <mergeCell ref="A3:E3"/>
    <mergeCell ref="A21:E2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2"/>
  <dimension ref="B1:H25"/>
  <sheetViews>
    <sheetView workbookViewId="0">
      <selection activeCell="H14" sqref="H14"/>
    </sheetView>
  </sheetViews>
  <sheetFormatPr defaultRowHeight="15" x14ac:dyDescent="0.25"/>
  <cols>
    <col min="2" max="3" width="7.85546875" customWidth="1"/>
    <col min="7" max="7" width="3.7109375" customWidth="1"/>
    <col min="8" max="8" width="29.42578125" customWidth="1"/>
  </cols>
  <sheetData>
    <row r="1" spans="2:8" ht="15.75" thickBot="1" x14ac:dyDescent="0.3">
      <c r="B1" s="1" t="s">
        <v>189</v>
      </c>
    </row>
    <row r="2" spans="2:8" x14ac:dyDescent="0.25">
      <c r="B2" s="134">
        <v>1.5</v>
      </c>
      <c r="C2" s="38"/>
    </row>
    <row r="3" spans="2:8" x14ac:dyDescent="0.25">
      <c r="B3" s="135">
        <v>1.9</v>
      </c>
      <c r="C3" s="38"/>
      <c r="E3" t="s">
        <v>48</v>
      </c>
      <c r="F3" s="109">
        <f>AVERAGE(B2:B25)</f>
        <v>6.3749999999999991</v>
      </c>
      <c r="H3" s="14" t="s">
        <v>214</v>
      </c>
    </row>
    <row r="4" spans="2:8" x14ac:dyDescent="0.25">
      <c r="B4" s="135">
        <v>2.1</v>
      </c>
      <c r="C4" s="38"/>
      <c r="E4" t="s">
        <v>50</v>
      </c>
      <c r="F4" s="46">
        <f>_xlfn.STDEV.S(B2:B25)</f>
        <v>2.7922641584267773</v>
      </c>
      <c r="H4" s="14" t="s">
        <v>213</v>
      </c>
    </row>
    <row r="5" spans="2:8" x14ac:dyDescent="0.25">
      <c r="B5" s="135">
        <v>2.6</v>
      </c>
      <c r="C5" s="38"/>
      <c r="H5" t="s">
        <v>135</v>
      </c>
    </row>
    <row r="6" spans="2:8" x14ac:dyDescent="0.25">
      <c r="B6" s="135">
        <v>2.7</v>
      </c>
      <c r="C6" s="38"/>
      <c r="E6" t="s">
        <v>190</v>
      </c>
      <c r="F6" s="83">
        <f>2*F3</f>
        <v>12.749999999999998</v>
      </c>
      <c r="H6" s="14" t="s">
        <v>192</v>
      </c>
    </row>
    <row r="7" spans="2:8" x14ac:dyDescent="0.25">
      <c r="B7" s="135">
        <v>2.7</v>
      </c>
      <c r="C7" s="38"/>
      <c r="E7" t="s">
        <v>191</v>
      </c>
      <c r="F7" s="46">
        <f>F4*SQRT(12)</f>
        <v>9.6726867810974611</v>
      </c>
      <c r="H7" s="14" t="s">
        <v>193</v>
      </c>
    </row>
    <row r="8" spans="2:8" x14ac:dyDescent="0.25">
      <c r="B8" s="135">
        <v>4.7</v>
      </c>
      <c r="C8" s="38"/>
      <c r="H8" t="s">
        <v>135</v>
      </c>
    </row>
    <row r="9" spans="2:8" x14ac:dyDescent="0.25">
      <c r="B9" s="135">
        <v>5.4</v>
      </c>
      <c r="C9" s="38"/>
      <c r="E9" t="s">
        <v>100</v>
      </c>
      <c r="F9" s="83">
        <f>(F6-F7)/2</f>
        <v>1.5386566094512686</v>
      </c>
      <c r="H9" s="14" t="s">
        <v>194</v>
      </c>
    </row>
    <row r="10" spans="2:8" x14ac:dyDescent="0.25">
      <c r="B10" s="135">
        <v>5.9</v>
      </c>
      <c r="E10" t="s">
        <v>101</v>
      </c>
      <c r="F10" s="46">
        <f>(F6+F7)/2</f>
        <v>11.211343390548731</v>
      </c>
      <c r="H10" s="14" t="s">
        <v>195</v>
      </c>
    </row>
    <row r="11" spans="2:8" x14ac:dyDescent="0.25">
      <c r="B11" s="135">
        <v>6</v>
      </c>
    </row>
    <row r="12" spans="2:8" x14ac:dyDescent="0.25">
      <c r="B12" s="135">
        <v>7.1</v>
      </c>
      <c r="E12" t="s">
        <v>196</v>
      </c>
      <c r="F12" s="51">
        <f>(5-F9)/(F10-F9)</f>
        <v>0.35784714928565153</v>
      </c>
      <c r="H12" s="14" t="s">
        <v>215</v>
      </c>
    </row>
    <row r="13" spans="2:8" x14ac:dyDescent="0.25">
      <c r="B13" s="135">
        <v>7.2</v>
      </c>
    </row>
    <row r="14" spans="2:8" x14ac:dyDescent="0.25">
      <c r="B14" s="135">
        <v>7.6</v>
      </c>
      <c r="E14" t="s">
        <v>216</v>
      </c>
      <c r="F14" s="51">
        <f>(10-F9)/(F10-F9)</f>
        <v>0.87476660642873705</v>
      </c>
      <c r="H14" s="14" t="s">
        <v>215</v>
      </c>
    </row>
    <row r="15" spans="2:8" x14ac:dyDescent="0.25">
      <c r="B15" s="135">
        <v>7.7</v>
      </c>
    </row>
    <row r="16" spans="2:8" x14ac:dyDescent="0.25">
      <c r="B16" s="135">
        <v>7.8</v>
      </c>
    </row>
    <row r="17" spans="2:2" x14ac:dyDescent="0.25">
      <c r="B17" s="135">
        <v>8.1</v>
      </c>
    </row>
    <row r="18" spans="2:2" x14ac:dyDescent="0.25">
      <c r="B18" s="135">
        <v>8.1</v>
      </c>
    </row>
    <row r="19" spans="2:2" x14ac:dyDescent="0.25">
      <c r="B19" s="135">
        <v>8.1</v>
      </c>
    </row>
    <row r="20" spans="2:2" x14ac:dyDescent="0.25">
      <c r="B20" s="135">
        <v>8.1999999999999993</v>
      </c>
    </row>
    <row r="21" spans="2:2" x14ac:dyDescent="0.25">
      <c r="B21" s="135">
        <v>8.4</v>
      </c>
    </row>
    <row r="22" spans="2:2" x14ac:dyDescent="0.25">
      <c r="B22" s="135">
        <v>9.1</v>
      </c>
    </row>
    <row r="23" spans="2:2" x14ac:dyDescent="0.25">
      <c r="B23" s="135">
        <v>9.4</v>
      </c>
    </row>
    <row r="24" spans="2:2" x14ac:dyDescent="0.25">
      <c r="B24" s="135">
        <v>9.6999999999999993</v>
      </c>
    </row>
    <row r="25" spans="2:2" ht="15.75" thickBot="1" x14ac:dyDescent="0.3">
      <c r="B25" s="136">
        <v>11</v>
      </c>
    </row>
  </sheetData>
  <sortState ref="B2:B25">
    <sortCondition ref="B2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3"/>
  <dimension ref="A1:J24"/>
  <sheetViews>
    <sheetView topLeftCell="A4" workbookViewId="0">
      <selection activeCell="B24" sqref="B24"/>
    </sheetView>
  </sheetViews>
  <sheetFormatPr defaultRowHeight="15" x14ac:dyDescent="0.25"/>
  <cols>
    <col min="1" max="1" width="10.5703125" customWidth="1"/>
    <col min="2" max="2" width="9.140625" customWidth="1"/>
    <col min="3" max="3" width="4.140625" customWidth="1"/>
    <col min="4" max="4" width="25.85546875" customWidth="1"/>
  </cols>
  <sheetData>
    <row r="1" spans="1:10" x14ac:dyDescent="0.25">
      <c r="A1" s="1" t="s">
        <v>197</v>
      </c>
      <c r="H1" s="202" t="s">
        <v>119</v>
      </c>
      <c r="I1" s="202"/>
      <c r="J1" s="202"/>
    </row>
    <row r="2" spans="1:10" x14ac:dyDescent="0.25">
      <c r="G2" s="12" t="s">
        <v>17</v>
      </c>
      <c r="H2" s="133">
        <v>1</v>
      </c>
      <c r="I2" s="133">
        <v>2</v>
      </c>
      <c r="J2" s="133">
        <v>3</v>
      </c>
    </row>
    <row r="3" spans="1:10" x14ac:dyDescent="0.25">
      <c r="A3" s="29" t="s">
        <v>119</v>
      </c>
      <c r="B3" s="83">
        <v>5</v>
      </c>
      <c r="G3">
        <v>0</v>
      </c>
      <c r="H3" s="84">
        <f t="shared" ref="H3:H21" si="0">EXPONDIST($G3,H$2,FALSE)</f>
        <v>1</v>
      </c>
      <c r="I3" s="70">
        <f t="shared" ref="I3:J18" si="1">EXPONDIST($G3,I$2,FALSE)</f>
        <v>2</v>
      </c>
      <c r="J3" s="85">
        <f t="shared" si="1"/>
        <v>3</v>
      </c>
    </row>
    <row r="4" spans="1:10" x14ac:dyDescent="0.25">
      <c r="A4" t="s">
        <v>17</v>
      </c>
      <c r="B4" s="47">
        <v>0.5</v>
      </c>
      <c r="G4">
        <f>G3+0.2</f>
        <v>0.2</v>
      </c>
      <c r="H4" s="48">
        <f t="shared" si="0"/>
        <v>0.81873075307798182</v>
      </c>
      <c r="I4" s="7">
        <f t="shared" si="1"/>
        <v>1.3406400920712787</v>
      </c>
      <c r="J4" s="49">
        <f t="shared" si="1"/>
        <v>1.6464349082820791</v>
      </c>
    </row>
    <row r="5" spans="1:10" x14ac:dyDescent="0.25">
      <c r="A5" t="s">
        <v>198</v>
      </c>
      <c r="B5" s="46">
        <f>1-_xlfn.EXPON.DIST(B4,B3,TRUE)</f>
        <v>8.2084998623898842E-2</v>
      </c>
      <c r="D5" s="14" t="s">
        <v>218</v>
      </c>
      <c r="G5">
        <f t="shared" ref="G5:G20" si="2">G4+0.2</f>
        <v>0.4</v>
      </c>
      <c r="H5" s="48">
        <f t="shared" si="0"/>
        <v>0.67032004603563933</v>
      </c>
      <c r="I5" s="7">
        <f t="shared" si="1"/>
        <v>0.89865792823444313</v>
      </c>
      <c r="J5" s="49">
        <f t="shared" si="1"/>
        <v>0.90358263573660613</v>
      </c>
    </row>
    <row r="6" spans="1:10" x14ac:dyDescent="0.25">
      <c r="G6">
        <f t="shared" si="2"/>
        <v>0.60000000000000009</v>
      </c>
      <c r="H6" s="48">
        <f t="shared" si="0"/>
        <v>0.54881163609402639</v>
      </c>
      <c r="I6" s="7">
        <f t="shared" si="1"/>
        <v>0.60238842382440405</v>
      </c>
      <c r="J6" s="49">
        <f t="shared" si="1"/>
        <v>0.49589666466475951</v>
      </c>
    </row>
    <row r="7" spans="1:10" x14ac:dyDescent="0.25">
      <c r="G7">
        <f t="shared" si="2"/>
        <v>0.8</v>
      </c>
      <c r="H7" s="48">
        <f t="shared" si="0"/>
        <v>0.44932896411722156</v>
      </c>
      <c r="I7" s="7">
        <f t="shared" si="1"/>
        <v>0.40379303598931077</v>
      </c>
      <c r="J7" s="49">
        <f t="shared" si="1"/>
        <v>0.27215385986823742</v>
      </c>
    </row>
    <row r="8" spans="1:10" x14ac:dyDescent="0.25">
      <c r="A8" s="29" t="s">
        <v>119</v>
      </c>
      <c r="B8" s="83">
        <v>1.7E-5</v>
      </c>
      <c r="D8" s="14"/>
      <c r="G8">
        <f t="shared" si="2"/>
        <v>1</v>
      </c>
      <c r="H8" s="48">
        <f t="shared" si="0"/>
        <v>0.36787944117144233</v>
      </c>
      <c r="I8" s="7">
        <f t="shared" si="1"/>
        <v>0.2706705664732254</v>
      </c>
      <c r="J8" s="49">
        <f t="shared" si="1"/>
        <v>0.14936120510359183</v>
      </c>
    </row>
    <row r="9" spans="1:10" x14ac:dyDescent="0.25">
      <c r="A9" s="42" t="s">
        <v>17</v>
      </c>
      <c r="B9" s="47">
        <v>40000</v>
      </c>
      <c r="G9">
        <f t="shared" si="2"/>
        <v>1.2</v>
      </c>
      <c r="H9" s="48">
        <f t="shared" si="0"/>
        <v>0.30119421191220214</v>
      </c>
      <c r="I9" s="7">
        <f t="shared" si="1"/>
        <v>0.18143590657882502</v>
      </c>
      <c r="J9" s="49">
        <f t="shared" si="1"/>
        <v>8.1971167341877704E-2</v>
      </c>
    </row>
    <row r="10" spans="1:10" x14ac:dyDescent="0.25">
      <c r="A10" t="s">
        <v>198</v>
      </c>
      <c r="B10" s="46">
        <f>1-_xlfn.EXPON.DIST(B9,B8,TRUE)</f>
        <v>0.50661699236558966</v>
      </c>
      <c r="D10" s="14" t="s">
        <v>217</v>
      </c>
      <c r="G10">
        <f t="shared" si="2"/>
        <v>1.4</v>
      </c>
      <c r="H10" s="48">
        <f t="shared" si="0"/>
        <v>0.24659696394160649</v>
      </c>
      <c r="I10" s="7">
        <f t="shared" si="1"/>
        <v>0.12162012525043595</v>
      </c>
      <c r="J10" s="49">
        <f t="shared" si="1"/>
        <v>4.4986730461433151E-2</v>
      </c>
    </row>
    <row r="11" spans="1:10" x14ac:dyDescent="0.25">
      <c r="G11">
        <f t="shared" si="2"/>
        <v>1.5999999999999999</v>
      </c>
      <c r="H11" s="48">
        <f t="shared" si="0"/>
        <v>0.20189651799465544</v>
      </c>
      <c r="I11" s="7">
        <f t="shared" si="1"/>
        <v>8.152440795673245E-2</v>
      </c>
      <c r="J11" s="49">
        <f t="shared" si="1"/>
        <v>2.468924114706009E-2</v>
      </c>
    </row>
    <row r="12" spans="1:10" x14ac:dyDescent="0.25">
      <c r="A12" t="s">
        <v>199</v>
      </c>
      <c r="B12" s="51">
        <f>1/B8</f>
        <v>58823.529411764706</v>
      </c>
      <c r="D12" s="14" t="s">
        <v>212</v>
      </c>
      <c r="G12">
        <f t="shared" si="2"/>
        <v>1.7999999999999998</v>
      </c>
      <c r="H12" s="48">
        <f t="shared" si="0"/>
        <v>0.16529888822158656</v>
      </c>
      <c r="I12" s="7">
        <f t="shared" si="1"/>
        <v>5.4647444894585138E-2</v>
      </c>
      <c r="J12" s="49">
        <f t="shared" si="1"/>
        <v>1.354974282783801E-2</v>
      </c>
    </row>
    <row r="13" spans="1:10" x14ac:dyDescent="0.25">
      <c r="G13">
        <f t="shared" si="2"/>
        <v>1.9999999999999998</v>
      </c>
      <c r="H13" s="48">
        <f t="shared" si="0"/>
        <v>0.13533528323661273</v>
      </c>
      <c r="I13" s="7">
        <f t="shared" si="1"/>
        <v>3.6631277777468378E-2</v>
      </c>
      <c r="J13" s="49">
        <f t="shared" si="1"/>
        <v>7.4362565299990815E-3</v>
      </c>
    </row>
    <row r="14" spans="1:10" x14ac:dyDescent="0.25">
      <c r="G14">
        <f t="shared" si="2"/>
        <v>2.1999999999999997</v>
      </c>
      <c r="H14" s="48">
        <f t="shared" si="0"/>
        <v>0.11080315836233391</v>
      </c>
      <c r="I14" s="7">
        <f t="shared" si="1"/>
        <v>2.4554679806136896E-2</v>
      </c>
      <c r="J14" s="49">
        <f t="shared" si="1"/>
        <v>4.0811041126436812E-3</v>
      </c>
    </row>
    <row r="15" spans="1:10" x14ac:dyDescent="0.25">
      <c r="A15" s="29" t="s">
        <v>119</v>
      </c>
      <c r="B15" s="83">
        <v>0.05</v>
      </c>
      <c r="D15" s="14"/>
      <c r="G15">
        <f t="shared" si="2"/>
        <v>2.4</v>
      </c>
      <c r="H15" s="48">
        <f t="shared" si="0"/>
        <v>9.0717953289412512E-2</v>
      </c>
      <c r="I15" s="7">
        <f t="shared" si="1"/>
        <v>1.645949409804006E-2</v>
      </c>
      <c r="J15" s="49">
        <f t="shared" si="1"/>
        <v>2.2397574251300395E-3</v>
      </c>
    </row>
    <row r="16" spans="1:10" x14ac:dyDescent="0.25">
      <c r="A16" s="42" t="s">
        <v>17</v>
      </c>
      <c r="B16" s="47">
        <v>15</v>
      </c>
      <c r="G16">
        <f t="shared" si="2"/>
        <v>2.6</v>
      </c>
      <c r="H16" s="48">
        <f t="shared" si="0"/>
        <v>7.4273578214333877E-2</v>
      </c>
      <c r="I16" s="7">
        <f t="shared" si="1"/>
        <v>1.1033128841521543E-2</v>
      </c>
      <c r="J16" s="49">
        <f t="shared" si="1"/>
        <v>1.2292049369393592E-3</v>
      </c>
    </row>
    <row r="17" spans="1:10" x14ac:dyDescent="0.25">
      <c r="A17" t="s">
        <v>200</v>
      </c>
      <c r="B17" s="46">
        <f>_xlfn.EXPON.DIST(B16,B15,TRUE)</f>
        <v>0.52763344725898531</v>
      </c>
      <c r="D17" s="14" t="s">
        <v>219</v>
      </c>
      <c r="G17">
        <f t="shared" si="2"/>
        <v>2.8000000000000003</v>
      </c>
      <c r="H17" s="48">
        <f t="shared" si="0"/>
        <v>6.0810062625217952E-2</v>
      </c>
      <c r="I17" s="7">
        <f t="shared" si="1"/>
        <v>7.395727432965858E-3</v>
      </c>
      <c r="J17" s="49">
        <f t="shared" si="1"/>
        <v>6.7460197253654461E-4</v>
      </c>
    </row>
    <row r="18" spans="1:10" x14ac:dyDescent="0.25">
      <c r="G18">
        <f t="shared" si="2"/>
        <v>3.0000000000000004</v>
      </c>
      <c r="H18" s="48">
        <f t="shared" si="0"/>
        <v>4.9787068367863924E-2</v>
      </c>
      <c r="I18" s="7">
        <f t="shared" si="1"/>
        <v>4.9575043533327126E-3</v>
      </c>
      <c r="J18" s="49">
        <f t="shared" si="1"/>
        <v>3.7022941226003798E-4</v>
      </c>
    </row>
    <row r="19" spans="1:10" x14ac:dyDescent="0.25">
      <c r="G19">
        <f t="shared" si="2"/>
        <v>3.2000000000000006</v>
      </c>
      <c r="H19" s="48">
        <f t="shared" si="0"/>
        <v>4.076220397836619E-2</v>
      </c>
      <c r="I19" s="7">
        <f t="shared" ref="I19:J21" si="3">EXPONDIST($G19,I$2,FALSE)</f>
        <v>3.3231145463478648E-3</v>
      </c>
      <c r="J19" s="49">
        <f t="shared" si="3"/>
        <v>2.0318620947256132E-4</v>
      </c>
    </row>
    <row r="20" spans="1:10" x14ac:dyDescent="0.25">
      <c r="A20" s="29" t="s">
        <v>119</v>
      </c>
      <c r="B20" s="83">
        <v>0.05</v>
      </c>
      <c r="D20" s="14"/>
      <c r="G20">
        <f t="shared" si="2"/>
        <v>3.4000000000000008</v>
      </c>
      <c r="H20" s="48">
        <f t="shared" si="0"/>
        <v>3.3373269960326052E-2</v>
      </c>
      <c r="I20" s="7">
        <f t="shared" si="3"/>
        <v>2.2275502956896026E-3</v>
      </c>
      <c r="J20" s="49">
        <f t="shared" si="3"/>
        <v>1.115109560523798E-4</v>
      </c>
    </row>
    <row r="21" spans="1:10" x14ac:dyDescent="0.25">
      <c r="A21" s="42" t="s">
        <v>17</v>
      </c>
      <c r="B21" s="47">
        <v>10</v>
      </c>
      <c r="G21">
        <f>G20+0.2</f>
        <v>3.600000000000001</v>
      </c>
      <c r="H21" s="48">
        <f t="shared" si="0"/>
        <v>2.7323722447292535E-2</v>
      </c>
      <c r="I21" s="7">
        <f t="shared" si="3"/>
        <v>1.4931716167533558E-3</v>
      </c>
      <c r="J21" s="49">
        <f t="shared" si="3"/>
        <v>6.1198510233515655E-5</v>
      </c>
    </row>
    <row r="22" spans="1:10" x14ac:dyDescent="0.25">
      <c r="A22" t="s">
        <v>200</v>
      </c>
      <c r="B22" s="46">
        <f>_xlfn.EXPON.DIST(B21,B20,TRUE)</f>
        <v>0.39346934028736658</v>
      </c>
      <c r="D22" s="14" t="s">
        <v>219</v>
      </c>
      <c r="G22">
        <f>G21+0.2</f>
        <v>3.8000000000000012</v>
      </c>
      <c r="H22" s="48">
        <f t="shared" ref="H22:J23" si="4">EXPONDIST($G22,H$2,FALSE)</f>
        <v>2.237077185616557E-2</v>
      </c>
      <c r="I22" s="7">
        <f t="shared" si="4"/>
        <v>1.0009028668812191E-3</v>
      </c>
      <c r="J22" s="49">
        <f t="shared" si="4"/>
        <v>3.3586454527772699E-5</v>
      </c>
    </row>
    <row r="23" spans="1:10" x14ac:dyDescent="0.25">
      <c r="G23">
        <f>G22+0.2</f>
        <v>4.0000000000000009</v>
      </c>
      <c r="H23" s="43">
        <f t="shared" si="4"/>
        <v>1.8315638888734165E-2</v>
      </c>
      <c r="I23" s="68">
        <f t="shared" si="4"/>
        <v>6.7092525580502251E-4</v>
      </c>
      <c r="J23" s="44">
        <f t="shared" si="4"/>
        <v>1.8432637059984564E-5</v>
      </c>
    </row>
    <row r="24" spans="1:10" x14ac:dyDescent="0.25">
      <c r="A24" t="s">
        <v>220</v>
      </c>
      <c r="B24">
        <f>B17-B22</f>
        <v>0.13416410697161874</v>
      </c>
    </row>
  </sheetData>
  <mergeCells count="1">
    <mergeCell ref="H1:J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72"/>
  <sheetViews>
    <sheetView workbookViewId="0">
      <selection activeCell="B140" sqref="B140"/>
    </sheetView>
  </sheetViews>
  <sheetFormatPr defaultRowHeight="15" x14ac:dyDescent="0.25"/>
  <cols>
    <col min="2" max="2" width="7.85546875" customWidth="1"/>
  </cols>
  <sheetData>
    <row r="1" spans="1:8" x14ac:dyDescent="0.25">
      <c r="A1" s="1" t="s">
        <v>91</v>
      </c>
      <c r="B1" s="15"/>
    </row>
    <row r="2" spans="1:8" x14ac:dyDescent="0.25">
      <c r="B2" s="15"/>
    </row>
    <row r="3" spans="1:8" x14ac:dyDescent="0.25">
      <c r="A3" s="22" t="s">
        <v>92</v>
      </c>
      <c r="B3" s="27" t="s">
        <v>18</v>
      </c>
    </row>
    <row r="4" spans="1:8" x14ac:dyDescent="0.25">
      <c r="A4" s="22">
        <f>100-3*16-2</f>
        <v>50</v>
      </c>
      <c r="B4" s="15">
        <f>NORMDIST(A4,100,16,FALSE)</f>
        <v>1.8889112719992226E-4</v>
      </c>
      <c r="C4" s="14" t="s">
        <v>204</v>
      </c>
    </row>
    <row r="5" spans="1:8" x14ac:dyDescent="0.25">
      <c r="A5" s="22">
        <f>A4+1</f>
        <v>51</v>
      </c>
      <c r="B5" s="15">
        <f t="shared" ref="B5:B68" si="0">NORMDIST(A5,100,16,FALSE)</f>
        <v>2.2918514664338913E-4</v>
      </c>
    </row>
    <row r="6" spans="1:8" x14ac:dyDescent="0.25">
      <c r="A6" s="22">
        <f t="shared" ref="A6:A69" si="1">A5+1</f>
        <v>52</v>
      </c>
      <c r="B6" s="15">
        <f t="shared" si="0"/>
        <v>2.7699052574612547E-4</v>
      </c>
    </row>
    <row r="7" spans="1:8" x14ac:dyDescent="0.25">
      <c r="A7" s="22">
        <f t="shared" si="1"/>
        <v>53</v>
      </c>
      <c r="B7" s="15">
        <f t="shared" si="0"/>
        <v>3.3346242072414468E-4</v>
      </c>
    </row>
    <row r="8" spans="1:8" x14ac:dyDescent="0.25">
      <c r="A8" s="22">
        <f t="shared" si="1"/>
        <v>54</v>
      </c>
      <c r="B8" s="15">
        <f t="shared" si="0"/>
        <v>3.9988251942022228E-4</v>
      </c>
    </row>
    <row r="9" spans="1:8" x14ac:dyDescent="0.25">
      <c r="A9" s="22">
        <f t="shared" si="1"/>
        <v>55</v>
      </c>
      <c r="B9" s="15">
        <f t="shared" si="0"/>
        <v>4.776628636716501E-4</v>
      </c>
    </row>
    <row r="10" spans="1:8" x14ac:dyDescent="0.25">
      <c r="A10" s="22">
        <f t="shared" si="1"/>
        <v>56</v>
      </c>
      <c r="B10" s="15">
        <f t="shared" si="0"/>
        <v>5.6834765634944081E-4</v>
      </c>
    </row>
    <row r="11" spans="1:8" x14ac:dyDescent="0.25">
      <c r="A11" s="22">
        <f t="shared" si="1"/>
        <v>57</v>
      </c>
      <c r="B11" s="15">
        <f t="shared" si="0"/>
        <v>6.7361260626693149E-4</v>
      </c>
    </row>
    <row r="12" spans="1:8" x14ac:dyDescent="0.25">
      <c r="A12" s="22">
        <f t="shared" si="1"/>
        <v>58</v>
      </c>
      <c r="B12" s="15">
        <f t="shared" si="0"/>
        <v>7.9526134980196454E-4</v>
      </c>
    </row>
    <row r="13" spans="1:8" x14ac:dyDescent="0.25">
      <c r="A13" s="22">
        <f t="shared" si="1"/>
        <v>59</v>
      </c>
      <c r="B13" s="15">
        <f t="shared" si="0"/>
        <v>9.3521848661962169E-4</v>
      </c>
    </row>
    <row r="14" spans="1:8" x14ac:dyDescent="0.25">
      <c r="A14" s="22">
        <f t="shared" si="1"/>
        <v>60</v>
      </c>
      <c r="B14" s="15">
        <f t="shared" si="0"/>
        <v>1.0955187808480338E-3</v>
      </c>
      <c r="H14" s="1"/>
    </row>
    <row r="15" spans="1:8" x14ac:dyDescent="0.25">
      <c r="A15" s="22">
        <f t="shared" si="1"/>
        <v>61</v>
      </c>
      <c r="B15" s="15">
        <f t="shared" si="0"/>
        <v>1.2782921107988374E-3</v>
      </c>
    </row>
    <row r="16" spans="1:8" x14ac:dyDescent="0.25">
      <c r="A16" s="22">
        <f t="shared" si="1"/>
        <v>62</v>
      </c>
      <c r="B16" s="15">
        <f t="shared" si="0"/>
        <v>1.4857438018696129E-3</v>
      </c>
    </row>
    <row r="17" spans="1:7" x14ac:dyDescent="0.25">
      <c r="A17" s="22">
        <f t="shared" si="1"/>
        <v>63</v>
      </c>
      <c r="B17" s="15">
        <f t="shared" si="0"/>
        <v>1.7201300501815293E-3</v>
      </c>
    </row>
    <row r="18" spans="1:7" x14ac:dyDescent="0.25">
      <c r="A18" s="22">
        <f t="shared" si="1"/>
        <v>64</v>
      </c>
      <c r="B18" s="15">
        <f t="shared" si="0"/>
        <v>1.9837282397292136E-3</v>
      </c>
    </row>
    <row r="19" spans="1:7" x14ac:dyDescent="0.25">
      <c r="A19" s="22">
        <f t="shared" si="1"/>
        <v>65</v>
      </c>
      <c r="B19" s="15">
        <f t="shared" si="0"/>
        <v>2.2788020735120089E-3</v>
      </c>
      <c r="G19" t="s">
        <v>98</v>
      </c>
    </row>
    <row r="20" spans="1:7" x14ac:dyDescent="0.25">
      <c r="A20" s="22">
        <f t="shared" si="1"/>
        <v>66</v>
      </c>
      <c r="B20" s="15">
        <f t="shared" si="0"/>
        <v>2.6075615785211633E-3</v>
      </c>
    </row>
    <row r="21" spans="1:7" x14ac:dyDescent="0.25">
      <c r="A21" s="22">
        <f t="shared" si="1"/>
        <v>67</v>
      </c>
      <c r="B21" s="15">
        <f t="shared" si="0"/>
        <v>2.9721182037899768E-3</v>
      </c>
    </row>
    <row r="22" spans="1:7" x14ac:dyDescent="0.25">
      <c r="A22" s="22">
        <f t="shared" si="1"/>
        <v>68</v>
      </c>
      <c r="B22" s="15">
        <f t="shared" si="0"/>
        <v>3.3744354070742539E-3</v>
      </c>
    </row>
    <row r="23" spans="1:7" x14ac:dyDescent="0.25">
      <c r="A23" s="22">
        <f t="shared" si="1"/>
        <v>69</v>
      </c>
      <c r="B23" s="15">
        <f t="shared" si="0"/>
        <v>3.8162753150666464E-3</v>
      </c>
    </row>
    <row r="24" spans="1:7" x14ac:dyDescent="0.25">
      <c r="A24" s="22">
        <f t="shared" si="1"/>
        <v>70</v>
      </c>
      <c r="B24" s="15">
        <f t="shared" si="0"/>
        <v>4.299142239168244E-3</v>
      </c>
    </row>
    <row r="25" spans="1:7" x14ac:dyDescent="0.25">
      <c r="A25" s="22">
        <f t="shared" si="1"/>
        <v>71</v>
      </c>
      <c r="B25" s="15">
        <f t="shared" si="0"/>
        <v>4.8242240274819197E-3</v>
      </c>
    </row>
    <row r="26" spans="1:7" x14ac:dyDescent="0.25">
      <c r="A26" s="22">
        <f t="shared" si="1"/>
        <v>72</v>
      </c>
      <c r="B26" s="15">
        <f t="shared" si="0"/>
        <v>5.3923324266569707E-3</v>
      </c>
    </row>
    <row r="27" spans="1:7" x14ac:dyDescent="0.25">
      <c r="A27" s="22">
        <f t="shared" si="1"/>
        <v>73</v>
      </c>
      <c r="B27" s="15">
        <f t="shared" si="0"/>
        <v>6.0038438065695846E-3</v>
      </c>
    </row>
    <row r="28" spans="1:7" x14ac:dyDescent="0.25">
      <c r="A28" s="22">
        <f t="shared" si="1"/>
        <v>74</v>
      </c>
      <c r="B28" s="15">
        <f t="shared" si="0"/>
        <v>6.6586417581615672E-3</v>
      </c>
    </row>
    <row r="29" spans="1:7" x14ac:dyDescent="0.25">
      <c r="A29" s="22">
        <f t="shared" si="1"/>
        <v>75</v>
      </c>
      <c r="B29" s="15">
        <f t="shared" si="0"/>
        <v>7.3560632015200033E-3</v>
      </c>
    </row>
    <row r="30" spans="1:7" x14ac:dyDescent="0.25">
      <c r="A30" s="22">
        <f t="shared" si="1"/>
        <v>76</v>
      </c>
      <c r="B30" s="15">
        <f t="shared" si="0"/>
        <v>8.094849729118234E-3</v>
      </c>
    </row>
    <row r="31" spans="1:7" x14ac:dyDescent="0.25">
      <c r="A31" s="22">
        <f t="shared" si="1"/>
        <v>77</v>
      </c>
      <c r="B31" s="15">
        <f t="shared" si="0"/>
        <v>8.8731059503259716E-3</v>
      </c>
    </row>
    <row r="32" spans="1:7" x14ac:dyDescent="0.25">
      <c r="A32" s="22">
        <f t="shared" si="1"/>
        <v>78</v>
      </c>
      <c r="B32" s="15">
        <f t="shared" si="0"/>
        <v>9.6882665911433262E-3</v>
      </c>
    </row>
    <row r="33" spans="1:2" x14ac:dyDescent="0.25">
      <c r="A33" s="22">
        <f t="shared" si="1"/>
        <v>79</v>
      </c>
      <c r="B33" s="15">
        <f t="shared" si="0"/>
        <v>1.0537074032382195E-2</v>
      </c>
    </row>
    <row r="34" spans="1:2" x14ac:dyDescent="0.25">
      <c r="A34" s="22">
        <f t="shared" si="1"/>
        <v>80</v>
      </c>
      <c r="B34" s="15">
        <f t="shared" si="0"/>
        <v>1.141556783681387E-2</v>
      </c>
    </row>
    <row r="35" spans="1:2" x14ac:dyDescent="0.25">
      <c r="A35" s="22">
        <f t="shared" si="1"/>
        <v>81</v>
      </c>
      <c r="B35" s="15">
        <f t="shared" si="0"/>
        <v>1.2319087619911706E-2</v>
      </c>
    </row>
    <row r="36" spans="1:2" x14ac:dyDescent="0.25">
      <c r="A36" s="22">
        <f t="shared" si="1"/>
        <v>82</v>
      </c>
      <c r="B36" s="15">
        <f t="shared" si="0"/>
        <v>1.3242290360981217E-2</v>
      </c>
    </row>
    <row r="37" spans="1:2" x14ac:dyDescent="0.25">
      <c r="A37" s="22">
        <f t="shared" si="1"/>
        <v>83</v>
      </c>
      <c r="B37" s="15">
        <f t="shared" si="0"/>
        <v>1.417918293555079E-2</v>
      </c>
    </row>
    <row r="38" spans="1:2" x14ac:dyDescent="0.25">
      <c r="A38" s="22">
        <f t="shared" si="1"/>
        <v>84</v>
      </c>
      <c r="B38" s="15">
        <f t="shared" si="0"/>
        <v>1.512317028244646E-2</v>
      </c>
    </row>
    <row r="39" spans="1:2" x14ac:dyDescent="0.25">
      <c r="A39" s="22">
        <f t="shared" si="1"/>
        <v>85</v>
      </c>
      <c r="B39" s="15">
        <f t="shared" si="0"/>
        <v>1.6067119209170918E-2</v>
      </c>
    </row>
    <row r="40" spans="1:2" x14ac:dyDescent="0.25">
      <c r="A40" s="22">
        <f t="shared" si="1"/>
        <v>86</v>
      </c>
      <c r="B40" s="15">
        <f t="shared" si="0"/>
        <v>1.700343739865897E-2</v>
      </c>
    </row>
    <row r="41" spans="1:2" x14ac:dyDescent="0.25">
      <c r="A41" s="22">
        <f t="shared" si="1"/>
        <v>87</v>
      </c>
      <c r="B41" s="15">
        <f t="shared" si="0"/>
        <v>1.7924166722900904E-2</v>
      </c>
    </row>
    <row r="42" spans="1:2" x14ac:dyDescent="0.25">
      <c r="A42" s="22">
        <f t="shared" si="1"/>
        <v>88</v>
      </c>
      <c r="B42" s="15">
        <f t="shared" si="0"/>
        <v>1.8821089509675277E-2</v>
      </c>
    </row>
    <row r="43" spans="1:2" x14ac:dyDescent="0.25">
      <c r="A43" s="22">
        <f t="shared" si="1"/>
        <v>89</v>
      </c>
      <c r="B43" s="15">
        <f t="shared" si="0"/>
        <v>1.9685845964162084E-2</v>
      </c>
    </row>
    <row r="44" spans="1:2" x14ac:dyDescent="0.25">
      <c r="A44" s="22">
        <f t="shared" si="1"/>
        <v>90</v>
      </c>
      <c r="B44" s="15">
        <f t="shared" si="0"/>
        <v>2.0510060534398442E-2</v>
      </c>
    </row>
    <row r="45" spans="1:2" x14ac:dyDescent="0.25">
      <c r="A45" s="22">
        <f t="shared" si="1"/>
        <v>91</v>
      </c>
      <c r="B45" s="15">
        <f t="shared" si="0"/>
        <v>2.1285474644989418E-2</v>
      </c>
    </row>
    <row r="46" spans="1:2" x14ac:dyDescent="0.25">
      <c r="A46" s="22">
        <f t="shared" si="1"/>
        <v>92</v>
      </c>
      <c r="B46" s="15">
        <f t="shared" si="0"/>
        <v>2.200408292276872E-2</v>
      </c>
    </row>
    <row r="47" spans="1:2" x14ac:dyDescent="0.25">
      <c r="A47" s="22">
        <f t="shared" si="1"/>
        <v>93</v>
      </c>
      <c r="B47" s="15">
        <f t="shared" si="0"/>
        <v>2.2658269815027828E-2</v>
      </c>
    </row>
    <row r="48" spans="1:2" x14ac:dyDescent="0.25">
      <c r="A48" s="22">
        <f t="shared" si="1"/>
        <v>94</v>
      </c>
      <c r="B48" s="15">
        <f t="shared" si="0"/>
        <v>2.3240943366860559E-2</v>
      </c>
    </row>
    <row r="49" spans="1:2" x14ac:dyDescent="0.25">
      <c r="A49" s="22">
        <f t="shared" si="1"/>
        <v>95</v>
      </c>
      <c r="B49" s="15">
        <f t="shared" si="0"/>
        <v>2.3745662887414237E-2</v>
      </c>
    </row>
    <row r="50" spans="1:2" x14ac:dyDescent="0.25">
      <c r="A50" s="22">
        <f t="shared" si="1"/>
        <v>96</v>
      </c>
      <c r="B50" s="15">
        <f t="shared" si="0"/>
        <v>2.4166757300178077E-2</v>
      </c>
    </row>
    <row r="51" spans="1:2" x14ac:dyDescent="0.25">
      <c r="A51" s="22">
        <f t="shared" si="1"/>
        <v>97</v>
      </c>
      <c r="B51" s="15">
        <f t="shared" si="0"/>
        <v>2.4499431140785746E-2</v>
      </c>
    </row>
    <row r="52" spans="1:2" x14ac:dyDescent="0.25">
      <c r="A52" s="22">
        <f t="shared" si="1"/>
        <v>98</v>
      </c>
      <c r="B52" s="15">
        <f t="shared" si="0"/>
        <v>2.4739855434046845E-2</v>
      </c>
    </row>
    <row r="53" spans="1:2" x14ac:dyDescent="0.25">
      <c r="A53" s="22">
        <f t="shared" si="1"/>
        <v>99</v>
      </c>
      <c r="B53" s="15">
        <f t="shared" si="0"/>
        <v>2.4885241042930415E-2</v>
      </c>
    </row>
    <row r="54" spans="1:2" x14ac:dyDescent="0.25">
      <c r="A54" s="22">
        <f t="shared" si="1"/>
        <v>100</v>
      </c>
      <c r="B54" s="15">
        <f t="shared" si="0"/>
        <v>2.4933892525089544E-2</v>
      </c>
    </row>
    <row r="55" spans="1:2" x14ac:dyDescent="0.25">
      <c r="A55" s="22">
        <f t="shared" si="1"/>
        <v>101</v>
      </c>
      <c r="B55" s="15">
        <f t="shared" si="0"/>
        <v>2.4885241042930415E-2</v>
      </c>
    </row>
    <row r="56" spans="1:2" x14ac:dyDescent="0.25">
      <c r="A56" s="22">
        <f t="shared" si="1"/>
        <v>102</v>
      </c>
      <c r="B56" s="15">
        <f t="shared" si="0"/>
        <v>2.4739855434046845E-2</v>
      </c>
    </row>
    <row r="57" spans="1:2" x14ac:dyDescent="0.25">
      <c r="A57" s="22">
        <f t="shared" si="1"/>
        <v>103</v>
      </c>
      <c r="B57" s="15">
        <f t="shared" si="0"/>
        <v>2.4499431140785746E-2</v>
      </c>
    </row>
    <row r="58" spans="1:2" x14ac:dyDescent="0.25">
      <c r="A58" s="22">
        <f t="shared" si="1"/>
        <v>104</v>
      </c>
      <c r="B58" s="15">
        <f t="shared" si="0"/>
        <v>2.4166757300178077E-2</v>
      </c>
    </row>
    <row r="59" spans="1:2" x14ac:dyDescent="0.25">
      <c r="A59" s="22">
        <f t="shared" si="1"/>
        <v>105</v>
      </c>
      <c r="B59" s="15">
        <f t="shared" si="0"/>
        <v>2.3745662887414237E-2</v>
      </c>
    </row>
    <row r="60" spans="1:2" x14ac:dyDescent="0.25">
      <c r="A60" s="22">
        <f t="shared" si="1"/>
        <v>106</v>
      </c>
      <c r="B60" s="15">
        <f t="shared" si="0"/>
        <v>2.3240943366860559E-2</v>
      </c>
    </row>
    <row r="61" spans="1:2" x14ac:dyDescent="0.25">
      <c r="A61" s="22">
        <f t="shared" si="1"/>
        <v>107</v>
      </c>
      <c r="B61" s="15">
        <f t="shared" si="0"/>
        <v>2.2658269815027828E-2</v>
      </c>
    </row>
    <row r="62" spans="1:2" x14ac:dyDescent="0.25">
      <c r="A62" s="22">
        <f t="shared" si="1"/>
        <v>108</v>
      </c>
      <c r="B62" s="15">
        <f t="shared" si="0"/>
        <v>2.200408292276872E-2</v>
      </c>
    </row>
    <row r="63" spans="1:2" x14ac:dyDescent="0.25">
      <c r="A63" s="22">
        <f t="shared" si="1"/>
        <v>109</v>
      </c>
      <c r="B63" s="15">
        <f t="shared" si="0"/>
        <v>2.1285474644989418E-2</v>
      </c>
    </row>
    <row r="64" spans="1:2" x14ac:dyDescent="0.25">
      <c r="A64" s="22">
        <f t="shared" si="1"/>
        <v>110</v>
      </c>
      <c r="B64" s="15">
        <f t="shared" si="0"/>
        <v>2.0510060534398442E-2</v>
      </c>
    </row>
    <row r="65" spans="1:2" x14ac:dyDescent="0.25">
      <c r="A65" s="22">
        <f t="shared" si="1"/>
        <v>111</v>
      </c>
      <c r="B65" s="15">
        <f t="shared" si="0"/>
        <v>1.9685845964162084E-2</v>
      </c>
    </row>
    <row r="66" spans="1:2" x14ac:dyDescent="0.25">
      <c r="A66" s="22">
        <f t="shared" si="1"/>
        <v>112</v>
      </c>
      <c r="B66" s="15">
        <f t="shared" si="0"/>
        <v>1.8821089509675277E-2</v>
      </c>
    </row>
    <row r="67" spans="1:2" x14ac:dyDescent="0.25">
      <c r="A67" s="22">
        <f t="shared" si="1"/>
        <v>113</v>
      </c>
      <c r="B67" s="15">
        <f t="shared" si="0"/>
        <v>1.7924166722900904E-2</v>
      </c>
    </row>
    <row r="68" spans="1:2" x14ac:dyDescent="0.25">
      <c r="A68" s="22">
        <f t="shared" si="1"/>
        <v>114</v>
      </c>
      <c r="B68" s="15">
        <f t="shared" si="0"/>
        <v>1.700343739865897E-2</v>
      </c>
    </row>
    <row r="69" spans="1:2" x14ac:dyDescent="0.25">
      <c r="A69" s="22">
        <f t="shared" si="1"/>
        <v>115</v>
      </c>
      <c r="B69" s="15">
        <f t="shared" ref="B69:B104" si="2">NORMDIST(A69,100,16,FALSE)</f>
        <v>1.6067119209170918E-2</v>
      </c>
    </row>
    <row r="70" spans="1:2" x14ac:dyDescent="0.25">
      <c r="A70" s="22">
        <f t="shared" ref="A70:A99" si="3">A69+1</f>
        <v>116</v>
      </c>
      <c r="B70" s="15">
        <f t="shared" si="2"/>
        <v>1.512317028244646E-2</v>
      </c>
    </row>
    <row r="71" spans="1:2" x14ac:dyDescent="0.25">
      <c r="A71" s="22">
        <f t="shared" si="3"/>
        <v>117</v>
      </c>
      <c r="B71" s="15">
        <f t="shared" si="2"/>
        <v>1.417918293555079E-2</v>
      </c>
    </row>
    <row r="72" spans="1:2" x14ac:dyDescent="0.25">
      <c r="A72" s="22">
        <f t="shared" si="3"/>
        <v>118</v>
      </c>
      <c r="B72" s="15">
        <f t="shared" si="2"/>
        <v>1.3242290360981217E-2</v>
      </c>
    </row>
    <row r="73" spans="1:2" x14ac:dyDescent="0.25">
      <c r="A73" s="22">
        <f t="shared" si="3"/>
        <v>119</v>
      </c>
      <c r="B73" s="15">
        <f t="shared" si="2"/>
        <v>1.2319087619911706E-2</v>
      </c>
    </row>
    <row r="74" spans="1:2" x14ac:dyDescent="0.25">
      <c r="A74" s="22">
        <f t="shared" si="3"/>
        <v>120</v>
      </c>
      <c r="B74" s="15">
        <f t="shared" si="2"/>
        <v>1.141556783681387E-2</v>
      </c>
    </row>
    <row r="75" spans="1:2" x14ac:dyDescent="0.25">
      <c r="A75" s="22">
        <f t="shared" si="3"/>
        <v>121</v>
      </c>
      <c r="B75" s="15">
        <f t="shared" si="2"/>
        <v>1.0537074032382195E-2</v>
      </c>
    </row>
    <row r="76" spans="1:2" x14ac:dyDescent="0.25">
      <c r="A76" s="22">
        <f t="shared" si="3"/>
        <v>122</v>
      </c>
      <c r="B76" s="15">
        <f t="shared" si="2"/>
        <v>9.6882665911433262E-3</v>
      </c>
    </row>
    <row r="77" spans="1:2" x14ac:dyDescent="0.25">
      <c r="A77" s="22">
        <f t="shared" si="3"/>
        <v>123</v>
      </c>
      <c r="B77" s="15">
        <f t="shared" si="2"/>
        <v>8.8731059503259716E-3</v>
      </c>
    </row>
    <row r="78" spans="1:2" x14ac:dyDescent="0.25">
      <c r="A78" s="22">
        <f t="shared" si="3"/>
        <v>124</v>
      </c>
      <c r="B78" s="15">
        <f t="shared" si="2"/>
        <v>8.094849729118234E-3</v>
      </c>
    </row>
    <row r="79" spans="1:2" x14ac:dyDescent="0.25">
      <c r="A79" s="22">
        <f t="shared" si="3"/>
        <v>125</v>
      </c>
      <c r="B79" s="15">
        <f t="shared" si="2"/>
        <v>7.3560632015200033E-3</v>
      </c>
    </row>
    <row r="80" spans="1:2" x14ac:dyDescent="0.25">
      <c r="A80" s="22">
        <f t="shared" si="3"/>
        <v>126</v>
      </c>
      <c r="B80" s="15">
        <f t="shared" si="2"/>
        <v>6.6586417581615672E-3</v>
      </c>
    </row>
    <row r="81" spans="1:2" x14ac:dyDescent="0.25">
      <c r="A81" s="22">
        <f t="shared" si="3"/>
        <v>127</v>
      </c>
      <c r="B81" s="15">
        <f t="shared" si="2"/>
        <v>6.0038438065695846E-3</v>
      </c>
    </row>
    <row r="82" spans="1:2" x14ac:dyDescent="0.25">
      <c r="A82" s="22">
        <f t="shared" si="3"/>
        <v>128</v>
      </c>
      <c r="B82" s="15">
        <f t="shared" si="2"/>
        <v>5.3923324266569707E-3</v>
      </c>
    </row>
    <row r="83" spans="1:2" x14ac:dyDescent="0.25">
      <c r="A83" s="22">
        <f t="shared" si="3"/>
        <v>129</v>
      </c>
      <c r="B83" s="15">
        <f t="shared" si="2"/>
        <v>4.8242240274819197E-3</v>
      </c>
    </row>
    <row r="84" spans="1:2" x14ac:dyDescent="0.25">
      <c r="A84" s="22">
        <f t="shared" si="3"/>
        <v>130</v>
      </c>
      <c r="B84" s="15">
        <f t="shared" si="2"/>
        <v>4.299142239168244E-3</v>
      </c>
    </row>
    <row r="85" spans="1:2" x14ac:dyDescent="0.25">
      <c r="A85" s="22">
        <f t="shared" si="3"/>
        <v>131</v>
      </c>
      <c r="B85" s="15">
        <f t="shared" si="2"/>
        <v>3.8162753150666464E-3</v>
      </c>
    </row>
    <row r="86" spans="1:2" x14ac:dyDescent="0.25">
      <c r="A86" s="22">
        <f t="shared" si="3"/>
        <v>132</v>
      </c>
      <c r="B86" s="15">
        <f t="shared" si="2"/>
        <v>3.3744354070742539E-3</v>
      </c>
    </row>
    <row r="87" spans="1:2" x14ac:dyDescent="0.25">
      <c r="A87" s="22">
        <f t="shared" si="3"/>
        <v>133</v>
      </c>
      <c r="B87" s="15">
        <f t="shared" si="2"/>
        <v>2.9721182037899768E-3</v>
      </c>
    </row>
    <row r="88" spans="1:2" x14ac:dyDescent="0.25">
      <c r="A88" s="22">
        <f t="shared" si="3"/>
        <v>134</v>
      </c>
      <c r="B88" s="15">
        <f t="shared" si="2"/>
        <v>2.6075615785211633E-3</v>
      </c>
    </row>
    <row r="89" spans="1:2" x14ac:dyDescent="0.25">
      <c r="A89" s="22">
        <f t="shared" si="3"/>
        <v>135</v>
      </c>
      <c r="B89" s="15">
        <f t="shared" si="2"/>
        <v>2.2788020735120089E-3</v>
      </c>
    </row>
    <row r="90" spans="1:2" x14ac:dyDescent="0.25">
      <c r="A90" s="22">
        <f t="shared" si="3"/>
        <v>136</v>
      </c>
      <c r="B90" s="15">
        <f t="shared" si="2"/>
        <v>1.9837282397292136E-3</v>
      </c>
    </row>
    <row r="91" spans="1:2" x14ac:dyDescent="0.25">
      <c r="A91" s="22">
        <f t="shared" si="3"/>
        <v>137</v>
      </c>
      <c r="B91" s="15">
        <f t="shared" si="2"/>
        <v>1.7201300501815293E-3</v>
      </c>
    </row>
    <row r="92" spans="1:2" x14ac:dyDescent="0.25">
      <c r="A92" s="22">
        <f t="shared" si="3"/>
        <v>138</v>
      </c>
      <c r="B92" s="15">
        <f t="shared" si="2"/>
        <v>1.4857438018696129E-3</v>
      </c>
    </row>
    <row r="93" spans="1:2" x14ac:dyDescent="0.25">
      <c r="A93" s="22">
        <f t="shared" si="3"/>
        <v>139</v>
      </c>
      <c r="B93" s="15">
        <f t="shared" si="2"/>
        <v>1.2782921107988374E-3</v>
      </c>
    </row>
    <row r="94" spans="1:2" x14ac:dyDescent="0.25">
      <c r="A94" s="22">
        <f t="shared" si="3"/>
        <v>140</v>
      </c>
      <c r="B94" s="15">
        <f t="shared" si="2"/>
        <v>1.0955187808480338E-3</v>
      </c>
    </row>
    <row r="95" spans="1:2" x14ac:dyDescent="0.25">
      <c r="A95" s="22">
        <f t="shared" si="3"/>
        <v>141</v>
      </c>
      <c r="B95" s="15">
        <f t="shared" si="2"/>
        <v>9.3521848661962169E-4</v>
      </c>
    </row>
    <row r="96" spans="1:2" x14ac:dyDescent="0.25">
      <c r="A96" s="22">
        <f t="shared" si="3"/>
        <v>142</v>
      </c>
      <c r="B96" s="15">
        <f t="shared" si="2"/>
        <v>7.9526134980196454E-4</v>
      </c>
    </row>
    <row r="97" spans="1:2" x14ac:dyDescent="0.25">
      <c r="A97" s="22">
        <f t="shared" si="3"/>
        <v>143</v>
      </c>
      <c r="B97" s="15">
        <f t="shared" si="2"/>
        <v>6.7361260626693149E-4</v>
      </c>
    </row>
    <row r="98" spans="1:2" x14ac:dyDescent="0.25">
      <c r="A98" s="22">
        <f t="shared" si="3"/>
        <v>144</v>
      </c>
      <c r="B98" s="15">
        <f t="shared" si="2"/>
        <v>5.6834765634944081E-4</v>
      </c>
    </row>
    <row r="99" spans="1:2" x14ac:dyDescent="0.25">
      <c r="A99" s="22">
        <f t="shared" si="3"/>
        <v>145</v>
      </c>
      <c r="B99" s="15">
        <f t="shared" si="2"/>
        <v>4.776628636716501E-4</v>
      </c>
    </row>
    <row r="100" spans="1:2" x14ac:dyDescent="0.25">
      <c r="A100" s="22">
        <f>A99+1</f>
        <v>146</v>
      </c>
      <c r="B100" s="15">
        <f t="shared" si="2"/>
        <v>3.9988251942022228E-4</v>
      </c>
    </row>
    <row r="101" spans="1:2" x14ac:dyDescent="0.25">
      <c r="A101" s="22">
        <f>A100+1</f>
        <v>147</v>
      </c>
      <c r="B101" s="15">
        <f t="shared" si="2"/>
        <v>3.3346242072414468E-4</v>
      </c>
    </row>
    <row r="102" spans="1:2" x14ac:dyDescent="0.25">
      <c r="A102" s="22">
        <f>A101+1</f>
        <v>148</v>
      </c>
      <c r="B102" s="15">
        <f t="shared" si="2"/>
        <v>2.7699052574612547E-4</v>
      </c>
    </row>
    <row r="103" spans="1:2" x14ac:dyDescent="0.25">
      <c r="A103" s="22">
        <f>A102+1</f>
        <v>149</v>
      </c>
      <c r="B103" s="15">
        <f t="shared" si="2"/>
        <v>2.2918514664338913E-4</v>
      </c>
    </row>
    <row r="104" spans="1:2" x14ac:dyDescent="0.25">
      <c r="A104" s="22">
        <f>A103+1</f>
        <v>150</v>
      </c>
      <c r="B104" s="15">
        <f t="shared" si="2"/>
        <v>1.8889112719992226E-4</v>
      </c>
    </row>
    <row r="105" spans="1:2" x14ac:dyDescent="0.25">
      <c r="A105" s="22"/>
      <c r="B105" s="15"/>
    </row>
    <row r="106" spans="1:2" x14ac:dyDescent="0.25">
      <c r="A106" s="1" t="s">
        <v>93</v>
      </c>
      <c r="B106" s="15"/>
    </row>
    <row r="107" spans="1:2" x14ac:dyDescent="0.25">
      <c r="B107" s="15"/>
    </row>
    <row r="108" spans="1:2" x14ac:dyDescent="0.25">
      <c r="A108" s="13">
        <f>-3</f>
        <v>-3</v>
      </c>
      <c r="B108" s="15">
        <f t="shared" ref="B108:B133" si="4">NORMDIST(A108,0,1,FALSE)</f>
        <v>4.4318484119380075E-3</v>
      </c>
    </row>
    <row r="109" spans="1:2" x14ac:dyDescent="0.25">
      <c r="A109" s="13">
        <f t="shared" ref="A109:A133" si="5">A108+0.25</f>
        <v>-2.75</v>
      </c>
      <c r="B109" s="15">
        <f t="shared" si="4"/>
        <v>9.0935625015910529E-3</v>
      </c>
    </row>
    <row r="110" spans="1:2" x14ac:dyDescent="0.25">
      <c r="A110" s="13">
        <f t="shared" si="5"/>
        <v>-2.5</v>
      </c>
      <c r="B110" s="15">
        <f t="shared" si="4"/>
        <v>1.752830049356854E-2</v>
      </c>
    </row>
    <row r="111" spans="1:2" x14ac:dyDescent="0.25">
      <c r="A111" s="13">
        <f t="shared" si="5"/>
        <v>-2.25</v>
      </c>
      <c r="B111" s="15">
        <f t="shared" si="4"/>
        <v>3.1739651835667418E-2</v>
      </c>
    </row>
    <row r="112" spans="1:2" x14ac:dyDescent="0.25">
      <c r="A112" s="13">
        <f t="shared" si="5"/>
        <v>-2</v>
      </c>
      <c r="B112" s="15">
        <f t="shared" si="4"/>
        <v>5.3990966513188063E-2</v>
      </c>
    </row>
    <row r="113" spans="1:2" x14ac:dyDescent="0.25">
      <c r="A113" s="13">
        <f t="shared" si="5"/>
        <v>-1.75</v>
      </c>
      <c r="B113" s="15">
        <f t="shared" si="4"/>
        <v>8.6277318826511532E-2</v>
      </c>
    </row>
    <row r="114" spans="1:2" x14ac:dyDescent="0.25">
      <c r="A114" s="13">
        <f t="shared" si="5"/>
        <v>-1.5</v>
      </c>
      <c r="B114" s="15">
        <f t="shared" si="4"/>
        <v>0.12951759566589174</v>
      </c>
    </row>
    <row r="115" spans="1:2" x14ac:dyDescent="0.25">
      <c r="A115" s="13">
        <f t="shared" si="5"/>
        <v>-1.25</v>
      </c>
      <c r="B115" s="15">
        <f t="shared" si="4"/>
        <v>0.18264908538902191</v>
      </c>
    </row>
    <row r="116" spans="1:2" x14ac:dyDescent="0.25">
      <c r="A116" s="13">
        <f t="shared" si="5"/>
        <v>-1</v>
      </c>
      <c r="B116" s="15">
        <f t="shared" si="4"/>
        <v>0.24197072451914337</v>
      </c>
    </row>
    <row r="117" spans="1:2" x14ac:dyDescent="0.25">
      <c r="A117" s="13">
        <f t="shared" si="5"/>
        <v>-0.75</v>
      </c>
      <c r="B117" s="15">
        <f t="shared" si="4"/>
        <v>0.30113743215480443</v>
      </c>
    </row>
    <row r="118" spans="1:2" x14ac:dyDescent="0.25">
      <c r="A118" s="13">
        <f t="shared" si="5"/>
        <v>-0.5</v>
      </c>
      <c r="B118" s="15">
        <f t="shared" si="4"/>
        <v>0.35206532676429952</v>
      </c>
    </row>
    <row r="119" spans="1:2" x14ac:dyDescent="0.25">
      <c r="A119" s="13">
        <f t="shared" si="5"/>
        <v>-0.25</v>
      </c>
      <c r="B119" s="15">
        <f t="shared" si="4"/>
        <v>0.38666811680284924</v>
      </c>
    </row>
    <row r="120" spans="1:2" x14ac:dyDescent="0.25">
      <c r="A120" s="13">
        <f t="shared" si="5"/>
        <v>0</v>
      </c>
      <c r="B120" s="15">
        <f t="shared" si="4"/>
        <v>0.3989422804014327</v>
      </c>
    </row>
    <row r="121" spans="1:2" x14ac:dyDescent="0.25">
      <c r="A121" s="13">
        <f t="shared" si="5"/>
        <v>0.25</v>
      </c>
      <c r="B121" s="15">
        <f t="shared" si="4"/>
        <v>0.38666811680284924</v>
      </c>
    </row>
    <row r="122" spans="1:2" x14ac:dyDescent="0.25">
      <c r="A122" s="13">
        <f t="shared" si="5"/>
        <v>0.5</v>
      </c>
      <c r="B122" s="15">
        <f t="shared" si="4"/>
        <v>0.35206532676429952</v>
      </c>
    </row>
    <row r="123" spans="1:2" x14ac:dyDescent="0.25">
      <c r="A123" s="13">
        <f t="shared" si="5"/>
        <v>0.75</v>
      </c>
      <c r="B123" s="15">
        <f t="shared" si="4"/>
        <v>0.30113743215480443</v>
      </c>
    </row>
    <row r="124" spans="1:2" x14ac:dyDescent="0.25">
      <c r="A124" s="13">
        <f t="shared" si="5"/>
        <v>1</v>
      </c>
      <c r="B124" s="15">
        <f t="shared" si="4"/>
        <v>0.24197072451914337</v>
      </c>
    </row>
    <row r="125" spans="1:2" x14ac:dyDescent="0.25">
      <c r="A125" s="13">
        <f t="shared" si="5"/>
        <v>1.25</v>
      </c>
      <c r="B125" s="15">
        <f t="shared" si="4"/>
        <v>0.18264908538902191</v>
      </c>
    </row>
    <row r="126" spans="1:2" x14ac:dyDescent="0.25">
      <c r="A126" s="13">
        <f t="shared" si="5"/>
        <v>1.5</v>
      </c>
      <c r="B126" s="15">
        <f t="shared" si="4"/>
        <v>0.12951759566589174</v>
      </c>
    </row>
    <row r="127" spans="1:2" x14ac:dyDescent="0.25">
      <c r="A127" s="13">
        <f t="shared" si="5"/>
        <v>1.75</v>
      </c>
      <c r="B127" s="15">
        <f t="shared" si="4"/>
        <v>8.6277318826511532E-2</v>
      </c>
    </row>
    <row r="128" spans="1:2" x14ac:dyDescent="0.25">
      <c r="A128" s="13">
        <f t="shared" si="5"/>
        <v>2</v>
      </c>
      <c r="B128" s="15">
        <f t="shared" si="4"/>
        <v>5.3990966513188063E-2</v>
      </c>
    </row>
    <row r="129" spans="1:3" x14ac:dyDescent="0.25">
      <c r="A129" s="13">
        <f t="shared" si="5"/>
        <v>2.25</v>
      </c>
      <c r="B129" s="15">
        <f t="shared" si="4"/>
        <v>3.1739651835667418E-2</v>
      </c>
    </row>
    <row r="130" spans="1:3" x14ac:dyDescent="0.25">
      <c r="A130" s="13">
        <f t="shared" si="5"/>
        <v>2.5</v>
      </c>
      <c r="B130" s="15">
        <f t="shared" si="4"/>
        <v>1.752830049356854E-2</v>
      </c>
    </row>
    <row r="131" spans="1:3" x14ac:dyDescent="0.25">
      <c r="A131" s="13">
        <f t="shared" si="5"/>
        <v>2.75</v>
      </c>
      <c r="B131" s="15">
        <f t="shared" si="4"/>
        <v>9.0935625015910529E-3</v>
      </c>
    </row>
    <row r="132" spans="1:3" x14ac:dyDescent="0.25">
      <c r="A132" s="13">
        <f t="shared" si="5"/>
        <v>3</v>
      </c>
      <c r="B132" s="15">
        <f t="shared" si="4"/>
        <v>4.4318484119380075E-3</v>
      </c>
    </row>
    <row r="133" spans="1:3" x14ac:dyDescent="0.25">
      <c r="A133" s="13">
        <f t="shared" si="5"/>
        <v>3.25</v>
      </c>
      <c r="B133" s="15">
        <f t="shared" si="4"/>
        <v>2.0290480572997681E-3</v>
      </c>
    </row>
    <row r="134" spans="1:3" x14ac:dyDescent="0.25">
      <c r="A134" s="13"/>
      <c r="B134" s="15"/>
    </row>
    <row r="135" spans="1:3" x14ac:dyDescent="0.25">
      <c r="A135" s="13" t="s">
        <v>94</v>
      </c>
      <c r="B135" s="15"/>
    </row>
    <row r="136" spans="1:3" x14ac:dyDescent="0.25">
      <c r="A136" s="13"/>
      <c r="B136" s="15"/>
    </row>
    <row r="137" spans="1:3" x14ac:dyDescent="0.25">
      <c r="A137" s="13" t="s">
        <v>95</v>
      </c>
      <c r="B137" s="15"/>
    </row>
    <row r="138" spans="1:3" x14ac:dyDescent="0.25">
      <c r="A138" s="13"/>
      <c r="B138" s="15"/>
    </row>
    <row r="139" spans="1:3" x14ac:dyDescent="0.25">
      <c r="B139" s="27" t="s">
        <v>96</v>
      </c>
      <c r="C139" s="22" t="s">
        <v>97</v>
      </c>
    </row>
    <row r="140" spans="1:3" x14ac:dyDescent="0.25">
      <c r="A140">
        <v>52</v>
      </c>
      <c r="B140" s="15">
        <f>NORMDIST(A140,100,16,FALSE)</f>
        <v>2.7699052574612547E-4</v>
      </c>
      <c r="C140" s="15">
        <f>NORMDIST(A140,116,16,FALSE)</f>
        <v>8.3643891103053355E-6</v>
      </c>
    </row>
    <row r="141" spans="1:3" x14ac:dyDescent="0.25">
      <c r="A141">
        <f>A140+4</f>
        <v>56</v>
      </c>
      <c r="B141" s="15">
        <f t="shared" ref="B141:B172" si="6">NORMDIST(A141,100,16,FALSE)</f>
        <v>5.6834765634944081E-4</v>
      </c>
      <c r="C141" s="15">
        <f t="shared" ref="C141:C148" si="7">NORMDIST(A141,116,16,FALSE)</f>
        <v>2.2037230147965338E-5</v>
      </c>
    </row>
    <row r="142" spans="1:3" x14ac:dyDescent="0.25">
      <c r="A142">
        <f t="shared" ref="A142:A148" si="8">A141+4</f>
        <v>60</v>
      </c>
      <c r="B142" s="15">
        <f t="shared" si="6"/>
        <v>1.0955187808480338E-3</v>
      </c>
      <c r="C142" s="15">
        <f t="shared" si="7"/>
        <v>5.454266844036001E-5</v>
      </c>
    </row>
    <row r="143" spans="1:3" x14ac:dyDescent="0.25">
      <c r="A143">
        <f t="shared" si="8"/>
        <v>64</v>
      </c>
      <c r="B143" s="15">
        <f t="shared" si="6"/>
        <v>1.9837282397292136E-3</v>
      </c>
      <c r="C143" s="15">
        <f t="shared" si="7"/>
        <v>1.2681550358123551E-4</v>
      </c>
    </row>
    <row r="144" spans="1:3" x14ac:dyDescent="0.25">
      <c r="A144">
        <f t="shared" si="8"/>
        <v>68</v>
      </c>
      <c r="B144" s="15">
        <f t="shared" si="6"/>
        <v>3.3744354070742539E-3</v>
      </c>
      <c r="C144" s="15">
        <f t="shared" si="7"/>
        <v>2.7699052574612547E-4</v>
      </c>
    </row>
    <row r="145" spans="1:3" x14ac:dyDescent="0.25">
      <c r="A145">
        <f t="shared" si="8"/>
        <v>72</v>
      </c>
      <c r="B145" s="15">
        <f t="shared" si="6"/>
        <v>5.3923324266569707E-3</v>
      </c>
      <c r="C145" s="15">
        <f t="shared" si="7"/>
        <v>5.6834765634944081E-4</v>
      </c>
    </row>
    <row r="146" spans="1:3" x14ac:dyDescent="0.25">
      <c r="A146">
        <f t="shared" si="8"/>
        <v>76</v>
      </c>
      <c r="B146" s="15">
        <f t="shared" si="6"/>
        <v>8.094849729118234E-3</v>
      </c>
      <c r="C146" s="15">
        <f t="shared" si="7"/>
        <v>1.0955187808480338E-3</v>
      </c>
    </row>
    <row r="147" spans="1:3" x14ac:dyDescent="0.25">
      <c r="A147">
        <f t="shared" si="8"/>
        <v>80</v>
      </c>
      <c r="B147" s="15">
        <f t="shared" si="6"/>
        <v>1.141556783681387E-2</v>
      </c>
      <c r="C147" s="15">
        <f t="shared" si="7"/>
        <v>1.9837282397292136E-3</v>
      </c>
    </row>
    <row r="148" spans="1:3" x14ac:dyDescent="0.25">
      <c r="A148">
        <f t="shared" si="8"/>
        <v>84</v>
      </c>
      <c r="B148" s="15">
        <f t="shared" si="6"/>
        <v>1.512317028244646E-2</v>
      </c>
      <c r="C148" s="15">
        <f t="shared" si="7"/>
        <v>3.3744354070742539E-3</v>
      </c>
    </row>
    <row r="149" spans="1:3" x14ac:dyDescent="0.25">
      <c r="A149">
        <f t="shared" ref="A149:A155" si="9">A148+4</f>
        <v>88</v>
      </c>
      <c r="B149" s="15">
        <f t="shared" si="6"/>
        <v>1.8821089509675277E-2</v>
      </c>
      <c r="C149" s="15">
        <f t="shared" ref="C149:C155" si="10">NORMDIST(A149,116,16,FALSE)</f>
        <v>5.3923324266569707E-3</v>
      </c>
    </row>
    <row r="150" spans="1:3" x14ac:dyDescent="0.25">
      <c r="A150">
        <f t="shared" si="9"/>
        <v>92</v>
      </c>
      <c r="B150" s="15">
        <f t="shared" si="6"/>
        <v>2.200408292276872E-2</v>
      </c>
      <c r="C150" s="15">
        <f t="shared" si="10"/>
        <v>8.094849729118234E-3</v>
      </c>
    </row>
    <row r="151" spans="1:3" x14ac:dyDescent="0.25">
      <c r="A151">
        <f t="shared" si="9"/>
        <v>96</v>
      </c>
      <c r="B151" s="15">
        <f t="shared" si="6"/>
        <v>2.4166757300178077E-2</v>
      </c>
      <c r="C151" s="15">
        <f t="shared" si="10"/>
        <v>1.141556783681387E-2</v>
      </c>
    </row>
    <row r="152" spans="1:3" x14ac:dyDescent="0.25">
      <c r="A152">
        <f t="shared" si="9"/>
        <v>100</v>
      </c>
      <c r="B152" s="15">
        <f t="shared" si="6"/>
        <v>2.4933892525089544E-2</v>
      </c>
      <c r="C152" s="15">
        <f t="shared" si="10"/>
        <v>1.512317028244646E-2</v>
      </c>
    </row>
    <row r="153" spans="1:3" x14ac:dyDescent="0.25">
      <c r="A153">
        <f t="shared" si="9"/>
        <v>104</v>
      </c>
      <c r="B153" s="15">
        <f t="shared" si="6"/>
        <v>2.4166757300178077E-2</v>
      </c>
      <c r="C153" s="15">
        <f t="shared" si="10"/>
        <v>1.8821089509675277E-2</v>
      </c>
    </row>
    <row r="154" spans="1:3" x14ac:dyDescent="0.25">
      <c r="A154">
        <f t="shared" si="9"/>
        <v>108</v>
      </c>
      <c r="B154" s="15">
        <f t="shared" si="6"/>
        <v>2.200408292276872E-2</v>
      </c>
      <c r="C154" s="15">
        <f t="shared" si="10"/>
        <v>2.200408292276872E-2</v>
      </c>
    </row>
    <row r="155" spans="1:3" x14ac:dyDescent="0.25">
      <c r="A155">
        <f t="shared" si="9"/>
        <v>112</v>
      </c>
      <c r="B155" s="15">
        <f t="shared" si="6"/>
        <v>1.8821089509675277E-2</v>
      </c>
      <c r="C155" s="15">
        <f t="shared" si="10"/>
        <v>2.4166757300178077E-2</v>
      </c>
    </row>
    <row r="156" spans="1:3" x14ac:dyDescent="0.25">
      <c r="A156">
        <f t="shared" ref="A156:A168" si="11">A155+4</f>
        <v>116</v>
      </c>
      <c r="B156" s="15">
        <f t="shared" si="6"/>
        <v>1.512317028244646E-2</v>
      </c>
      <c r="C156" s="15">
        <f t="shared" ref="C156:C168" si="12">NORMDIST(A156,116,16,FALSE)</f>
        <v>2.4933892525089544E-2</v>
      </c>
    </row>
    <row r="157" spans="1:3" x14ac:dyDescent="0.25">
      <c r="A157">
        <f t="shared" si="11"/>
        <v>120</v>
      </c>
      <c r="B157" s="15">
        <f t="shared" si="6"/>
        <v>1.141556783681387E-2</v>
      </c>
      <c r="C157" s="15">
        <f t="shared" si="12"/>
        <v>2.4166757300178077E-2</v>
      </c>
    </row>
    <row r="158" spans="1:3" x14ac:dyDescent="0.25">
      <c r="A158">
        <f t="shared" si="11"/>
        <v>124</v>
      </c>
      <c r="B158" s="15">
        <f t="shared" si="6"/>
        <v>8.094849729118234E-3</v>
      </c>
      <c r="C158" s="15">
        <f t="shared" si="12"/>
        <v>2.200408292276872E-2</v>
      </c>
    </row>
    <row r="159" spans="1:3" x14ac:dyDescent="0.25">
      <c r="A159">
        <f t="shared" si="11"/>
        <v>128</v>
      </c>
      <c r="B159" s="15">
        <f t="shared" si="6"/>
        <v>5.3923324266569707E-3</v>
      </c>
      <c r="C159" s="15">
        <f t="shared" si="12"/>
        <v>1.8821089509675277E-2</v>
      </c>
    </row>
    <row r="160" spans="1:3" x14ac:dyDescent="0.25">
      <c r="A160">
        <f t="shared" si="11"/>
        <v>132</v>
      </c>
      <c r="B160" s="15">
        <f t="shared" si="6"/>
        <v>3.3744354070742539E-3</v>
      </c>
      <c r="C160" s="15">
        <f t="shared" si="12"/>
        <v>1.512317028244646E-2</v>
      </c>
    </row>
    <row r="161" spans="1:3" x14ac:dyDescent="0.25">
      <c r="A161">
        <f t="shared" si="11"/>
        <v>136</v>
      </c>
      <c r="B161" s="15">
        <f t="shared" si="6"/>
        <v>1.9837282397292136E-3</v>
      </c>
      <c r="C161" s="15">
        <f t="shared" si="12"/>
        <v>1.141556783681387E-2</v>
      </c>
    </row>
    <row r="162" spans="1:3" x14ac:dyDescent="0.25">
      <c r="A162">
        <f t="shared" si="11"/>
        <v>140</v>
      </c>
      <c r="B162" s="15">
        <f t="shared" si="6"/>
        <v>1.0955187808480338E-3</v>
      </c>
      <c r="C162" s="15">
        <f t="shared" si="12"/>
        <v>8.094849729118234E-3</v>
      </c>
    </row>
    <row r="163" spans="1:3" x14ac:dyDescent="0.25">
      <c r="A163">
        <f t="shared" si="11"/>
        <v>144</v>
      </c>
      <c r="B163" s="15">
        <f t="shared" si="6"/>
        <v>5.6834765634944081E-4</v>
      </c>
      <c r="C163" s="15">
        <f t="shared" si="12"/>
        <v>5.3923324266569707E-3</v>
      </c>
    </row>
    <row r="164" spans="1:3" x14ac:dyDescent="0.25">
      <c r="A164">
        <f t="shared" si="11"/>
        <v>148</v>
      </c>
      <c r="B164" s="15">
        <f t="shared" si="6"/>
        <v>2.7699052574612547E-4</v>
      </c>
      <c r="C164" s="15">
        <f t="shared" si="12"/>
        <v>3.3744354070742539E-3</v>
      </c>
    </row>
    <row r="165" spans="1:3" x14ac:dyDescent="0.25">
      <c r="A165">
        <f t="shared" si="11"/>
        <v>152</v>
      </c>
      <c r="B165" s="15">
        <f t="shared" si="6"/>
        <v>1.2681550358123551E-4</v>
      </c>
      <c r="C165" s="15">
        <f t="shared" si="12"/>
        <v>1.9837282397292136E-3</v>
      </c>
    </row>
    <row r="166" spans="1:3" x14ac:dyDescent="0.25">
      <c r="A166">
        <f t="shared" si="11"/>
        <v>156</v>
      </c>
      <c r="B166" s="15">
        <f t="shared" si="6"/>
        <v>5.454266844036001E-5</v>
      </c>
      <c r="C166" s="15">
        <f t="shared" si="12"/>
        <v>1.0955187808480338E-3</v>
      </c>
    </row>
    <row r="167" spans="1:3" x14ac:dyDescent="0.25">
      <c r="A167">
        <f t="shared" si="11"/>
        <v>160</v>
      </c>
      <c r="B167" s="15">
        <f t="shared" si="6"/>
        <v>2.2037230147965338E-5</v>
      </c>
      <c r="C167" s="15">
        <f t="shared" si="12"/>
        <v>5.6834765634944081E-4</v>
      </c>
    </row>
    <row r="168" spans="1:3" x14ac:dyDescent="0.25">
      <c r="A168">
        <f t="shared" si="11"/>
        <v>164</v>
      </c>
      <c r="B168" s="15">
        <f t="shared" si="6"/>
        <v>8.3643891103053355E-6</v>
      </c>
      <c r="C168" s="15">
        <f t="shared" si="12"/>
        <v>2.7699052574612547E-4</v>
      </c>
    </row>
    <row r="169" spans="1:3" x14ac:dyDescent="0.25">
      <c r="A169">
        <f>A168+4</f>
        <v>168</v>
      </c>
      <c r="B169" s="15">
        <f t="shared" si="6"/>
        <v>2.9824147838253095E-6</v>
      </c>
      <c r="C169" s="15">
        <f>NORMDIST(A169,116,16,FALSE)</f>
        <v>1.2681550358123551E-4</v>
      </c>
    </row>
    <row r="170" spans="1:3" x14ac:dyDescent="0.25">
      <c r="A170">
        <f>A169+4</f>
        <v>172</v>
      </c>
      <c r="B170" s="15">
        <f t="shared" si="6"/>
        <v>9.9898381918159216E-7</v>
      </c>
      <c r="C170" s="15">
        <f>NORMDIST(A170,116,16,FALSE)</f>
        <v>5.454266844036001E-5</v>
      </c>
    </row>
    <row r="171" spans="1:3" x14ac:dyDescent="0.25">
      <c r="A171">
        <f>A170+4</f>
        <v>176</v>
      </c>
      <c r="B171" s="15">
        <f t="shared" si="6"/>
        <v>3.1434420553702784E-7</v>
      </c>
      <c r="C171" s="15">
        <f>NORMDIST(A171,116,16,FALSE)</f>
        <v>2.2037230147965338E-5</v>
      </c>
    </row>
    <row r="172" spans="1:3" x14ac:dyDescent="0.25">
      <c r="A172">
        <f>A171+4</f>
        <v>180</v>
      </c>
      <c r="B172" s="15">
        <f t="shared" si="6"/>
        <v>9.2919969670893605E-8</v>
      </c>
      <c r="C172" s="15">
        <f>NORMDIST(A172,116,16,FALSE)</f>
        <v>8.3643891103053355E-6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/>
  <dimension ref="A1:C11"/>
  <sheetViews>
    <sheetView workbookViewId="0">
      <selection activeCell="B11" sqref="B11"/>
    </sheetView>
  </sheetViews>
  <sheetFormatPr defaultRowHeight="15" x14ac:dyDescent="0.25"/>
  <cols>
    <col min="1" max="1" width="13.42578125" customWidth="1"/>
  </cols>
  <sheetData>
    <row r="1" spans="1:3" x14ac:dyDescent="0.25">
      <c r="A1" s="1" t="s">
        <v>91</v>
      </c>
    </row>
    <row r="3" spans="1:3" x14ac:dyDescent="0.25">
      <c r="A3" t="s">
        <v>48</v>
      </c>
      <c r="B3" s="45">
        <v>150</v>
      </c>
    </row>
    <row r="4" spans="1:3" x14ac:dyDescent="0.25">
      <c r="A4" t="s">
        <v>104</v>
      </c>
      <c r="B4" s="46">
        <v>25</v>
      </c>
    </row>
    <row r="6" spans="1:3" x14ac:dyDescent="0.25">
      <c r="A6" t="s">
        <v>120</v>
      </c>
      <c r="B6" s="45">
        <v>145</v>
      </c>
    </row>
    <row r="7" spans="1:3" x14ac:dyDescent="0.25">
      <c r="A7" t="s">
        <v>121</v>
      </c>
      <c r="B7" s="46">
        <v>155</v>
      </c>
    </row>
    <row r="9" spans="1:3" x14ac:dyDescent="0.25">
      <c r="A9" t="s">
        <v>122</v>
      </c>
      <c r="B9" s="45">
        <f>_xlfn.NORM.DIST(B6,B3,B4,TRUE)</f>
        <v>0.42074029056089696</v>
      </c>
      <c r="C9" s="14" t="s">
        <v>222</v>
      </c>
    </row>
    <row r="10" spans="1:3" x14ac:dyDescent="0.25">
      <c r="A10" t="s">
        <v>123</v>
      </c>
      <c r="B10" s="47">
        <f>_xlfn.NORM.DIST(B7,B3,B4,TRUE)</f>
        <v>0.57925970943910299</v>
      </c>
      <c r="C10" s="14" t="s">
        <v>221</v>
      </c>
    </row>
    <row r="11" spans="1:3" x14ac:dyDescent="0.25">
      <c r="A11" t="s">
        <v>124</v>
      </c>
      <c r="B11" s="46">
        <f>B10-B9</f>
        <v>0.15851941887820603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8"/>
  <dimension ref="A1:H11"/>
  <sheetViews>
    <sheetView workbookViewId="0">
      <selection activeCell="H4" sqref="H4"/>
    </sheetView>
  </sheetViews>
  <sheetFormatPr defaultRowHeight="15" x14ac:dyDescent="0.25"/>
  <cols>
    <col min="1" max="1" width="5.85546875" customWidth="1"/>
    <col min="2" max="3" width="5.5703125" customWidth="1"/>
    <col min="4" max="4" width="5.85546875" customWidth="1"/>
    <col min="6" max="6" width="5.28515625" customWidth="1"/>
    <col min="7" max="7" width="2.7109375" customWidth="1"/>
    <col min="8" max="8" width="29.28515625" customWidth="1"/>
  </cols>
  <sheetData>
    <row r="1" spans="1:8" x14ac:dyDescent="0.25">
      <c r="A1" s="1" t="s">
        <v>205</v>
      </c>
    </row>
    <row r="3" spans="1:8" x14ac:dyDescent="0.25">
      <c r="B3" s="12" t="s">
        <v>18</v>
      </c>
      <c r="C3" s="12" t="s">
        <v>206</v>
      </c>
    </row>
    <row r="4" spans="1:8" x14ac:dyDescent="0.25">
      <c r="A4">
        <v>1</v>
      </c>
      <c r="B4" s="3">
        <v>1</v>
      </c>
      <c r="C4" s="5">
        <v>0</v>
      </c>
      <c r="E4" t="s">
        <v>113</v>
      </c>
      <c r="F4" s="115">
        <f>_xlfn.COVARIANCE.P(B4:B11,C4:C11)</f>
        <v>0</v>
      </c>
      <c r="H4" s="14" t="s">
        <v>281</v>
      </c>
    </row>
    <row r="5" spans="1:8" x14ac:dyDescent="0.25">
      <c r="A5">
        <f t="shared" ref="A5:A11" si="0">A4+1</f>
        <v>2</v>
      </c>
      <c r="B5" s="6">
        <f>-B4</f>
        <v>-1</v>
      </c>
      <c r="C5" s="49">
        <v>1</v>
      </c>
    </row>
    <row r="6" spans="1:8" x14ac:dyDescent="0.25">
      <c r="A6">
        <f t="shared" si="0"/>
        <v>3</v>
      </c>
      <c r="B6" s="6">
        <f t="shared" ref="B6:B11" si="1">-B5</f>
        <v>1</v>
      </c>
      <c r="C6" s="49">
        <v>0</v>
      </c>
    </row>
    <row r="7" spans="1:8" x14ac:dyDescent="0.25">
      <c r="A7">
        <f t="shared" si="0"/>
        <v>4</v>
      </c>
      <c r="B7" s="6">
        <f t="shared" si="1"/>
        <v>-1</v>
      </c>
      <c r="C7" s="49">
        <v>-1</v>
      </c>
    </row>
    <row r="8" spans="1:8" x14ac:dyDescent="0.25">
      <c r="A8">
        <f t="shared" si="0"/>
        <v>5</v>
      </c>
      <c r="B8" s="6">
        <f t="shared" si="1"/>
        <v>1</v>
      </c>
      <c r="C8" s="49">
        <v>0</v>
      </c>
    </row>
    <row r="9" spans="1:8" x14ac:dyDescent="0.25">
      <c r="A9">
        <f t="shared" si="0"/>
        <v>6</v>
      </c>
      <c r="B9" s="6">
        <f t="shared" si="1"/>
        <v>-1</v>
      </c>
      <c r="C9" s="49">
        <v>1</v>
      </c>
    </row>
    <row r="10" spans="1:8" x14ac:dyDescent="0.25">
      <c r="A10">
        <f t="shared" si="0"/>
        <v>7</v>
      </c>
      <c r="B10" s="6">
        <f t="shared" si="1"/>
        <v>1</v>
      </c>
      <c r="C10" s="49">
        <v>0</v>
      </c>
    </row>
    <row r="11" spans="1:8" x14ac:dyDescent="0.25">
      <c r="A11">
        <f t="shared" si="0"/>
        <v>8</v>
      </c>
      <c r="B11" s="43">
        <f t="shared" si="1"/>
        <v>-1</v>
      </c>
      <c r="C11" s="44">
        <v>-1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1"/>
  <dimension ref="A1:G12"/>
  <sheetViews>
    <sheetView workbookViewId="0">
      <selection activeCell="G10" sqref="G10"/>
    </sheetView>
  </sheetViews>
  <sheetFormatPr defaultRowHeight="15" x14ac:dyDescent="0.25"/>
  <cols>
    <col min="2" max="2" width="11.85546875" customWidth="1"/>
    <col min="3" max="3" width="12.28515625" customWidth="1"/>
    <col min="6" max="7" width="11.28515625" customWidth="1"/>
  </cols>
  <sheetData>
    <row r="1" spans="1:7" x14ac:dyDescent="0.25">
      <c r="A1" s="1" t="s">
        <v>157</v>
      </c>
    </row>
    <row r="3" spans="1:7" x14ac:dyDescent="0.25">
      <c r="A3" t="s">
        <v>158</v>
      </c>
      <c r="B3" t="s">
        <v>160</v>
      </c>
      <c r="C3" t="s">
        <v>159</v>
      </c>
      <c r="E3" t="s">
        <v>158</v>
      </c>
      <c r="F3" t="s">
        <v>160</v>
      </c>
      <c r="G3" t="s">
        <v>159</v>
      </c>
    </row>
    <row r="4" spans="1:7" x14ac:dyDescent="0.25">
      <c r="A4" s="110">
        <v>1</v>
      </c>
      <c r="B4" s="73">
        <v>0.02</v>
      </c>
      <c r="C4" s="74">
        <v>5.6000000000000001E-2</v>
      </c>
      <c r="E4" s="110">
        <v>1</v>
      </c>
      <c r="F4" s="73">
        <v>0.02</v>
      </c>
      <c r="G4" s="74">
        <v>5.6000000000000001E-2</v>
      </c>
    </row>
    <row r="5" spans="1:7" x14ac:dyDescent="0.25">
      <c r="A5" s="110">
        <f t="shared" ref="A5:A10" si="0">A4+1</f>
        <v>2</v>
      </c>
      <c r="B5" s="75">
        <v>-0.04</v>
      </c>
      <c r="C5" s="76">
        <v>6.9000000000000006E-2</v>
      </c>
      <c r="E5" s="110">
        <v>2</v>
      </c>
      <c r="F5" s="75">
        <v>-0.04</v>
      </c>
      <c r="G5" s="76">
        <v>6.9000000000000006E-2</v>
      </c>
    </row>
    <row r="6" spans="1:7" x14ac:dyDescent="0.25">
      <c r="A6" s="110">
        <f t="shared" si="0"/>
        <v>3</v>
      </c>
      <c r="B6" s="75">
        <v>0.12</v>
      </c>
      <c r="C6" s="76">
        <v>0.25</v>
      </c>
      <c r="E6" s="110">
        <v>3</v>
      </c>
      <c r="F6" s="75">
        <v>0.12</v>
      </c>
      <c r="G6" s="76">
        <v>0.25</v>
      </c>
    </row>
    <row r="7" spans="1:7" x14ac:dyDescent="0.25">
      <c r="A7" s="110">
        <f t="shared" si="0"/>
        <v>4</v>
      </c>
      <c r="B7" s="79">
        <v>0.45</v>
      </c>
      <c r="C7" s="49"/>
      <c r="E7" s="110">
        <v>5</v>
      </c>
      <c r="F7" s="75">
        <v>0.25</v>
      </c>
      <c r="G7" s="76">
        <v>0.62</v>
      </c>
    </row>
    <row r="8" spans="1:7" x14ac:dyDescent="0.25">
      <c r="A8" s="110">
        <f t="shared" si="0"/>
        <v>5</v>
      </c>
      <c r="B8" s="75">
        <v>0.25</v>
      </c>
      <c r="C8" s="76">
        <v>0.62</v>
      </c>
      <c r="E8" s="110">
        <v>7</v>
      </c>
      <c r="F8" s="77">
        <v>0.08</v>
      </c>
      <c r="G8" s="78">
        <v>0.18</v>
      </c>
    </row>
    <row r="9" spans="1:7" x14ac:dyDescent="0.25">
      <c r="A9" s="110">
        <f t="shared" si="0"/>
        <v>6</v>
      </c>
      <c r="B9" s="48"/>
      <c r="C9" s="80">
        <v>0.35</v>
      </c>
    </row>
    <row r="10" spans="1:7" x14ac:dyDescent="0.25">
      <c r="A10" s="110">
        <f t="shared" si="0"/>
        <v>7</v>
      </c>
      <c r="B10" s="77">
        <v>0.08</v>
      </c>
      <c r="C10" s="78">
        <v>0.18</v>
      </c>
      <c r="F10" t="s">
        <v>110</v>
      </c>
      <c r="G10">
        <f>CORREL(F4:F8,G4:G8)</f>
        <v>0.95761867712197379</v>
      </c>
    </row>
    <row r="12" spans="1:7" x14ac:dyDescent="0.25">
      <c r="B12" t="s">
        <v>110</v>
      </c>
      <c r="C12">
        <f>CORREL(B4:B10,C4:C10)</f>
        <v>0.95761867712197379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C57"/>
  <sheetViews>
    <sheetView topLeftCell="A40" zoomScaleNormal="100" workbookViewId="0">
      <selection activeCell="C43" sqref="C43"/>
    </sheetView>
  </sheetViews>
  <sheetFormatPr defaultRowHeight="15" x14ac:dyDescent="0.25"/>
  <cols>
    <col min="1" max="2" width="8.5703125" customWidth="1"/>
  </cols>
  <sheetData>
    <row r="1" spans="1:3" x14ac:dyDescent="0.25">
      <c r="A1" s="1" t="s">
        <v>108</v>
      </c>
    </row>
    <row r="2" spans="1:3" x14ac:dyDescent="0.25">
      <c r="A2" s="1"/>
    </row>
    <row r="3" spans="1:3" x14ac:dyDescent="0.25">
      <c r="A3" s="63" t="s">
        <v>17</v>
      </c>
      <c r="B3" s="63" t="s">
        <v>107</v>
      </c>
    </row>
    <row r="4" spans="1:3" x14ac:dyDescent="0.25">
      <c r="A4" s="59">
        <v>2</v>
      </c>
      <c r="B4" s="59">
        <v>2</v>
      </c>
    </row>
    <row r="5" spans="1:3" x14ac:dyDescent="0.25">
      <c r="A5" s="59">
        <v>4</v>
      </c>
      <c r="B5" s="59">
        <v>4</v>
      </c>
    </row>
    <row r="6" spans="1:3" x14ac:dyDescent="0.25">
      <c r="A6" s="59">
        <v>7</v>
      </c>
      <c r="B6" s="59">
        <v>10</v>
      </c>
    </row>
    <row r="7" spans="1:3" x14ac:dyDescent="0.25">
      <c r="A7" s="59">
        <v>5</v>
      </c>
      <c r="B7" s="59">
        <v>8</v>
      </c>
    </row>
    <row r="8" spans="1:3" x14ac:dyDescent="0.25">
      <c r="A8" s="59">
        <v>8</v>
      </c>
      <c r="B8" s="59">
        <v>12</v>
      </c>
    </row>
    <row r="9" spans="1:3" x14ac:dyDescent="0.25">
      <c r="A9" s="59">
        <v>6</v>
      </c>
      <c r="B9" s="59">
        <f>A9*2-3</f>
        <v>9</v>
      </c>
    </row>
    <row r="10" spans="1:3" x14ac:dyDescent="0.25">
      <c r="A10" s="59">
        <v>9</v>
      </c>
      <c r="B10" s="59">
        <v>16</v>
      </c>
    </row>
    <row r="11" spans="1:3" x14ac:dyDescent="0.25">
      <c r="A11" s="59">
        <v>12</v>
      </c>
      <c r="B11" s="59">
        <f>A11*2-3</f>
        <v>21</v>
      </c>
    </row>
    <row r="12" spans="1:3" x14ac:dyDescent="0.25">
      <c r="A12" s="59">
        <v>3</v>
      </c>
      <c r="B12" s="59">
        <v>6</v>
      </c>
    </row>
    <row r="13" spans="1:3" x14ac:dyDescent="0.25">
      <c r="A13" s="60">
        <v>10</v>
      </c>
      <c r="B13" s="60">
        <v>15</v>
      </c>
    </row>
    <row r="15" spans="1:3" x14ac:dyDescent="0.25">
      <c r="A15" t="s">
        <v>109</v>
      </c>
      <c r="C15" s="51">
        <f>CORREL(A4:A13,B4:B13)</f>
        <v>0.97634993655136637</v>
      </c>
    </row>
    <row r="17" spans="1:3" x14ac:dyDescent="0.25">
      <c r="A17" s="63" t="s">
        <v>17</v>
      </c>
      <c r="B17" s="63" t="s">
        <v>107</v>
      </c>
    </row>
    <row r="18" spans="1:3" x14ac:dyDescent="0.25">
      <c r="A18" s="59">
        <v>2</v>
      </c>
      <c r="B18" s="59">
        <v>3</v>
      </c>
    </row>
    <row r="19" spans="1:3" x14ac:dyDescent="0.25">
      <c r="A19" s="59">
        <v>4</v>
      </c>
      <c r="B19" s="59">
        <v>6</v>
      </c>
    </row>
    <row r="20" spans="1:3" x14ac:dyDescent="0.25">
      <c r="A20" s="59">
        <v>7</v>
      </c>
      <c r="B20" s="59">
        <v>12</v>
      </c>
    </row>
    <row r="21" spans="1:3" x14ac:dyDescent="0.25">
      <c r="A21" s="59">
        <v>5</v>
      </c>
      <c r="B21" s="59">
        <v>15</v>
      </c>
    </row>
    <row r="22" spans="1:3" x14ac:dyDescent="0.25">
      <c r="A22" s="59">
        <v>8</v>
      </c>
      <c r="B22" s="59">
        <v>15</v>
      </c>
    </row>
    <row r="23" spans="1:3" x14ac:dyDescent="0.25">
      <c r="A23" s="59">
        <v>6</v>
      </c>
      <c r="B23" s="59">
        <v>21</v>
      </c>
    </row>
    <row r="24" spans="1:3" x14ac:dyDescent="0.25">
      <c r="A24" s="59">
        <v>9</v>
      </c>
      <c r="B24" s="59">
        <v>15</v>
      </c>
    </row>
    <row r="25" spans="1:3" x14ac:dyDescent="0.25">
      <c r="A25" s="59">
        <v>12</v>
      </c>
      <c r="B25" s="59">
        <v>8</v>
      </c>
    </row>
    <row r="26" spans="1:3" x14ac:dyDescent="0.25">
      <c r="A26" s="59">
        <v>3</v>
      </c>
      <c r="B26" s="59">
        <v>3</v>
      </c>
    </row>
    <row r="27" spans="1:3" x14ac:dyDescent="0.25">
      <c r="A27" s="60">
        <v>10</v>
      </c>
      <c r="B27" s="60">
        <v>7</v>
      </c>
    </row>
    <row r="29" spans="1:3" x14ac:dyDescent="0.25">
      <c r="A29" t="s">
        <v>109</v>
      </c>
      <c r="C29" s="51">
        <f>CORREL(A18:A27,B18:B27)</f>
        <v>0.30030323280047089</v>
      </c>
    </row>
    <row r="31" spans="1:3" x14ac:dyDescent="0.25">
      <c r="A31" s="63" t="s">
        <v>17</v>
      </c>
      <c r="B31" s="63" t="s">
        <v>107</v>
      </c>
    </row>
    <row r="32" spans="1:3" x14ac:dyDescent="0.25">
      <c r="A32" s="59">
        <v>2</v>
      </c>
      <c r="B32" s="59">
        <v>21</v>
      </c>
    </row>
    <row r="33" spans="1:3" x14ac:dyDescent="0.25">
      <c r="A33" s="59">
        <v>4</v>
      </c>
      <c r="B33" s="59">
        <v>13</v>
      </c>
    </row>
    <row r="34" spans="1:3" x14ac:dyDescent="0.25">
      <c r="A34" s="59">
        <v>7</v>
      </c>
      <c r="B34" s="59">
        <v>7</v>
      </c>
    </row>
    <row r="35" spans="1:3" x14ac:dyDescent="0.25">
      <c r="A35" s="59">
        <v>5</v>
      </c>
      <c r="B35" s="59">
        <v>8</v>
      </c>
    </row>
    <row r="36" spans="1:3" x14ac:dyDescent="0.25">
      <c r="A36" s="59">
        <v>8</v>
      </c>
      <c r="B36" s="59">
        <v>10</v>
      </c>
    </row>
    <row r="37" spans="1:3" x14ac:dyDescent="0.25">
      <c r="A37" s="59">
        <v>6</v>
      </c>
      <c r="B37" s="59">
        <v>9</v>
      </c>
    </row>
    <row r="38" spans="1:3" x14ac:dyDescent="0.25">
      <c r="A38" s="59">
        <v>9</v>
      </c>
      <c r="B38" s="59">
        <v>6</v>
      </c>
    </row>
    <row r="39" spans="1:3" x14ac:dyDescent="0.25">
      <c r="A39" s="59">
        <v>12</v>
      </c>
      <c r="B39" s="59">
        <v>1</v>
      </c>
    </row>
    <row r="40" spans="1:3" x14ac:dyDescent="0.25">
      <c r="A40" s="59">
        <v>3</v>
      </c>
      <c r="B40" s="59">
        <f>20-A40*2</f>
        <v>14</v>
      </c>
    </row>
    <row r="41" spans="1:3" x14ac:dyDescent="0.25">
      <c r="A41" s="60">
        <v>10</v>
      </c>
      <c r="B41" s="60">
        <v>4</v>
      </c>
    </row>
    <row r="43" spans="1:3" x14ac:dyDescent="0.25">
      <c r="A43" t="s">
        <v>109</v>
      </c>
      <c r="C43" s="51">
        <f>CORREL(A32:A41,B32:B41)</f>
        <v>-0.91200100405576845</v>
      </c>
    </row>
    <row r="45" spans="1:3" x14ac:dyDescent="0.25">
      <c r="A45" s="63" t="s">
        <v>17</v>
      </c>
      <c r="B45" s="63" t="s">
        <v>107</v>
      </c>
    </row>
    <row r="46" spans="1:3" x14ac:dyDescent="0.25">
      <c r="A46" s="59">
        <v>2</v>
      </c>
      <c r="B46" s="59">
        <v>3</v>
      </c>
    </row>
    <row r="47" spans="1:3" x14ac:dyDescent="0.25">
      <c r="A47" s="59">
        <v>4</v>
      </c>
      <c r="B47" s="59">
        <v>6</v>
      </c>
    </row>
    <row r="48" spans="1:3" x14ac:dyDescent="0.25">
      <c r="A48" s="59">
        <v>7</v>
      </c>
      <c r="B48" s="59">
        <v>5</v>
      </c>
    </row>
    <row r="49" spans="1:3" x14ac:dyDescent="0.25">
      <c r="A49" s="59">
        <v>5</v>
      </c>
      <c r="B49" s="59">
        <v>21</v>
      </c>
    </row>
    <row r="50" spans="1:3" x14ac:dyDescent="0.25">
      <c r="A50" s="59">
        <v>8</v>
      </c>
      <c r="B50" s="59">
        <v>12</v>
      </c>
    </row>
    <row r="51" spans="1:3" x14ac:dyDescent="0.25">
      <c r="A51" s="59">
        <v>6</v>
      </c>
      <c r="B51" s="59">
        <v>14</v>
      </c>
    </row>
    <row r="52" spans="1:3" x14ac:dyDescent="0.25">
      <c r="A52" s="59">
        <v>9</v>
      </c>
      <c r="B52" s="59">
        <v>2</v>
      </c>
    </row>
    <row r="53" spans="1:3" x14ac:dyDescent="0.25">
      <c r="A53" s="59">
        <v>12</v>
      </c>
      <c r="B53" s="59">
        <v>16</v>
      </c>
    </row>
    <row r="54" spans="1:3" x14ac:dyDescent="0.25">
      <c r="A54" s="59">
        <v>3</v>
      </c>
      <c r="B54" s="59">
        <v>12</v>
      </c>
    </row>
    <row r="55" spans="1:3" x14ac:dyDescent="0.25">
      <c r="A55" s="60">
        <v>10</v>
      </c>
      <c r="B55" s="60">
        <v>5</v>
      </c>
    </row>
    <row r="57" spans="1:3" x14ac:dyDescent="0.25">
      <c r="A57" t="s">
        <v>109</v>
      </c>
      <c r="C57" s="51">
        <f>CORREL(A46:A55,B46:B55)</f>
        <v>6.8139932506416284E-2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9"/>
  <dimension ref="A1:B15"/>
  <sheetViews>
    <sheetView workbookViewId="0">
      <selection activeCell="P24" sqref="P24"/>
    </sheetView>
  </sheetViews>
  <sheetFormatPr defaultRowHeight="15" x14ac:dyDescent="0.25"/>
  <sheetData>
    <row r="1" spans="1:2" x14ac:dyDescent="0.25">
      <c r="A1" s="1" t="s">
        <v>207</v>
      </c>
    </row>
    <row r="3" spans="1:2" x14ac:dyDescent="0.25">
      <c r="A3" s="63" t="s">
        <v>17</v>
      </c>
      <c r="B3" s="63" t="s">
        <v>107</v>
      </c>
    </row>
    <row r="4" spans="1:2" x14ac:dyDescent="0.25">
      <c r="A4" s="113">
        <v>2</v>
      </c>
      <c r="B4" s="113">
        <v>66</v>
      </c>
    </row>
    <row r="5" spans="1:2" x14ac:dyDescent="0.25">
      <c r="A5" s="113">
        <v>4</v>
      </c>
      <c r="B5" s="113">
        <v>16</v>
      </c>
    </row>
    <row r="6" spans="1:2" x14ac:dyDescent="0.25">
      <c r="A6" s="113">
        <v>7</v>
      </c>
      <c r="B6" s="113">
        <v>45</v>
      </c>
    </row>
    <row r="7" spans="1:2" x14ac:dyDescent="0.25">
      <c r="A7" s="113">
        <v>5</v>
      </c>
      <c r="B7" s="113">
        <v>15</v>
      </c>
    </row>
    <row r="8" spans="1:2" x14ac:dyDescent="0.25">
      <c r="A8" s="113">
        <v>8</v>
      </c>
      <c r="B8" s="113">
        <v>68</v>
      </c>
    </row>
    <row r="9" spans="1:2" x14ac:dyDescent="0.25">
      <c r="A9" s="113">
        <v>6</v>
      </c>
      <c r="B9" s="113">
        <v>23</v>
      </c>
    </row>
    <row r="10" spans="1:2" x14ac:dyDescent="0.25">
      <c r="A10" s="113">
        <v>9</v>
      </c>
      <c r="B10" s="113">
        <v>78</v>
      </c>
    </row>
    <row r="11" spans="1:2" x14ac:dyDescent="0.25">
      <c r="A11" s="113">
        <v>8</v>
      </c>
      <c r="B11" s="113">
        <v>62</v>
      </c>
    </row>
    <row r="12" spans="1:2" x14ac:dyDescent="0.25">
      <c r="A12" s="113">
        <v>3</v>
      </c>
      <c r="B12" s="113">
        <v>36</v>
      </c>
    </row>
    <row r="13" spans="1:2" x14ac:dyDescent="0.25">
      <c r="A13" s="114">
        <v>10</v>
      </c>
      <c r="B13" s="114">
        <v>93</v>
      </c>
    </row>
    <row r="15" spans="1:2" x14ac:dyDescent="0.25">
      <c r="B15">
        <f>CORREL(A4:A13,B4:B13)</f>
        <v>0.60045294712212205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Bar Chart</vt:lpstr>
      <vt:lpstr>Line Chart</vt:lpstr>
      <vt:lpstr>Line Chart 2</vt:lpstr>
      <vt:lpstr>Scatter Chart</vt:lpstr>
      <vt:lpstr>Central</vt:lpstr>
      <vt:lpstr>Geo Mean</vt:lpstr>
      <vt:lpstr>Var</vt:lpstr>
      <vt:lpstr>SKEW</vt:lpstr>
      <vt:lpstr>Desc 1</vt:lpstr>
      <vt:lpstr>Desc 2</vt:lpstr>
      <vt:lpstr>Frequency</vt:lpstr>
      <vt:lpstr>Prob 1</vt:lpstr>
      <vt:lpstr>Prob 2</vt:lpstr>
      <vt:lpstr>Histogram</vt:lpstr>
      <vt:lpstr>Joint and Marginals 1</vt:lpstr>
      <vt:lpstr>Joint and Marginals 2</vt:lpstr>
      <vt:lpstr>Joint and Marginals 3</vt:lpstr>
      <vt:lpstr>Binomial</vt:lpstr>
      <vt:lpstr>Binomial Examples</vt:lpstr>
      <vt:lpstr>Binomial and Normal</vt:lpstr>
      <vt:lpstr>Poisson</vt:lpstr>
      <vt:lpstr>Poisson Examples</vt:lpstr>
      <vt:lpstr>Uniform</vt:lpstr>
      <vt:lpstr>Exponential Distribution</vt:lpstr>
      <vt:lpstr>Normal 1</vt:lpstr>
      <vt:lpstr>Normal 2</vt:lpstr>
      <vt:lpstr>Cov</vt:lpstr>
      <vt:lpstr>Corr</vt:lpstr>
      <vt:lpstr>Corr Scatter</vt:lpstr>
      <vt:lpstr>Corr Scatter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Panagiotis Th. Konstantinou</cp:lastModifiedBy>
  <cp:lastPrinted>2015-05-22T15:20:10Z</cp:lastPrinted>
  <dcterms:created xsi:type="dcterms:W3CDTF">2011-12-03T11:22:59Z</dcterms:created>
  <dcterms:modified xsi:type="dcterms:W3CDTF">2015-09-01T12:35:33Z</dcterms:modified>
</cp:coreProperties>
</file>