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900" yWindow="2240" windowWidth="19320" windowHeight="19180" activeTab="0"/>
  </bookViews>
  <sheets>
    <sheet name="DDM" sheetId="1" r:id="rId1"/>
    <sheet name="FCFE 1" sheetId="2" r:id="rId2"/>
    <sheet name="FCFE 2" sheetId="3" r:id="rId3"/>
  </sheets>
  <definedNames/>
  <calcPr fullCalcOnLoad="1"/>
</workbook>
</file>

<file path=xl/sharedStrings.xml><?xml version="1.0" encoding="utf-8"?>
<sst xmlns="http://schemas.openxmlformats.org/spreadsheetml/2006/main" count="133" uniqueCount="128">
  <si>
    <t>Φορολογικός Συντελεστής</t>
  </si>
  <si>
    <t>Καθαρά κέρδη</t>
  </si>
  <si>
    <t>Αποσβέσεις</t>
  </si>
  <si>
    <t xml:space="preserve">Τόκοι </t>
  </si>
  <si>
    <t>Επενδύσεις σε πάγια</t>
  </si>
  <si>
    <t>Αξία Ιδίων Κεφαλαίων</t>
  </si>
  <si>
    <t>BHMA 1o</t>
  </si>
  <si>
    <t>Υποθέσεις παραδείγματος</t>
  </si>
  <si>
    <t>Για το τρέχον έτος:</t>
  </si>
  <si>
    <t>Έσοδα</t>
  </si>
  <si>
    <t>Καθαρό Περιθώριο Κέρδους</t>
  </si>
  <si>
    <t>Επενδύσεις σε Πάγιο Εξοπλισμο</t>
  </si>
  <si>
    <t>Επίσης</t>
  </si>
  <si>
    <t>Αριθμος μετοχών</t>
  </si>
  <si>
    <t>BHMA 2o</t>
  </si>
  <si>
    <t>Υπολογισμός Αδέσμευτων Ταμειακών Ροών</t>
  </si>
  <si>
    <t>Πωλήσεις</t>
  </si>
  <si>
    <t>BHMA 3o</t>
  </si>
  <si>
    <t>Υπολογισμός Αξίας της εταιρίας και των μετόχων</t>
  </si>
  <si>
    <t>Παραδειγμα Χρήσης Υποδείγματος FREE CASH FLOW TO THE FIRM/EQUITY (FCFF/FCFE)</t>
  </si>
  <si>
    <t>ΑΔΕΣΜΕΥΤΕΣ ΤΑΜΕΙΑΚΕΣ ΡΟΕΣ ΤΗΣ ΕΤΑΙΡΙΑΣ (ΑΤΡ - FCFF)</t>
  </si>
  <si>
    <r>
      <t xml:space="preserve">Επενδύσεις σε Κεφ. Κίνησης </t>
    </r>
    <r>
      <rPr>
        <i/>
        <sz val="11"/>
        <color indexed="8"/>
        <rFont val="Calibri"/>
        <family val="2"/>
      </rPr>
      <t>(ποσοστό επί των εσόδων)</t>
    </r>
  </si>
  <si>
    <t xml:space="preserve">Αύξηση Δανεισμού </t>
  </si>
  <si>
    <t>Μέιωση Δάνεισμού</t>
  </si>
  <si>
    <t xml:space="preserve">Καθαρός Δανεισμός </t>
  </si>
  <si>
    <t>Κόστος Μετοχικού Κεφαλαίου</t>
  </si>
  <si>
    <t>Ρυθμός Αύξησης ΑΤΡΕ στο διηνεκές</t>
  </si>
  <si>
    <t>Συνολικός Δανεισμός</t>
  </si>
  <si>
    <t>60%-40%</t>
  </si>
  <si>
    <t>Χρηματοδοτικό Σχήμα Νεών Επενδύσεων (Ξένα / Ίδια Κεφάλαια)</t>
  </si>
  <si>
    <t>Ανάλυση Καθαρού Δανεισμού (Ετήσιες Μεταβολές Δανειακών Κεφαλαίων)</t>
  </si>
  <si>
    <t>Δείκτες Εξέλιξης Βασικών Οικονομικών Μεγεθών 2011-2015:</t>
  </si>
  <si>
    <t>Ετήσιος Ρυθμός Αύξησης Πωλήσεων</t>
  </si>
  <si>
    <t xml:space="preserve">Ετήσιος Ρυθμός Αύξησης επενδύσεων σε Πάγιο Εξοπλισμό </t>
  </si>
  <si>
    <r>
      <t>Ρυθμός Αύξησης αποσβέσεων</t>
    </r>
    <r>
      <rPr>
        <vertAlign val="superscript"/>
        <sz val="11"/>
        <color indexed="8"/>
        <rFont val="Calibri"/>
        <family val="2"/>
      </rPr>
      <t>1</t>
    </r>
  </si>
  <si>
    <r>
      <t xml:space="preserve">Επιτόκιο Δανεισμού </t>
    </r>
    <r>
      <rPr>
        <vertAlign val="superscript"/>
        <sz val="11"/>
        <color indexed="8"/>
        <rFont val="Calibri"/>
        <family val="2"/>
      </rPr>
      <t>2</t>
    </r>
  </si>
  <si>
    <r>
      <t>Κόστος Μετοχικού Κεφαλαίου</t>
    </r>
    <r>
      <rPr>
        <vertAlign val="superscript"/>
        <sz val="11"/>
        <color indexed="8"/>
        <rFont val="Calibri"/>
        <family val="2"/>
      </rPr>
      <t xml:space="preserve"> 3</t>
    </r>
  </si>
  <si>
    <r>
      <t xml:space="preserve">Σχέση Ξένων / Ίδια Κεφάλαια (Κεφ. Διάρθρωση) </t>
    </r>
    <r>
      <rPr>
        <vertAlign val="superscript"/>
        <sz val="11"/>
        <color indexed="8"/>
        <rFont val="Calibri"/>
        <family val="2"/>
      </rPr>
      <t>4</t>
    </r>
  </si>
  <si>
    <r>
      <rPr>
        <i/>
        <vertAlign val="superscript"/>
        <sz val="10"/>
        <color indexed="8"/>
        <rFont val="Calibri"/>
        <family val="2"/>
      </rPr>
      <t>2</t>
    </r>
    <r>
      <rPr>
        <i/>
        <sz val="10"/>
        <color indexed="8"/>
        <rFont val="Calibri"/>
        <family val="2"/>
      </rPr>
      <t xml:space="preserve"> Αναμένουμε το επιτόκιο δανεισμού να αυξηθεί τα επόμενα χρόνια </t>
    </r>
  </si>
  <si>
    <r>
      <rPr>
        <i/>
        <vertAlign val="superscript"/>
        <sz val="10"/>
        <color indexed="8"/>
        <rFont val="Calibri"/>
        <family val="2"/>
      </rPr>
      <t>3</t>
    </r>
    <r>
      <rPr>
        <i/>
        <sz val="10"/>
        <color indexed="8"/>
        <rFont val="Calibri"/>
        <family val="2"/>
      </rPr>
      <t xml:space="preserve"> Το κόστος μετοχικού κεφαλαίου όπως  έχει υπολογιστεί από το CAPM</t>
    </r>
  </si>
  <si>
    <r>
      <rPr>
        <i/>
        <vertAlign val="superscript"/>
        <sz val="10"/>
        <color indexed="8"/>
        <rFont val="Calibri"/>
        <family val="2"/>
      </rPr>
      <t>4</t>
    </r>
    <r>
      <rPr>
        <i/>
        <sz val="10"/>
        <color indexed="8"/>
        <rFont val="Calibri"/>
        <family val="2"/>
      </rPr>
      <t xml:space="preserve"> Θεωρούμε Σταθερή Κεφαλαιακή διάρθρωση</t>
    </r>
  </si>
  <si>
    <r>
      <rPr>
        <i/>
        <vertAlign val="superscript"/>
        <sz val="10"/>
        <color indexed="8"/>
        <rFont val="Calibri"/>
        <family val="2"/>
      </rPr>
      <t>1</t>
    </r>
    <r>
      <rPr>
        <i/>
        <sz val="10"/>
        <color indexed="8"/>
        <rFont val="Calibri"/>
        <family val="2"/>
      </rPr>
      <t xml:space="preserve"> (Θεωρούμε ένα ρυθμό αύξησης των αποσβέσεων μικρότερο από το ρυθμό αύξησης των </t>
    </r>
  </si>
  <si>
    <t>Μεταβολές Κεφαλαίου Κίνησης (Αύξηση)</t>
  </si>
  <si>
    <r>
      <t xml:space="preserve">Μέσο Σταθμικό Κόστος Κεφαλαίου </t>
    </r>
    <r>
      <rPr>
        <b/>
        <vertAlign val="superscript"/>
        <sz val="11"/>
        <color indexed="8"/>
        <rFont val="Calibri"/>
        <family val="2"/>
      </rPr>
      <t>5</t>
    </r>
  </si>
  <si>
    <t>Παρουσα αξία ΑΤΡΕ</t>
  </si>
  <si>
    <r>
      <rPr>
        <i/>
        <vertAlign val="superscript"/>
        <sz val="10"/>
        <color indexed="8"/>
        <rFont val="Calibri"/>
        <family val="2"/>
      </rPr>
      <t xml:space="preserve">6 </t>
    </r>
    <r>
      <rPr>
        <i/>
        <sz val="10"/>
        <color indexed="8"/>
        <rFont val="Calibri"/>
        <family val="2"/>
      </rPr>
      <t>Η Τελική Αξία (Υπολειμματική Αξία) της επιχείρησης υπολογίζεται ως η Παρούσα Αξία μίας Ράντας στο Διηνεκές</t>
    </r>
  </si>
  <si>
    <t xml:space="preserve">Παρούσα Αξία, Τελικής/Υπολειμματικής Αξία τέλος 5ου έτους (ΤΑ) </t>
  </si>
  <si>
    <t>Σύνολο Δανείων τέλος 2010</t>
  </si>
  <si>
    <t>Μετρητά</t>
  </si>
  <si>
    <t xml:space="preserve">επενδύσεων, λόγω των αποσβέσεων του υφιστάμενου πάγιου εξοπλισμού) </t>
  </si>
  <si>
    <t xml:space="preserve">Ενεργητικό </t>
  </si>
  <si>
    <t>Παθητικό</t>
  </si>
  <si>
    <t xml:space="preserve">Αξία Κτήσης </t>
  </si>
  <si>
    <t xml:space="preserve">Μετοχικό </t>
  </si>
  <si>
    <t xml:space="preserve">Συνολικές Αποσβέσεις </t>
  </si>
  <si>
    <t>Σύνολο Αποθεματικών</t>
  </si>
  <si>
    <t>Καθαρή Αξία Παγίων Στοιχείων</t>
  </si>
  <si>
    <t>Σύνολο Ιδίων Κεφαλαίων</t>
  </si>
  <si>
    <t>Κυκλοφορούν Ενεργητικό</t>
  </si>
  <si>
    <t xml:space="preserve">Υποχρεώσεις </t>
  </si>
  <si>
    <t>Ταμείο</t>
  </si>
  <si>
    <t>Μακροπρόθεσμες (Δάνεια)</t>
  </si>
  <si>
    <t>Αποθέματα</t>
  </si>
  <si>
    <t xml:space="preserve">Βραχ. Υποχρεώσεις </t>
  </si>
  <si>
    <t>Χρεώστες</t>
  </si>
  <si>
    <t xml:space="preserve">Δάνεια </t>
  </si>
  <si>
    <t>Πιστωτές</t>
  </si>
  <si>
    <t xml:space="preserve">Σύνολο </t>
  </si>
  <si>
    <t>Δίνεται ότι :</t>
  </si>
  <si>
    <t>Αύξηση / Μείωση Δανειακών Υποχρεώσεων στην αρχή κάθε έτους</t>
  </si>
  <si>
    <t>Κόστος Δανειακών Κεφαλαίων μ.φ.</t>
  </si>
  <si>
    <t>Ιδια / Συνολικά Κεφάλαια (Μ.Ο.)</t>
  </si>
  <si>
    <t>Μ.Σ.Κ.Κ.</t>
  </si>
  <si>
    <t xml:space="preserve">Καθαρά Κέρδη </t>
  </si>
  <si>
    <t>Ετήσιες Αποσβέσεις</t>
  </si>
  <si>
    <t xml:space="preserve">Μεταβολες΄Κεφαλαίου Κίνησης </t>
  </si>
  <si>
    <t xml:space="preserve">Κεφαλαιουχικές Επενδύσεις </t>
  </si>
  <si>
    <t>Αδέσμευτες Ταμειακές Ροές</t>
  </si>
  <si>
    <t>Π.Α. Αδέσμευτων Ταμειακών Ροών</t>
  </si>
  <si>
    <t>Υπολλειματική Αξία</t>
  </si>
  <si>
    <t>Π.Α. Υπολλειματικής Αξίας</t>
  </si>
  <si>
    <t xml:space="preserve">Αξία Εταιρείας </t>
  </si>
  <si>
    <t xml:space="preserve">Αριθμός Μετοχών </t>
  </si>
  <si>
    <t>Fair Price (Οκονομική Αξία)</t>
  </si>
  <si>
    <t>Market Price</t>
  </si>
  <si>
    <t>Αξία Μετοχικού Κεφαλαίου</t>
  </si>
  <si>
    <t>Το ποσοστό Διανομής Κερδών είναι</t>
  </si>
  <si>
    <t xml:space="preserve">Ο φορολογικός συντελεστής είναι </t>
  </si>
  <si>
    <t xml:space="preserve">Ο συντελεστής beta της εταιρείας είναι </t>
  </si>
  <si>
    <t xml:space="preserve">Το Market Risk Premium είναι και </t>
  </si>
  <si>
    <t xml:space="preserve">η χωρίς κίνδυνο απόδοση </t>
  </si>
  <si>
    <t xml:space="preserve">Το επιτόκιο δανεισμού είναι σταθερά </t>
  </si>
  <si>
    <t xml:space="preserve">Θεωρούμε ότι οι μεταβολές στα Αποθεματικά Κεφάλαια, προέρχονται από </t>
  </si>
  <si>
    <t>τα Καθαρά Κέρδη ή Ζημίες και μόνον αφαιρώντας το ποσοστό διανομής</t>
  </si>
  <si>
    <t>Τόκοι</t>
  </si>
  <si>
    <t>O ετήσιος ρυθμός αύξησης ΑΤΡΕ μετά το 2012 είναι</t>
  </si>
  <si>
    <t>Σημείωση :</t>
  </si>
  <si>
    <r>
      <t xml:space="preserve">Σύνολο Δανείων </t>
    </r>
    <r>
      <rPr>
        <i/>
        <sz val="11"/>
        <color indexed="8"/>
        <rFont val="Calibri"/>
        <family val="2"/>
      </rPr>
      <t>(τέλος 2010</t>
    </r>
    <r>
      <rPr>
        <sz val="11"/>
        <color indexed="8"/>
        <rFont val="Calibri"/>
        <family val="2"/>
      </rPr>
      <t>)</t>
    </r>
  </si>
  <si>
    <r>
      <t xml:space="preserve">Μετρητά </t>
    </r>
    <r>
      <rPr>
        <i/>
        <sz val="11"/>
        <color indexed="8"/>
        <rFont val="Calibri"/>
        <family val="2"/>
      </rPr>
      <t>(τέλος 2010</t>
    </r>
    <r>
      <rPr>
        <sz val="11"/>
        <color indexed="8"/>
        <rFont val="Calibri"/>
        <family val="2"/>
      </rPr>
      <t>)</t>
    </r>
  </si>
  <si>
    <r>
      <t xml:space="preserve">Επιτόκιο Δανεισμού </t>
    </r>
    <r>
      <rPr>
        <i/>
        <sz val="11"/>
        <color indexed="8"/>
        <rFont val="Calibri"/>
        <family val="2"/>
      </rPr>
      <t>(τέλος 2010</t>
    </r>
    <r>
      <rPr>
        <sz val="11"/>
        <color indexed="8"/>
        <rFont val="Calibri"/>
        <family val="2"/>
      </rPr>
      <t>)</t>
    </r>
  </si>
  <si>
    <r>
      <t>Αξία εταιρίας (Παρούσα Αξία ΑΤΡ + Παρούσα Α</t>
    </r>
    <r>
      <rPr>
        <b/>
        <sz val="11"/>
        <rFont val="Calibri"/>
        <family val="2"/>
      </rPr>
      <t>ξία ΤΑ)</t>
    </r>
  </si>
  <si>
    <r>
      <t xml:space="preserve">Υπολειμματική Αξία της Επιχείρησης - Residual Value, τέλος  (2015) </t>
    </r>
    <r>
      <rPr>
        <b/>
        <vertAlign val="superscript"/>
        <sz val="11"/>
        <color indexed="8"/>
        <rFont val="Calibri"/>
        <family val="2"/>
      </rPr>
      <t xml:space="preserve">6 </t>
    </r>
  </si>
  <si>
    <t xml:space="preserve">ΑΝΑΛΥΣΗ ΑΔΕΣΜΕΥΤΩΝ ΤΑΜΕΙΑΚΩΝ ΡΟΩΝ </t>
  </si>
  <si>
    <t>ΑΞΙΑ ΤΗΣ ΕΠΙΧΕΙΡΗΣΗς ΚΑΙ ΑΞΙΑ ΤΩΝ ΜΕΤΟΧΩΝ</t>
  </si>
  <si>
    <t>Οικονομική Αξία ανά μετοχή (Fair Price)</t>
  </si>
  <si>
    <t>Κέρδη ανά μετοχή</t>
  </si>
  <si>
    <t xml:space="preserve">Το Market Risk Premium είναι </t>
  </si>
  <si>
    <t>Μέρισμα ανά μετοχή</t>
  </si>
  <si>
    <t>ΕΒΑ νέων επενδύσεων - r</t>
  </si>
  <si>
    <t>Ποσοστό Παρακράτησης Κερδών - b</t>
  </si>
  <si>
    <t>……..</t>
  </si>
  <si>
    <t>Προεξόφλημένα Μερίσματα</t>
  </si>
  <si>
    <t>Κόστος Μετοχικού Κεφαλαίου - k</t>
  </si>
  <si>
    <t>Χωρίς κίνδυνο απόδοση</t>
  </si>
  <si>
    <t>Ρυθμός ανάπτυξης (g=b*r)</t>
  </si>
  <si>
    <t xml:space="preserve">Παραδειγμα Χρήσης Υποδείγματος DIVIDEND DISCOUNT VALUATION </t>
  </si>
  <si>
    <t>Αφού η Οικονομική Αξία =</t>
  </si>
  <si>
    <t>CASE STUDY 5.1.  - ΔΙΑΛΕΞΗ 7-9 ΥΠΟΔΕΙΓΜΑΤΑ ΑΠΟΤΙΜΗΣΗΣ  ΜΕΤΟΧΩΝ</t>
  </si>
  <si>
    <t>CASE STUDY 5.2.  - ΔΙΑΛΕΞΗ 7-9 ΥΠΟΔΕΙΓΜΑΤΑ ΑΠΟΤΙΜΗΣΗΣ  ΜΕΤΟΧΩΝ</t>
  </si>
  <si>
    <t>CASE STUDY 5.3.  - ΔΙΑΛΕΞΗ 7-9 ΥΠΟΔΕΙΓΜΑΤΑ ΑΠΟΤΙΜΗΣΗΣ  ΜΕΤΟΧΩΝ</t>
  </si>
  <si>
    <r>
      <t xml:space="preserve">Τιμή Μετοχής (P) </t>
    </r>
    <r>
      <rPr>
        <b/>
        <vertAlign val="subscript"/>
        <sz val="11"/>
        <color indexed="8"/>
        <rFont val="Calibri"/>
        <family val="2"/>
      </rPr>
      <t>(αρχή 2011)</t>
    </r>
  </si>
  <si>
    <t>(τέλος περιόδου)</t>
  </si>
  <si>
    <t>είναι μικρότερη από τη Τιμή Διαπραγμάτευσης (1,75) η μετοχή είναι υποτιμημένη</t>
  </si>
  <si>
    <t>Δάνεια (31/12/2015)</t>
  </si>
  <si>
    <t>Μετρητά (31/12/2015)</t>
  </si>
  <si>
    <t xml:space="preserve"> 2018-2022</t>
  </si>
  <si>
    <t>με βάση την υπόθεση ότι οι ΑΤΡΕ, θα αυξάνονται με ένα ετήσιο ρυθμό 0,75% από το 2022 και μετά</t>
  </si>
  <si>
    <r>
      <rPr>
        <i/>
        <vertAlign val="superscript"/>
        <sz val="11"/>
        <color indexed="8"/>
        <rFont val="Calibri"/>
        <family val="2"/>
      </rPr>
      <t xml:space="preserve">5 </t>
    </r>
    <r>
      <rPr>
        <i/>
        <sz val="11"/>
        <color indexed="8"/>
        <rFont val="Calibri"/>
        <family val="2"/>
      </rPr>
      <t>Θεωρούμε ότι το Μ.Σ.Κ.Κ. παραμένει σταθερό από το 2022 και έπειτα</t>
    </r>
  </si>
</sst>
</file>

<file path=xl/styles.xml><?xml version="1.0" encoding="utf-8"?>
<styleSheet xmlns="http://schemas.openxmlformats.org/spreadsheetml/2006/main">
  <numFmts count="2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"/>
    <numFmt numFmtId="173" formatCode="&quot;€&quot;#,##0.00"/>
    <numFmt numFmtId="174" formatCode="#,##0.00\ &quot;€&quot;"/>
    <numFmt numFmtId="175" formatCode="#,##0\ &quot;€&quot;"/>
    <numFmt numFmtId="176" formatCode="#,##0.0000"/>
    <numFmt numFmtId="177" formatCode="&quot;€&quot;#,##0.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i/>
      <vertAlign val="superscript"/>
      <sz val="11"/>
      <color indexed="8"/>
      <name val="Calibri"/>
      <family val="2"/>
    </font>
    <font>
      <i/>
      <sz val="10"/>
      <color indexed="8"/>
      <name val="Calibri"/>
      <family val="2"/>
    </font>
    <font>
      <i/>
      <vertAlign val="superscript"/>
      <sz val="10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i/>
      <u val="single"/>
      <sz val="9"/>
      <name val="Calibri"/>
      <family val="2"/>
    </font>
    <font>
      <b/>
      <i/>
      <sz val="9"/>
      <name val="Calibri"/>
      <family val="2"/>
    </font>
    <font>
      <b/>
      <sz val="9"/>
      <name val="Calibri"/>
      <family val="2"/>
    </font>
    <font>
      <b/>
      <vertAlign val="sub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9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i/>
      <u val="single"/>
      <sz val="11"/>
      <name val="Calibri"/>
      <family val="2"/>
    </font>
    <font>
      <u val="single"/>
      <sz val="11"/>
      <color indexed="8"/>
      <name val="Calibri"/>
      <family val="0"/>
    </font>
    <font>
      <sz val="12"/>
      <color indexed="8"/>
      <name val="Calibri"/>
      <family val="0"/>
    </font>
    <font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i/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u val="single"/>
      <sz val="11"/>
      <color theme="1"/>
      <name val="Calibri"/>
      <family val="2"/>
    </font>
    <font>
      <i/>
      <sz val="11"/>
      <color theme="1"/>
      <name val="Calibri"/>
      <family val="2"/>
    </font>
    <font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>
        <color rgb="FF000000"/>
      </right>
      <top style="medium"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>
        <color indexed="63"/>
      </right>
      <top style="medium"/>
      <bottom style="medium">
        <color rgb="FF000000"/>
      </bottom>
    </border>
    <border>
      <left style="medium"/>
      <right style="medium"/>
      <top style="medium">
        <color rgb="FF000000"/>
      </top>
      <bottom>
        <color indexed="63"/>
      </bottom>
    </border>
    <border>
      <left style="medium"/>
      <right style="medium"/>
      <top style="medium">
        <color rgb="FF000000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/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double"/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2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57" fillId="34" borderId="10" xfId="0" applyFont="1" applyFill="1" applyBorder="1" applyAlignment="1">
      <alignment/>
    </xf>
    <xf numFmtId="0" fontId="57" fillId="33" borderId="0" xfId="0" applyFont="1" applyFill="1" applyAlignment="1">
      <alignment/>
    </xf>
    <xf numFmtId="4" fontId="55" fillId="33" borderId="11" xfId="0" applyNumberFormat="1" applyFont="1" applyFill="1" applyBorder="1" applyAlignment="1">
      <alignment/>
    </xf>
    <xf numFmtId="0" fontId="55" fillId="33" borderId="11" xfId="0" applyFont="1" applyFill="1" applyBorder="1" applyAlignment="1">
      <alignment horizontal="center"/>
    </xf>
    <xf numFmtId="4" fontId="55" fillId="33" borderId="0" xfId="0" applyNumberFormat="1" applyFont="1" applyFill="1" applyBorder="1" applyAlignment="1">
      <alignment/>
    </xf>
    <xf numFmtId="3" fontId="55" fillId="33" borderId="12" xfId="0" applyNumberFormat="1" applyFont="1" applyFill="1" applyBorder="1" applyAlignment="1">
      <alignment horizontal="right" wrapText="1"/>
    </xf>
    <xf numFmtId="0" fontId="55" fillId="33" borderId="11" xfId="0" applyFont="1" applyFill="1" applyBorder="1" applyAlignment="1">
      <alignment horizontal="right"/>
    </xf>
    <xf numFmtId="10" fontId="55" fillId="33" borderId="0" xfId="0" applyNumberFormat="1" applyFont="1" applyFill="1" applyAlignment="1">
      <alignment/>
    </xf>
    <xf numFmtId="0" fontId="55" fillId="33" borderId="0" xfId="0" applyFont="1" applyFill="1" applyAlignment="1">
      <alignment/>
    </xf>
    <xf numFmtId="4" fontId="55" fillId="33" borderId="13" xfId="0" applyNumberFormat="1" applyFont="1" applyFill="1" applyBorder="1" applyAlignment="1">
      <alignment/>
    </xf>
    <xf numFmtId="0" fontId="55" fillId="33" borderId="12" xfId="0" applyFont="1" applyFill="1" applyBorder="1" applyAlignment="1">
      <alignment horizontal="center"/>
    </xf>
    <xf numFmtId="0" fontId="55" fillId="33" borderId="12" xfId="0" applyFont="1" applyFill="1" applyBorder="1" applyAlignment="1">
      <alignment/>
    </xf>
    <xf numFmtId="0" fontId="55" fillId="33" borderId="14" xfId="0" applyFont="1" applyFill="1" applyBorder="1" applyAlignment="1">
      <alignment/>
    </xf>
    <xf numFmtId="4" fontId="55" fillId="33" borderId="15" xfId="0" applyNumberFormat="1" applyFont="1" applyFill="1" applyBorder="1" applyAlignment="1">
      <alignment horizontal="left"/>
    </xf>
    <xf numFmtId="172" fontId="55" fillId="33" borderId="11" xfId="0" applyNumberFormat="1" applyFont="1" applyFill="1" applyBorder="1" applyAlignment="1">
      <alignment horizontal="right"/>
    </xf>
    <xf numFmtId="172" fontId="55" fillId="33" borderId="16" xfId="0" applyNumberFormat="1" applyFont="1" applyFill="1" applyBorder="1" applyAlignment="1">
      <alignment horizontal="right"/>
    </xf>
    <xf numFmtId="10" fontId="58" fillId="33" borderId="0" xfId="57" applyNumberFormat="1" applyFont="1" applyFill="1" applyAlignment="1">
      <alignment/>
    </xf>
    <xf numFmtId="4" fontId="57" fillId="33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10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59" fillId="0" borderId="0" xfId="0" applyFont="1" applyAlignment="1">
      <alignment/>
    </xf>
    <xf numFmtId="10" fontId="59" fillId="33" borderId="0" xfId="0" applyNumberFormat="1" applyFont="1" applyFill="1" applyAlignment="1">
      <alignment/>
    </xf>
    <xf numFmtId="0" fontId="59" fillId="33" borderId="0" xfId="0" applyFont="1" applyFill="1" applyAlignment="1">
      <alignment/>
    </xf>
    <xf numFmtId="10" fontId="59" fillId="33" borderId="0" xfId="57" applyNumberFormat="1" applyFont="1" applyFill="1" applyAlignment="1">
      <alignment/>
    </xf>
    <xf numFmtId="0" fontId="60" fillId="33" borderId="0" xfId="0" applyFont="1" applyFill="1" applyAlignment="1">
      <alignment/>
    </xf>
    <xf numFmtId="10" fontId="60" fillId="33" borderId="0" xfId="0" applyNumberFormat="1" applyFont="1" applyFill="1" applyAlignment="1">
      <alignment/>
    </xf>
    <xf numFmtId="0" fontId="61" fillId="33" borderId="0" xfId="0" applyFont="1" applyFill="1" applyAlignment="1">
      <alignment horizontal="center"/>
    </xf>
    <xf numFmtId="175" fontId="8" fillId="35" borderId="0" xfId="0" applyNumberFormat="1" applyFont="1" applyFill="1" applyBorder="1" applyAlignment="1">
      <alignment horizontal="left"/>
    </xf>
    <xf numFmtId="175" fontId="9" fillId="35" borderId="0" xfId="0" applyNumberFormat="1" applyFont="1" applyFill="1" applyBorder="1" applyAlignment="1">
      <alignment horizontal="center"/>
    </xf>
    <xf numFmtId="175" fontId="8" fillId="35" borderId="0" xfId="0" applyNumberFormat="1" applyFont="1" applyFill="1" applyBorder="1" applyAlignment="1">
      <alignment horizontal="right"/>
    </xf>
    <xf numFmtId="175" fontId="10" fillId="35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8" fillId="35" borderId="0" xfId="0" applyFont="1" applyFill="1" applyAlignment="1">
      <alignment/>
    </xf>
    <xf numFmtId="0" fontId="8" fillId="33" borderId="0" xfId="0" applyFont="1" applyFill="1" applyAlignment="1">
      <alignment/>
    </xf>
    <xf numFmtId="175" fontId="8" fillId="33" borderId="0" xfId="0" applyNumberFormat="1" applyFont="1" applyFill="1" applyAlignment="1">
      <alignment/>
    </xf>
    <xf numFmtId="9" fontId="8" fillId="33" borderId="0" xfId="0" applyNumberFormat="1" applyFont="1" applyFill="1" applyAlignment="1">
      <alignment/>
    </xf>
    <xf numFmtId="0" fontId="8" fillId="33" borderId="0" xfId="0" applyFont="1" applyFill="1" applyBorder="1" applyAlignment="1">
      <alignment/>
    </xf>
    <xf numFmtId="0" fontId="8" fillId="33" borderId="17" xfId="0" applyFont="1" applyFill="1" applyBorder="1" applyAlignment="1">
      <alignment/>
    </xf>
    <xf numFmtId="10" fontId="8" fillId="33" borderId="18" xfId="0" applyNumberFormat="1" applyFont="1" applyFill="1" applyBorder="1" applyAlignment="1">
      <alignment/>
    </xf>
    <xf numFmtId="0" fontId="8" fillId="33" borderId="19" xfId="0" applyFont="1" applyFill="1" applyBorder="1" applyAlignment="1">
      <alignment/>
    </xf>
    <xf numFmtId="10" fontId="8" fillId="33" borderId="20" xfId="0" applyNumberFormat="1" applyFont="1" applyFill="1" applyBorder="1" applyAlignment="1">
      <alignment/>
    </xf>
    <xf numFmtId="9" fontId="8" fillId="33" borderId="20" xfId="0" applyNumberFormat="1" applyFont="1" applyFill="1" applyBorder="1" applyAlignment="1">
      <alignment/>
    </xf>
    <xf numFmtId="9" fontId="8" fillId="33" borderId="0" xfId="0" applyNumberFormat="1" applyFont="1" applyFill="1" applyBorder="1" applyAlignment="1">
      <alignment/>
    </xf>
    <xf numFmtId="0" fontId="9" fillId="33" borderId="10" xfId="0" applyFont="1" applyFill="1" applyBorder="1" applyAlignment="1">
      <alignment/>
    </xf>
    <xf numFmtId="10" fontId="9" fillId="33" borderId="21" xfId="0" applyNumberFormat="1" applyFont="1" applyFill="1" applyBorder="1" applyAlignment="1">
      <alignment/>
    </xf>
    <xf numFmtId="10" fontId="8" fillId="33" borderId="0" xfId="0" applyNumberFormat="1" applyFont="1" applyFill="1" applyAlignment="1">
      <alignment/>
    </xf>
    <xf numFmtId="0" fontId="9" fillId="33" borderId="22" xfId="0" applyFont="1" applyFill="1" applyBorder="1" applyAlignment="1">
      <alignment horizontal="center"/>
    </xf>
    <xf numFmtId="175" fontId="8" fillId="33" borderId="0" xfId="0" applyNumberFormat="1" applyFont="1" applyFill="1" applyBorder="1" applyAlignment="1">
      <alignment/>
    </xf>
    <xf numFmtId="0" fontId="11" fillId="34" borderId="19" xfId="0" applyFont="1" applyFill="1" applyBorder="1" applyAlignment="1">
      <alignment/>
    </xf>
    <xf numFmtId="175" fontId="11" fillId="34" borderId="0" xfId="0" applyNumberFormat="1" applyFont="1" applyFill="1" applyBorder="1" applyAlignment="1">
      <alignment/>
    </xf>
    <xf numFmtId="175" fontId="8" fillId="33" borderId="23" xfId="0" applyNumberFormat="1" applyFont="1" applyFill="1" applyBorder="1" applyAlignment="1">
      <alignment/>
    </xf>
    <xf numFmtId="3" fontId="8" fillId="33" borderId="0" xfId="0" applyNumberFormat="1" applyFont="1" applyFill="1" applyAlignment="1">
      <alignment/>
    </xf>
    <xf numFmtId="0" fontId="44" fillId="36" borderId="0" xfId="0" applyFont="1" applyFill="1" applyAlignment="1">
      <alignment/>
    </xf>
    <xf numFmtId="174" fontId="44" fillId="36" borderId="0" xfId="0" applyNumberFormat="1" applyFont="1" applyFill="1" applyAlignment="1">
      <alignment horizontal="center"/>
    </xf>
    <xf numFmtId="175" fontId="8" fillId="33" borderId="0" xfId="0" applyNumberFormat="1" applyFont="1" applyFill="1" applyBorder="1" applyAlignment="1">
      <alignment horizontal="right"/>
    </xf>
    <xf numFmtId="175" fontId="8" fillId="33" borderId="20" xfId="0" applyNumberFormat="1" applyFont="1" applyFill="1" applyBorder="1" applyAlignment="1">
      <alignment horizontal="right"/>
    </xf>
    <xf numFmtId="175" fontId="11" fillId="34" borderId="0" xfId="0" applyNumberFormat="1" applyFont="1" applyFill="1" applyBorder="1" applyAlignment="1">
      <alignment horizontal="right"/>
    </xf>
    <xf numFmtId="175" fontId="11" fillId="34" borderId="20" xfId="0" applyNumberFormat="1" applyFont="1" applyFill="1" applyBorder="1" applyAlignment="1">
      <alignment horizontal="right"/>
    </xf>
    <xf numFmtId="175" fontId="10" fillId="33" borderId="0" xfId="0" applyNumberFormat="1" applyFont="1" applyFill="1" applyBorder="1" applyAlignment="1">
      <alignment horizontal="right"/>
    </xf>
    <xf numFmtId="175" fontId="10" fillId="33" borderId="20" xfId="0" applyNumberFormat="1" applyFont="1" applyFill="1" applyBorder="1" applyAlignment="1">
      <alignment horizontal="right"/>
    </xf>
    <xf numFmtId="0" fontId="8" fillId="33" borderId="20" xfId="0" applyFont="1" applyFill="1" applyBorder="1" applyAlignment="1">
      <alignment horizontal="right"/>
    </xf>
    <xf numFmtId="175" fontId="8" fillId="33" borderId="23" xfId="0" applyNumberFormat="1" applyFont="1" applyFill="1" applyBorder="1" applyAlignment="1">
      <alignment horizontal="right"/>
    </xf>
    <xf numFmtId="0" fontId="8" fillId="33" borderId="21" xfId="0" applyFont="1" applyFill="1" applyBorder="1" applyAlignment="1">
      <alignment horizontal="right"/>
    </xf>
    <xf numFmtId="175" fontId="9" fillId="33" borderId="0" xfId="0" applyNumberFormat="1" applyFont="1" applyFill="1" applyBorder="1" applyAlignment="1">
      <alignment/>
    </xf>
    <xf numFmtId="0" fontId="9" fillId="33" borderId="19" xfId="0" applyFont="1" applyFill="1" applyBorder="1" applyAlignment="1">
      <alignment/>
    </xf>
    <xf numFmtId="175" fontId="11" fillId="33" borderId="20" xfId="0" applyNumberFormat="1" applyFont="1" applyFill="1" applyBorder="1" applyAlignment="1">
      <alignment horizontal="right"/>
    </xf>
    <xf numFmtId="0" fontId="11" fillId="33" borderId="19" xfId="0" applyFont="1" applyFill="1" applyBorder="1" applyAlignment="1">
      <alignment/>
    </xf>
    <xf numFmtId="0" fontId="9" fillId="34" borderId="19" xfId="0" applyFont="1" applyFill="1" applyBorder="1" applyAlignment="1">
      <alignment/>
    </xf>
    <xf numFmtId="175" fontId="9" fillId="34" borderId="0" xfId="0" applyNumberFormat="1" applyFont="1" applyFill="1" applyBorder="1" applyAlignment="1">
      <alignment/>
    </xf>
    <xf numFmtId="0" fontId="9" fillId="34" borderId="10" xfId="0" applyFont="1" applyFill="1" applyBorder="1" applyAlignment="1">
      <alignment/>
    </xf>
    <xf numFmtId="175" fontId="9" fillId="34" borderId="23" xfId="0" applyNumberFormat="1" applyFont="1" applyFill="1" applyBorder="1" applyAlignment="1">
      <alignment/>
    </xf>
    <xf numFmtId="0" fontId="9" fillId="34" borderId="24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/>
    </xf>
    <xf numFmtId="0" fontId="11" fillId="34" borderId="25" xfId="0" applyFont="1" applyFill="1" applyBorder="1" applyAlignment="1">
      <alignment horizontal="center"/>
    </xf>
    <xf numFmtId="0" fontId="8" fillId="35" borderId="24" xfId="0" applyFont="1" applyFill="1" applyBorder="1" applyAlignment="1">
      <alignment horizontal="left"/>
    </xf>
    <xf numFmtId="175" fontId="8" fillId="35" borderId="25" xfId="0" applyNumberFormat="1" applyFont="1" applyFill="1" applyBorder="1" applyAlignment="1">
      <alignment horizontal="left"/>
    </xf>
    <xf numFmtId="0" fontId="9" fillId="35" borderId="24" xfId="0" applyFont="1" applyFill="1" applyBorder="1" applyAlignment="1">
      <alignment horizontal="center"/>
    </xf>
    <xf numFmtId="175" fontId="9" fillId="35" borderId="25" xfId="0" applyNumberFormat="1" applyFont="1" applyFill="1" applyBorder="1" applyAlignment="1">
      <alignment horizontal="center"/>
    </xf>
    <xf numFmtId="0" fontId="8" fillId="35" borderId="24" xfId="0" applyFont="1" applyFill="1" applyBorder="1" applyAlignment="1">
      <alignment/>
    </xf>
    <xf numFmtId="175" fontId="8" fillId="35" borderId="25" xfId="0" applyNumberFormat="1" applyFont="1" applyFill="1" applyBorder="1" applyAlignment="1">
      <alignment horizontal="right"/>
    </xf>
    <xf numFmtId="0" fontId="8" fillId="35" borderId="25" xfId="0" applyFont="1" applyFill="1" applyBorder="1" applyAlignment="1">
      <alignment/>
    </xf>
    <xf numFmtId="0" fontId="9" fillId="33" borderId="15" xfId="0" applyFont="1" applyFill="1" applyBorder="1" applyAlignment="1">
      <alignment horizontal="center"/>
    </xf>
    <xf numFmtId="175" fontId="9" fillId="33" borderId="11" xfId="0" applyNumberFormat="1" applyFont="1" applyFill="1" applyBorder="1" applyAlignment="1">
      <alignment horizontal="center"/>
    </xf>
    <xf numFmtId="175" fontId="9" fillId="33" borderId="16" xfId="0" applyNumberFormat="1" applyFont="1" applyFill="1" applyBorder="1" applyAlignment="1">
      <alignment horizontal="center"/>
    </xf>
    <xf numFmtId="0" fontId="10" fillId="35" borderId="24" xfId="0" applyFont="1" applyFill="1" applyBorder="1" applyAlignment="1">
      <alignment horizontal="right"/>
    </xf>
    <xf numFmtId="175" fontId="10" fillId="35" borderId="25" xfId="0" applyNumberFormat="1" applyFont="1" applyFill="1" applyBorder="1" applyAlignment="1">
      <alignment horizontal="right"/>
    </xf>
    <xf numFmtId="0" fontId="10" fillId="33" borderId="13" xfId="0" applyFont="1" applyFill="1" applyBorder="1" applyAlignment="1">
      <alignment/>
    </xf>
    <xf numFmtId="0" fontId="10" fillId="33" borderId="26" xfId="0" applyFont="1" applyFill="1" applyBorder="1" applyAlignment="1">
      <alignment/>
    </xf>
    <xf numFmtId="0" fontId="10" fillId="33" borderId="27" xfId="0" applyFont="1" applyFill="1" applyBorder="1" applyAlignment="1">
      <alignment/>
    </xf>
    <xf numFmtId="0" fontId="10" fillId="33" borderId="24" xfId="0" applyFont="1" applyFill="1" applyBorder="1" applyAlignment="1">
      <alignment/>
    </xf>
    <xf numFmtId="9" fontId="10" fillId="33" borderId="0" xfId="0" applyNumberFormat="1" applyFont="1" applyFill="1" applyBorder="1" applyAlignment="1">
      <alignment/>
    </xf>
    <xf numFmtId="0" fontId="10" fillId="33" borderId="25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9" fontId="10" fillId="33" borderId="25" xfId="0" applyNumberFormat="1" applyFont="1" applyFill="1" applyBorder="1" applyAlignment="1">
      <alignment horizontal="left"/>
    </xf>
    <xf numFmtId="0" fontId="10" fillId="33" borderId="0" xfId="0" applyFont="1" applyFill="1" applyBorder="1" applyAlignment="1">
      <alignment horizontal="left"/>
    </xf>
    <xf numFmtId="9" fontId="10" fillId="33" borderId="0" xfId="0" applyNumberFormat="1" applyFont="1" applyFill="1" applyBorder="1" applyAlignment="1">
      <alignment horizontal="left"/>
    </xf>
    <xf numFmtId="0" fontId="10" fillId="33" borderId="15" xfId="0" applyFont="1" applyFill="1" applyBorder="1" applyAlignment="1">
      <alignment/>
    </xf>
    <xf numFmtId="9" fontId="10" fillId="33" borderId="11" xfId="0" applyNumberFormat="1" applyFont="1" applyFill="1" applyBorder="1" applyAlignment="1">
      <alignment horizontal="left"/>
    </xf>
    <xf numFmtId="0" fontId="10" fillId="33" borderId="16" xfId="0" applyFont="1" applyFill="1" applyBorder="1" applyAlignment="1">
      <alignment/>
    </xf>
    <xf numFmtId="0" fontId="9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4" fillId="33" borderId="0" xfId="0" applyFont="1" applyFill="1" applyBorder="1" applyAlignment="1">
      <alignment/>
    </xf>
    <xf numFmtId="0" fontId="11" fillId="37" borderId="0" xfId="0" applyFont="1" applyFill="1" applyAlignment="1">
      <alignment/>
    </xf>
    <xf numFmtId="174" fontId="11" fillId="37" borderId="0" xfId="0" applyNumberFormat="1" applyFont="1" applyFill="1" applyAlignment="1">
      <alignment horizontal="center"/>
    </xf>
    <xf numFmtId="10" fontId="35" fillId="33" borderId="0" xfId="57" applyNumberFormat="1" applyFont="1" applyFill="1" applyAlignment="1">
      <alignment/>
    </xf>
    <xf numFmtId="4" fontId="0" fillId="33" borderId="0" xfId="0" applyNumberFormat="1" applyFont="1" applyFill="1" applyAlignment="1">
      <alignment/>
    </xf>
    <xf numFmtId="0" fontId="0" fillId="34" borderId="23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0" fillId="38" borderId="0" xfId="0" applyFont="1" applyFill="1" applyAlignment="1">
      <alignment/>
    </xf>
    <xf numFmtId="0" fontId="0" fillId="38" borderId="0" xfId="0" applyFont="1" applyFill="1" applyBorder="1" applyAlignment="1">
      <alignment/>
    </xf>
    <xf numFmtId="4" fontId="0" fillId="38" borderId="0" xfId="0" applyNumberFormat="1" applyFont="1" applyFill="1" applyBorder="1" applyAlignment="1">
      <alignment/>
    </xf>
    <xf numFmtId="10" fontId="35" fillId="38" borderId="0" xfId="57" applyNumberFormat="1" applyFont="1" applyFill="1" applyBorder="1" applyAlignment="1">
      <alignment/>
    </xf>
    <xf numFmtId="10" fontId="0" fillId="38" borderId="0" xfId="0" applyNumberFormat="1" applyFont="1" applyFill="1" applyBorder="1" applyAlignment="1">
      <alignment/>
    </xf>
    <xf numFmtId="0" fontId="0" fillId="38" borderId="28" xfId="0" applyFont="1" applyFill="1" applyBorder="1" applyAlignment="1">
      <alignment/>
    </xf>
    <xf numFmtId="4" fontId="0" fillId="38" borderId="28" xfId="0" applyNumberFormat="1" applyFont="1" applyFill="1" applyBorder="1" applyAlignment="1">
      <alignment/>
    </xf>
    <xf numFmtId="10" fontId="35" fillId="38" borderId="28" xfId="57" applyNumberFormat="1" applyFont="1" applyFill="1" applyBorder="1" applyAlignment="1">
      <alignment/>
    </xf>
    <xf numFmtId="10" fontId="0" fillId="38" borderId="28" xfId="0" applyNumberFormat="1" applyFont="1" applyFill="1" applyBorder="1" applyAlignment="1">
      <alignment/>
    </xf>
    <xf numFmtId="0" fontId="0" fillId="33" borderId="11" xfId="0" applyFont="1" applyFill="1" applyBorder="1" applyAlignment="1">
      <alignment/>
    </xf>
    <xf numFmtId="4" fontId="0" fillId="33" borderId="13" xfId="0" applyNumberFormat="1" applyFont="1" applyFill="1" applyBorder="1" applyAlignment="1">
      <alignment/>
    </xf>
    <xf numFmtId="172" fontId="0" fillId="33" borderId="27" xfId="0" applyNumberFormat="1" applyFont="1" applyFill="1" applyBorder="1" applyAlignment="1">
      <alignment/>
    </xf>
    <xf numFmtId="4" fontId="0" fillId="33" borderId="24" xfId="0" applyNumberFormat="1" applyFont="1" applyFill="1" applyBorder="1" applyAlignment="1">
      <alignment/>
    </xf>
    <xf numFmtId="10" fontId="0" fillId="33" borderId="25" xfId="57" applyNumberFormat="1" applyFont="1" applyFill="1" applyBorder="1" applyAlignment="1">
      <alignment/>
    </xf>
    <xf numFmtId="172" fontId="0" fillId="33" borderId="25" xfId="0" applyNumberFormat="1" applyFont="1" applyFill="1" applyBorder="1" applyAlignment="1">
      <alignment/>
    </xf>
    <xf numFmtId="4" fontId="0" fillId="33" borderId="15" xfId="0" applyNumberFormat="1" applyFont="1" applyFill="1" applyBorder="1" applyAlignment="1">
      <alignment/>
    </xf>
    <xf numFmtId="10" fontId="0" fillId="33" borderId="16" xfId="57" applyNumberFormat="1" applyFont="1" applyFill="1" applyBorder="1" applyAlignment="1">
      <alignment/>
    </xf>
    <xf numFmtId="4" fontId="0" fillId="33" borderId="29" xfId="0" applyNumberFormat="1" applyFont="1" applyFill="1" applyBorder="1" applyAlignment="1">
      <alignment horizontal="left"/>
    </xf>
    <xf numFmtId="3" fontId="0" fillId="33" borderId="14" xfId="0" applyNumberFormat="1" applyFont="1" applyFill="1" applyBorder="1" applyAlignment="1">
      <alignment horizontal="right"/>
    </xf>
    <xf numFmtId="172" fontId="0" fillId="33" borderId="0" xfId="0" applyNumberFormat="1" applyFont="1" applyFill="1" applyAlignment="1">
      <alignment/>
    </xf>
    <xf numFmtId="172" fontId="0" fillId="33" borderId="0" xfId="0" applyNumberFormat="1" applyFont="1" applyFill="1" applyBorder="1" applyAlignment="1">
      <alignment horizontal="right"/>
    </xf>
    <xf numFmtId="172" fontId="0" fillId="33" borderId="25" xfId="0" applyNumberFormat="1" applyFont="1" applyFill="1" applyBorder="1" applyAlignment="1">
      <alignment horizontal="right"/>
    </xf>
    <xf numFmtId="3" fontId="0" fillId="33" borderId="11" xfId="0" applyNumberFormat="1" applyFont="1" applyFill="1" applyBorder="1" applyAlignment="1">
      <alignment/>
    </xf>
    <xf numFmtId="3" fontId="0" fillId="33" borderId="12" xfId="0" applyNumberFormat="1" applyFont="1" applyFill="1" applyBorder="1" applyAlignment="1">
      <alignment horizontal="right" wrapText="1"/>
    </xf>
    <xf numFmtId="10" fontId="0" fillId="33" borderId="0" xfId="57" applyNumberFormat="1" applyFont="1" applyFill="1" applyAlignment="1">
      <alignment/>
    </xf>
    <xf numFmtId="4" fontId="0" fillId="33" borderId="11" xfId="0" applyNumberFormat="1" applyFont="1" applyFill="1" applyBorder="1" applyAlignment="1">
      <alignment/>
    </xf>
    <xf numFmtId="10" fontId="35" fillId="33" borderId="11" xfId="57" applyNumberFormat="1" applyFont="1" applyFill="1" applyBorder="1" applyAlignment="1">
      <alignment/>
    </xf>
    <xf numFmtId="3" fontId="0" fillId="33" borderId="0" xfId="0" applyNumberFormat="1" applyFont="1" applyFill="1" applyAlignment="1">
      <alignment/>
    </xf>
    <xf numFmtId="0" fontId="62" fillId="33" borderId="30" xfId="0" applyFont="1" applyFill="1" applyBorder="1" applyAlignment="1">
      <alignment vertical="top" wrapText="1"/>
    </xf>
    <xf numFmtId="3" fontId="62" fillId="33" borderId="0" xfId="0" applyNumberFormat="1" applyFont="1" applyFill="1" applyBorder="1" applyAlignment="1">
      <alignment horizontal="right" vertical="top" wrapText="1"/>
    </xf>
    <xf numFmtId="3" fontId="0" fillId="33" borderId="0" xfId="0" applyNumberFormat="1" applyFont="1" applyFill="1" applyBorder="1" applyAlignment="1">
      <alignment/>
    </xf>
    <xf numFmtId="0" fontId="57" fillId="33" borderId="31" xfId="0" applyFont="1" applyFill="1" applyBorder="1" applyAlignment="1">
      <alignment horizontal="center" vertical="top" wrapText="1"/>
    </xf>
    <xf numFmtId="172" fontId="0" fillId="33" borderId="32" xfId="0" applyNumberFormat="1" applyFont="1" applyFill="1" applyBorder="1" applyAlignment="1">
      <alignment horizontal="right" vertical="top" wrapText="1"/>
    </xf>
    <xf numFmtId="172" fontId="55" fillId="33" borderId="32" xfId="0" applyNumberFormat="1" applyFont="1" applyFill="1" applyBorder="1" applyAlignment="1">
      <alignment horizontal="center" vertical="center" wrapText="1"/>
    </xf>
    <xf numFmtId="0" fontId="55" fillId="33" borderId="33" xfId="0" applyFont="1" applyFill="1" applyBorder="1" applyAlignment="1">
      <alignment horizontal="justify" vertical="top" wrapText="1"/>
    </xf>
    <xf numFmtId="0" fontId="55" fillId="33" borderId="34" xfId="0" applyFont="1" applyFill="1" applyBorder="1" applyAlignment="1">
      <alignment horizontal="justify" vertical="top" wrapText="1"/>
    </xf>
    <xf numFmtId="0" fontId="44" fillId="36" borderId="35" xfId="0" applyFont="1" applyFill="1" applyBorder="1" applyAlignment="1">
      <alignment horizontal="center" vertical="top" wrapText="1"/>
    </xf>
    <xf numFmtId="173" fontId="44" fillId="36" borderId="36" xfId="0" applyNumberFormat="1" applyFont="1" applyFill="1" applyBorder="1" applyAlignment="1">
      <alignment horizontal="center" vertical="top" wrapText="1"/>
    </xf>
    <xf numFmtId="0" fontId="0" fillId="33" borderId="37" xfId="0" applyFont="1" applyFill="1" applyBorder="1" applyAlignment="1">
      <alignment horizontal="justify" vertical="top" wrapText="1"/>
    </xf>
    <xf numFmtId="172" fontId="0" fillId="33" borderId="38" xfId="0" applyNumberFormat="1" applyFont="1" applyFill="1" applyBorder="1" applyAlignment="1">
      <alignment horizontal="right" vertical="top" wrapText="1"/>
    </xf>
    <xf numFmtId="3" fontId="0" fillId="33" borderId="32" xfId="0" applyNumberFormat="1" applyFont="1" applyFill="1" applyBorder="1" applyAlignment="1">
      <alignment horizontal="right" vertical="top" wrapText="1"/>
    </xf>
    <xf numFmtId="0" fontId="55" fillId="33" borderId="39" xfId="0" applyFont="1" applyFill="1" applyBorder="1" applyAlignment="1">
      <alignment horizontal="justify" vertical="top" wrapText="1"/>
    </xf>
    <xf numFmtId="172" fontId="55" fillId="33" borderId="40" xfId="0" applyNumberFormat="1" applyFont="1" applyFill="1" applyBorder="1" applyAlignment="1">
      <alignment horizontal="right" vertical="top" wrapText="1"/>
    </xf>
    <xf numFmtId="0" fontId="61" fillId="33" borderId="41" xfId="0" applyFont="1" applyFill="1" applyBorder="1" applyAlignment="1">
      <alignment horizontal="justify" vertical="top" wrapText="1"/>
    </xf>
    <xf numFmtId="172" fontId="61" fillId="33" borderId="36" xfId="0" applyNumberFormat="1" applyFont="1" applyFill="1" applyBorder="1" applyAlignment="1">
      <alignment horizontal="right" vertical="top" wrapText="1"/>
    </xf>
    <xf numFmtId="0" fontId="61" fillId="33" borderId="35" xfId="0" applyFont="1" applyFill="1" applyBorder="1" applyAlignment="1">
      <alignment horizontal="justify" vertical="top" wrapText="1"/>
    </xf>
    <xf numFmtId="172" fontId="61" fillId="33" borderId="42" xfId="0" applyNumberFormat="1" applyFont="1" applyFill="1" applyBorder="1" applyAlignment="1">
      <alignment horizontal="right" vertical="top" wrapText="1"/>
    </xf>
    <xf numFmtId="0" fontId="55" fillId="33" borderId="43" xfId="0" applyFont="1" applyFill="1" applyBorder="1" applyAlignment="1">
      <alignment horizontal="justify" vertical="top" wrapText="1"/>
    </xf>
    <xf numFmtId="172" fontId="55" fillId="33" borderId="36" xfId="0" applyNumberFormat="1" applyFont="1" applyFill="1" applyBorder="1" applyAlignment="1">
      <alignment horizontal="right" vertical="top" wrapText="1"/>
    </xf>
    <xf numFmtId="172" fontId="0" fillId="33" borderId="31" xfId="0" applyNumberFormat="1" applyFont="1" applyFill="1" applyBorder="1" applyAlignment="1">
      <alignment horizontal="right" vertical="top" wrapText="1"/>
    </xf>
    <xf numFmtId="172" fontId="0" fillId="33" borderId="34" xfId="0" applyNumberFormat="1" applyFont="1" applyFill="1" applyBorder="1" applyAlignment="1">
      <alignment horizontal="right" vertical="top" wrapText="1"/>
    </xf>
    <xf numFmtId="172" fontId="0" fillId="33" borderId="44" xfId="0" applyNumberFormat="1" applyFont="1" applyFill="1" applyBorder="1" applyAlignment="1">
      <alignment horizontal="right" vertical="top" wrapText="1"/>
    </xf>
    <xf numFmtId="172" fontId="0" fillId="33" borderId="45" xfId="0" applyNumberFormat="1" applyFont="1" applyFill="1" applyBorder="1" applyAlignment="1">
      <alignment horizontal="right" vertical="top" wrapText="1"/>
    </xf>
    <xf numFmtId="172" fontId="0" fillId="38" borderId="46" xfId="0" applyNumberFormat="1" applyFont="1" applyFill="1" applyBorder="1" applyAlignment="1">
      <alignment horizontal="right" vertical="top" wrapText="1"/>
    </xf>
    <xf numFmtId="0" fontId="0" fillId="38" borderId="37" xfId="0" applyFont="1" applyFill="1" applyBorder="1" applyAlignment="1">
      <alignment horizontal="justify" vertical="top" wrapText="1"/>
    </xf>
    <xf numFmtId="0" fontId="57" fillId="33" borderId="38" xfId="0" applyFont="1" applyFill="1" applyBorder="1" applyAlignment="1">
      <alignment horizontal="center" vertical="top" wrapText="1"/>
    </xf>
    <xf numFmtId="0" fontId="0" fillId="33" borderId="47" xfId="0" applyFont="1" applyFill="1" applyBorder="1" applyAlignment="1">
      <alignment horizontal="justify" vertical="top" wrapText="1"/>
    </xf>
    <xf numFmtId="0" fontId="55" fillId="33" borderId="37" xfId="0" applyFont="1" applyFill="1" applyBorder="1" applyAlignment="1">
      <alignment horizontal="justify" vertical="top" wrapText="1"/>
    </xf>
    <xf numFmtId="4" fontId="37" fillId="38" borderId="0" xfId="0" applyNumberFormat="1" applyFont="1" applyFill="1" applyBorder="1" applyAlignment="1">
      <alignment/>
    </xf>
    <xf numFmtId="0" fontId="9" fillId="38" borderId="28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1" xfId="0" applyFill="1" applyBorder="1" applyAlignment="1">
      <alignment/>
    </xf>
    <xf numFmtId="9" fontId="0" fillId="33" borderId="0" xfId="0" applyNumberFormat="1" applyFill="1" applyAlignment="1">
      <alignment/>
    </xf>
    <xf numFmtId="0" fontId="0" fillId="34" borderId="22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1" xfId="0" applyFill="1" applyBorder="1" applyAlignment="1">
      <alignment/>
    </xf>
    <xf numFmtId="177" fontId="44" fillId="36" borderId="0" xfId="0" applyNumberFormat="1" applyFont="1" applyFill="1" applyAlignment="1">
      <alignment horizontal="center"/>
    </xf>
    <xf numFmtId="0" fontId="44" fillId="36" borderId="0" xfId="0" applyFont="1" applyFill="1" applyAlignment="1">
      <alignment/>
    </xf>
    <xf numFmtId="0" fontId="0" fillId="33" borderId="17" xfId="0" applyFill="1" applyBorder="1" applyAlignment="1">
      <alignment/>
    </xf>
    <xf numFmtId="0" fontId="0" fillId="33" borderId="22" xfId="0" applyFill="1" applyBorder="1" applyAlignment="1">
      <alignment/>
    </xf>
    <xf numFmtId="0" fontId="58" fillId="37" borderId="22" xfId="0" applyFont="1" applyFill="1" applyBorder="1" applyAlignment="1">
      <alignment horizontal="center"/>
    </xf>
    <xf numFmtId="0" fontId="0" fillId="37" borderId="18" xfId="0" applyFill="1" applyBorder="1" applyAlignment="1">
      <alignment/>
    </xf>
    <xf numFmtId="0" fontId="0" fillId="33" borderId="0" xfId="0" applyFill="1" applyBorder="1" applyAlignment="1">
      <alignment/>
    </xf>
    <xf numFmtId="0" fontId="57" fillId="33" borderId="48" xfId="0" applyFont="1" applyFill="1" applyBorder="1" applyAlignment="1">
      <alignment horizontal="center" vertical="top" wrapText="1"/>
    </xf>
    <xf numFmtId="0" fontId="10" fillId="33" borderId="19" xfId="0" applyFont="1" applyFill="1" applyBorder="1" applyAlignment="1">
      <alignment/>
    </xf>
    <xf numFmtId="176" fontId="0" fillId="33" borderId="0" xfId="0" applyNumberFormat="1" applyFill="1" applyBorder="1" applyAlignment="1">
      <alignment/>
    </xf>
    <xf numFmtId="176" fontId="0" fillId="33" borderId="20" xfId="0" applyNumberFormat="1" applyFill="1" applyBorder="1" applyAlignment="1">
      <alignment/>
    </xf>
    <xf numFmtId="0" fontId="55" fillId="33" borderId="19" xfId="0" applyFont="1" applyFill="1" applyBorder="1" applyAlignment="1">
      <alignment/>
    </xf>
    <xf numFmtId="0" fontId="55" fillId="33" borderId="0" xfId="0" applyFont="1" applyFill="1" applyBorder="1" applyAlignment="1">
      <alignment/>
    </xf>
    <xf numFmtId="176" fontId="55" fillId="33" borderId="0" xfId="0" applyNumberFormat="1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6" xfId="0" applyFill="1" applyBorder="1" applyAlignment="1">
      <alignment/>
    </xf>
    <xf numFmtId="10" fontId="0" fillId="33" borderId="27" xfId="0" applyNumberFormat="1" applyFill="1" applyBorder="1" applyAlignment="1">
      <alignment/>
    </xf>
    <xf numFmtId="10" fontId="0" fillId="33" borderId="25" xfId="0" applyNumberFormat="1" applyFill="1" applyBorder="1" applyAlignment="1">
      <alignment/>
    </xf>
    <xf numFmtId="2" fontId="0" fillId="33" borderId="25" xfId="0" applyNumberFormat="1" applyFill="1" applyBorder="1" applyAlignment="1">
      <alignment/>
    </xf>
    <xf numFmtId="9" fontId="0" fillId="33" borderId="25" xfId="0" applyNumberFormat="1" applyFill="1" applyBorder="1" applyAlignment="1">
      <alignment/>
    </xf>
    <xf numFmtId="0" fontId="0" fillId="33" borderId="11" xfId="0" applyFill="1" applyBorder="1" applyAlignment="1">
      <alignment/>
    </xf>
    <xf numFmtId="9" fontId="0" fillId="33" borderId="16" xfId="0" applyNumberFormat="1" applyFill="1" applyBorder="1" applyAlignment="1">
      <alignment/>
    </xf>
    <xf numFmtId="0" fontId="0" fillId="38" borderId="24" xfId="0" applyFill="1" applyBorder="1" applyAlignment="1">
      <alignment/>
    </xf>
    <xf numFmtId="0" fontId="0" fillId="38" borderId="0" xfId="0" applyFill="1" applyBorder="1" applyAlignment="1">
      <alignment/>
    </xf>
    <xf numFmtId="0" fontId="0" fillId="38" borderId="25" xfId="0" applyFill="1" applyBorder="1" applyAlignment="1">
      <alignment/>
    </xf>
    <xf numFmtId="177" fontId="0" fillId="33" borderId="0" xfId="0" applyNumberFormat="1" applyFill="1" applyBorder="1" applyAlignment="1">
      <alignment horizontal="left"/>
    </xf>
    <xf numFmtId="0" fontId="0" fillId="33" borderId="0" xfId="0" applyFill="1" applyBorder="1" applyAlignment="1">
      <alignment/>
    </xf>
    <xf numFmtId="0" fontId="55" fillId="34" borderId="17" xfId="0" applyFont="1" applyFill="1" applyBorder="1" applyAlignment="1">
      <alignment horizontal="left"/>
    </xf>
    <xf numFmtId="0" fontId="55" fillId="34" borderId="22" xfId="0" applyFont="1" applyFill="1" applyBorder="1" applyAlignment="1">
      <alignment horizontal="left"/>
    </xf>
    <xf numFmtId="0" fontId="44" fillId="36" borderId="0" xfId="0" applyFont="1" applyFill="1" applyAlignment="1">
      <alignment horizontal="right"/>
    </xf>
    <xf numFmtId="0" fontId="59" fillId="33" borderId="19" xfId="0" applyFont="1" applyFill="1" applyBorder="1" applyAlignment="1">
      <alignment horizontal="center"/>
    </xf>
    <xf numFmtId="0" fontId="59" fillId="33" borderId="0" xfId="0" applyFont="1" applyFill="1" applyBorder="1" applyAlignment="1">
      <alignment horizontal="center"/>
    </xf>
    <xf numFmtId="0" fontId="55" fillId="34" borderId="18" xfId="0" applyFont="1" applyFill="1" applyBorder="1" applyAlignment="1">
      <alignment horizontal="left"/>
    </xf>
    <xf numFmtId="0" fontId="9" fillId="34" borderId="13" xfId="0" applyFont="1" applyFill="1" applyBorder="1" applyAlignment="1">
      <alignment horizontal="center"/>
    </xf>
    <xf numFmtId="0" fontId="9" fillId="34" borderId="26" xfId="0" applyFont="1" applyFill="1" applyBorder="1" applyAlignment="1">
      <alignment horizontal="center"/>
    </xf>
    <xf numFmtId="0" fontId="9" fillId="34" borderId="27" xfId="0" applyFont="1" applyFill="1" applyBorder="1" applyAlignment="1">
      <alignment horizontal="center"/>
    </xf>
    <xf numFmtId="0" fontId="10" fillId="33" borderId="23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2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161925</xdr:rowOff>
    </xdr:from>
    <xdr:to>
      <xdr:col>14</xdr:col>
      <xdr:colOff>381000</xdr:colOff>
      <xdr:row>9</xdr:row>
      <xdr:rowOff>28575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9525" y="561975"/>
          <a:ext cx="9153525" cy="1209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Η εταιρεία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PREMAX,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διαπραγματεύεται στις 2/1/20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στην τιμή των 1,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5€. Με βάση το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Business Plan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της εταιρείας, για την περίοδο 20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-20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αναμένονται μέσα ετήσια κέρδη ανά μετοχή 0,12€ ενώ δεδομένων των αναγκών χρηματοδότησης που αφορούν στην επέκταση της παραγωγικής της δυναμικότητας, αποφασιζεί να μην δανείμει μέρισμα για την περίοδο αυτή. Από το 20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13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και μετά οπότε και η εταιρεία ολοκληρώνει το επενδυτικό της Πλάνο αναμένονται κέρδη 0,18€ ανά μετοχή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από τα οποία θα δανείμει το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0% και θα επανεπενδύει το υπόλοιπο ποσοστό με αναμενόμενη απόδοση 10%. Αν το μοντέλο αποτίμησης της μετοχής είναι με βάση τα αναμενόμενα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μερίσματα,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να χαρακτηρίσετε την μετοχή (ως προς την τιμή διαπραγμάτευσης σήμερα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02/01/20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υπερτιμημένη, υποτιμημένη ή σωστά αποτιμημένη.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22</xdr:col>
      <xdr:colOff>19050</xdr:colOff>
      <xdr:row>52</xdr:row>
      <xdr:rowOff>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10010775"/>
          <a:ext cx="6515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809625</xdr:colOff>
      <xdr:row>25</xdr:row>
      <xdr:rowOff>47625</xdr:rowOff>
    </xdr:from>
    <xdr:to>
      <xdr:col>4</xdr:col>
      <xdr:colOff>485775</xdr:colOff>
      <xdr:row>28</xdr:row>
      <xdr:rowOff>161925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0200" y="4876800"/>
          <a:ext cx="176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60</xdr:row>
      <xdr:rowOff>180975</xdr:rowOff>
    </xdr:from>
    <xdr:to>
      <xdr:col>7</xdr:col>
      <xdr:colOff>200025</xdr:colOff>
      <xdr:row>68</xdr:row>
      <xdr:rowOff>66675</xdr:rowOff>
    </xdr:to>
    <xdr:sp>
      <xdr:nvSpPr>
        <xdr:cNvPr id="1" name="Straight Arrow Connector 2"/>
        <xdr:cNvSpPr>
          <a:spLocks/>
        </xdr:cNvSpPr>
      </xdr:nvSpPr>
      <xdr:spPr>
        <a:xfrm flipV="1">
          <a:off x="5162550" y="11887200"/>
          <a:ext cx="3790950" cy="14478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76200</xdr:rowOff>
    </xdr:from>
    <xdr:to>
      <xdr:col>7</xdr:col>
      <xdr:colOff>66675</xdr:colOff>
      <xdr:row>8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676275"/>
          <a:ext cx="85058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Μέσα από τις ακόλουθες Προβλεπόμενες Οικονομικές Καταστάσεις με βάση το Επιχειρηματικό Σχέδιο της εταιρείας για την περίοδο 2016-2019, ο Επενδυτικός Οίκος CENTAURUS, εξετάζει την πιθανότητα απόκτησης του 30% του μετοχικού Κεφαλαίου της εταιρείας ΒΙΟΧΗΜΙΚΗ προς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0,5€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ανά μετοχή. Εάν το μετοχικό Κεφάλαιο της εταιρείας διαιρείται σε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3,000,000</a:t>
          </a:r>
          <a:r>
            <a:rPr lang="en-US" cap="none" sz="12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μετοχές να αξιολόγησετε την απόφαση της CENTAURUS,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θεωρώντας ότι οι αναλυτές της εταιρείας, χρησιμοποιούν τα μοντέλα Αδέσμευτων Ταμειακών Ροών.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41"/>
  <sheetViews>
    <sheetView tabSelected="1" zoomScalePageLayoutView="0" workbookViewId="0" topLeftCell="A11">
      <selection activeCell="G17" sqref="G17"/>
    </sheetView>
  </sheetViews>
  <sheetFormatPr defaultColWidth="8.8515625" defaultRowHeight="15"/>
  <cols>
    <col min="1" max="1" width="11.8515625" style="0" customWidth="1"/>
    <col min="2" max="2" width="12.421875" style="0" customWidth="1"/>
    <col min="3" max="3" width="9.8515625" style="0" customWidth="1"/>
    <col min="4" max="4" width="9.00390625" style="0" customWidth="1"/>
    <col min="5" max="15" width="8.8515625" style="0" customWidth="1"/>
    <col min="16" max="19" width="8.8515625" style="1" customWidth="1"/>
  </cols>
  <sheetData>
    <row r="1" spans="1:15" ht="15.75" thickTop="1">
      <c r="A1" s="212" t="s">
        <v>117</v>
      </c>
      <c r="B1" s="213"/>
      <c r="C1" s="213"/>
      <c r="D1" s="213"/>
      <c r="E1" s="213"/>
      <c r="F1" s="213"/>
      <c r="G1" s="181"/>
      <c r="H1" s="182"/>
      <c r="I1" s="1"/>
      <c r="J1" s="1"/>
      <c r="K1" s="1"/>
      <c r="L1" s="1"/>
      <c r="M1" s="1"/>
      <c r="N1" s="1"/>
      <c r="O1" s="1"/>
    </row>
    <row r="2" spans="1:15" ht="15.75" thickBot="1">
      <c r="A2" s="2" t="s">
        <v>115</v>
      </c>
      <c r="B2" s="113"/>
      <c r="C2" s="113"/>
      <c r="D2" s="113"/>
      <c r="E2" s="113"/>
      <c r="F2" s="113"/>
      <c r="G2" s="183"/>
      <c r="H2" s="184"/>
      <c r="I2" s="1"/>
      <c r="J2" s="1"/>
      <c r="K2" s="1"/>
      <c r="L2" s="1"/>
      <c r="M2" s="1"/>
      <c r="N2" s="1"/>
      <c r="O2" s="1"/>
    </row>
    <row r="3" spans="1:15" ht="15.75" thickTop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5">
      <c r="A11" s="104" t="s">
        <v>68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5">
      <c r="A12" s="91" t="s">
        <v>113</v>
      </c>
      <c r="B12" s="91"/>
      <c r="C12" s="200"/>
      <c r="D12" s="201">
        <v>0.06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5">
      <c r="A13" s="94" t="s">
        <v>106</v>
      </c>
      <c r="B13" s="191"/>
      <c r="C13" s="191"/>
      <c r="D13" s="202">
        <v>0.09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5">
      <c r="A14" s="94" t="s">
        <v>88</v>
      </c>
      <c r="B14" s="191"/>
      <c r="C14" s="191"/>
      <c r="D14" s="203">
        <v>0.95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5">
      <c r="A15" s="94" t="s">
        <v>112</v>
      </c>
      <c r="B15" s="191"/>
      <c r="C15" s="191"/>
      <c r="D15" s="202">
        <f>D12+D14*D13</f>
        <v>0.1455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5">
      <c r="A16" s="207"/>
      <c r="B16" s="208"/>
      <c r="C16" s="208"/>
      <c r="D16" s="209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5">
      <c r="A17" s="94" t="s">
        <v>109</v>
      </c>
      <c r="B17" s="191"/>
      <c r="C17" s="191"/>
      <c r="D17" s="204">
        <v>0.6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5">
      <c r="A18" s="94" t="s">
        <v>108</v>
      </c>
      <c r="B18" s="191"/>
      <c r="C18" s="191"/>
      <c r="D18" s="204">
        <v>0.1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5">
      <c r="A19" s="101" t="s">
        <v>114</v>
      </c>
      <c r="B19" s="205"/>
      <c r="C19" s="205"/>
      <c r="D19" s="206">
        <f>D18*D17</f>
        <v>0.06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5.75" thickBot="1">
      <c r="A20" s="97"/>
      <c r="B20" s="1"/>
      <c r="C20" s="1"/>
      <c r="D20" s="180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6.5" thickBot="1" thickTop="1">
      <c r="A21" s="187"/>
      <c r="B21" s="188"/>
      <c r="C21" s="189">
        <v>1</v>
      </c>
      <c r="D21" s="189">
        <v>2</v>
      </c>
      <c r="E21" s="189">
        <v>3</v>
      </c>
      <c r="F21" s="189">
        <v>4</v>
      </c>
      <c r="G21" s="189">
        <v>5</v>
      </c>
      <c r="H21" s="190"/>
      <c r="I21" s="1"/>
      <c r="J21" s="1"/>
      <c r="K21" s="1"/>
      <c r="L21" s="1"/>
      <c r="M21" s="1"/>
      <c r="N21" s="1"/>
      <c r="O21" s="1"/>
    </row>
    <row r="22" spans="1:15" ht="15.75" thickBot="1">
      <c r="A22" s="215" t="s">
        <v>121</v>
      </c>
      <c r="B22" s="216"/>
      <c r="C22" s="146">
        <v>2018</v>
      </c>
      <c r="D22" s="146">
        <v>2019</v>
      </c>
      <c r="E22" s="146">
        <v>2020</v>
      </c>
      <c r="F22" s="146">
        <v>21</v>
      </c>
      <c r="G22" s="146">
        <v>2022</v>
      </c>
      <c r="H22" s="192" t="s">
        <v>110</v>
      </c>
      <c r="I22" s="1"/>
      <c r="J22" s="1"/>
      <c r="K22" s="1"/>
      <c r="L22" s="1"/>
      <c r="M22" s="1"/>
      <c r="N22" s="1"/>
      <c r="O22" s="1"/>
    </row>
    <row r="23" spans="1:15" ht="15">
      <c r="A23" s="193" t="s">
        <v>105</v>
      </c>
      <c r="B23" s="191"/>
      <c r="C23" s="194">
        <v>0.12</v>
      </c>
      <c r="D23" s="194">
        <v>0.12</v>
      </c>
      <c r="E23" s="194">
        <v>0.18</v>
      </c>
      <c r="F23" s="194">
        <f>E23*(1+D17*D18)</f>
        <v>0.1908</v>
      </c>
      <c r="G23" s="194">
        <f>E23*(1+D17*D18)^2</f>
        <v>0.202248</v>
      </c>
      <c r="H23" s="195"/>
      <c r="I23" s="1"/>
      <c r="J23" s="1"/>
      <c r="K23" s="1"/>
      <c r="L23" s="1"/>
      <c r="M23" s="1"/>
      <c r="N23" s="1"/>
      <c r="O23" s="1"/>
    </row>
    <row r="24" spans="1:15" ht="15">
      <c r="A24" s="193" t="s">
        <v>107</v>
      </c>
      <c r="B24" s="191"/>
      <c r="C24" s="194">
        <v>0</v>
      </c>
      <c r="D24" s="194">
        <v>0</v>
      </c>
      <c r="E24" s="194">
        <f>E23*(1-D17)</f>
        <v>0.072</v>
      </c>
      <c r="F24" s="194">
        <f>E24*(1+D17*D18)</f>
        <v>0.07632</v>
      </c>
      <c r="G24" s="194">
        <f>E24*(1+D18*D17)^2</f>
        <v>0.0808992</v>
      </c>
      <c r="H24" s="195"/>
      <c r="I24" s="1"/>
      <c r="J24" s="1"/>
      <c r="K24" s="1"/>
      <c r="L24" s="1"/>
      <c r="M24" s="1"/>
      <c r="N24" s="1"/>
      <c r="O24" s="1"/>
    </row>
    <row r="25" spans="1:15" ht="15">
      <c r="A25" s="196" t="s">
        <v>111</v>
      </c>
      <c r="B25" s="197"/>
      <c r="C25" s="198">
        <f>C24/(1+$D$15)^C21</f>
        <v>0</v>
      </c>
      <c r="D25" s="198">
        <f>D24/(1+$D$15)^D21</f>
        <v>0</v>
      </c>
      <c r="E25" s="198">
        <f>E24/(1+$D$15)^E21</f>
        <v>0.04790129072432069</v>
      </c>
      <c r="F25" s="198">
        <f>F24/(1+$D$15)^F21</f>
        <v>0.04432594340268873</v>
      </c>
      <c r="G25" s="198">
        <f>G24/(1+$D$15)^G21</f>
        <v>0.041017459630598045</v>
      </c>
      <c r="H25" s="195"/>
      <c r="I25" s="1"/>
      <c r="J25" s="1"/>
      <c r="K25" s="1"/>
      <c r="L25" s="1"/>
      <c r="M25" s="1"/>
      <c r="N25" s="1"/>
      <c r="O25" s="1"/>
    </row>
    <row r="26" spans="1:15" ht="15">
      <c r="A26" s="177"/>
      <c r="B26" s="191"/>
      <c r="C26" s="191"/>
      <c r="D26" s="191"/>
      <c r="E26" s="191"/>
      <c r="F26" s="191"/>
      <c r="G26" s="191"/>
      <c r="H26" s="199"/>
      <c r="I26" s="1"/>
      <c r="J26" s="1"/>
      <c r="K26" s="1"/>
      <c r="L26" s="1"/>
      <c r="M26" s="1"/>
      <c r="N26" s="1"/>
      <c r="O26" s="1"/>
    </row>
    <row r="27" spans="1:15" ht="15">
      <c r="A27" s="177"/>
      <c r="B27" s="191"/>
      <c r="C27" s="191"/>
      <c r="D27" s="191"/>
      <c r="E27" s="191"/>
      <c r="F27" s="191"/>
      <c r="G27" s="191"/>
      <c r="H27" s="199"/>
      <c r="I27" s="1"/>
      <c r="J27" s="1"/>
      <c r="K27" s="1"/>
      <c r="L27" s="1"/>
      <c r="M27" s="1"/>
      <c r="N27" s="1"/>
      <c r="O27" s="1"/>
    </row>
    <row r="28" spans="1:15" ht="16.5">
      <c r="A28" s="196" t="s">
        <v>120</v>
      </c>
      <c r="B28" s="191"/>
      <c r="C28" s="191"/>
      <c r="D28" s="191"/>
      <c r="E28" s="211"/>
      <c r="F28" s="210">
        <f>((E24+F24)/(D15-D19))/(1+D15)^3</f>
        <v>1.1541129694982533</v>
      </c>
      <c r="G28" s="191"/>
      <c r="H28" s="199"/>
      <c r="I28" s="1"/>
      <c r="J28" s="1"/>
      <c r="K28" s="1"/>
      <c r="L28" s="1"/>
      <c r="M28" s="1"/>
      <c r="N28" s="1"/>
      <c r="O28" s="1"/>
    </row>
    <row r="29" spans="1:15" ht="15.75" thickBot="1">
      <c r="A29" s="176"/>
      <c r="B29" s="178"/>
      <c r="C29" s="178"/>
      <c r="D29" s="178"/>
      <c r="E29" s="178"/>
      <c r="F29" s="178"/>
      <c r="G29" s="178"/>
      <c r="H29" s="179"/>
      <c r="I29" s="1"/>
      <c r="J29" s="1"/>
      <c r="K29" s="1"/>
      <c r="L29" s="1"/>
      <c r="M29" s="1"/>
      <c r="N29" s="1"/>
      <c r="O29" s="1"/>
    </row>
    <row r="30" spans="1:15" ht="15.75" thickTop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5">
      <c r="A31" s="214" t="s">
        <v>116</v>
      </c>
      <c r="B31" s="214"/>
      <c r="C31" s="185">
        <f>F28</f>
        <v>1.1541129694982533</v>
      </c>
      <c r="D31" s="186" t="s">
        <v>122</v>
      </c>
      <c r="E31" s="186"/>
      <c r="F31" s="186"/>
      <c r="G31" s="186"/>
      <c r="H31" s="186"/>
      <c r="I31" s="186"/>
      <c r="J31" s="186"/>
      <c r="K31" s="186"/>
      <c r="L31" s="1"/>
      <c r="M31" s="1"/>
      <c r="N31" s="1"/>
      <c r="O31" s="1"/>
    </row>
    <row r="32" spans="1:15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  <row r="101" spans="1:50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</row>
    <row r="102" spans="1:50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</row>
    <row r="103" spans="1:50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</row>
    <row r="104" spans="1:50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</row>
    <row r="105" spans="1:50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</row>
    <row r="106" spans="1:50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</row>
    <row r="107" spans="1:50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</row>
    <row r="108" spans="1:50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</row>
    <row r="109" spans="1:50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</row>
    <row r="110" spans="1:50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</row>
    <row r="111" spans="1:50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</row>
    <row r="112" spans="1:50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</row>
    <row r="113" spans="1:50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</row>
    <row r="114" spans="1:50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</row>
    <row r="115" spans="1:50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</row>
    <row r="116" spans="1:50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</row>
    <row r="117" spans="1:50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</row>
    <row r="118" spans="1:50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</row>
    <row r="119" spans="1:50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</row>
    <row r="120" spans="1:50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</row>
    <row r="121" spans="1:50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</row>
    <row r="122" spans="1:50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</row>
    <row r="123" spans="1:50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</row>
    <row r="124" spans="1:50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</row>
    <row r="125" spans="1:50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</row>
    <row r="126" spans="1:50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</row>
    <row r="127" spans="1:50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</row>
    <row r="128" spans="1:50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</row>
    <row r="129" spans="1:50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</row>
    <row r="130" spans="1:50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</row>
    <row r="131" spans="1:50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</row>
    <row r="132" spans="1:50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</row>
    <row r="133" spans="1:50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</row>
    <row r="134" spans="1:50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</row>
    <row r="135" spans="1:50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</row>
    <row r="136" spans="1:50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</row>
    <row r="137" spans="1:50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</row>
    <row r="138" spans="1:50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</row>
    <row r="139" spans="1:50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</row>
    <row r="140" spans="1:50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</row>
    <row r="141" spans="1:50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</row>
  </sheetData>
  <sheetProtection/>
  <mergeCells count="3">
    <mergeCell ref="A1:F1"/>
    <mergeCell ref="A31:B31"/>
    <mergeCell ref="A22:B22"/>
  </mergeCells>
  <printOptions/>
  <pageMargins left="0.75" right="0.75" top="1" bottom="1" header="0.3" footer="0.3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07"/>
  <sheetViews>
    <sheetView zoomScale="90" zoomScaleNormal="90" zoomScalePageLayoutView="0" workbookViewId="0" topLeftCell="A43">
      <selection activeCell="B48" sqref="B48"/>
    </sheetView>
  </sheetViews>
  <sheetFormatPr defaultColWidth="8.8515625" defaultRowHeight="15"/>
  <cols>
    <col min="1" max="1" width="8.8515625" style="20" customWidth="1"/>
    <col min="2" max="2" width="58.8515625" style="20" customWidth="1"/>
    <col min="3" max="8" width="12.7109375" style="20" customWidth="1"/>
    <col min="9" max="9" width="13.421875" style="20" customWidth="1"/>
    <col min="10" max="12" width="8.8515625" style="20" customWidth="1"/>
    <col min="13" max="14" width="8.8515625" style="22" customWidth="1"/>
    <col min="15" max="16384" width="8.8515625" style="20" customWidth="1"/>
  </cols>
  <sheetData>
    <row r="1" spans="1:12" ht="15.75" thickTop="1">
      <c r="A1" s="212" t="s">
        <v>118</v>
      </c>
      <c r="B1" s="213"/>
      <c r="C1" s="213"/>
      <c r="D1" s="213"/>
      <c r="E1" s="213"/>
      <c r="F1" s="217"/>
      <c r="G1" s="111"/>
      <c r="H1" s="112"/>
      <c r="I1" s="22"/>
      <c r="J1" s="21"/>
      <c r="K1" s="21"/>
      <c r="L1" s="22"/>
    </row>
    <row r="2" spans="1:12" ht="15.75" thickBot="1">
      <c r="A2" s="2" t="s">
        <v>19</v>
      </c>
      <c r="B2" s="113"/>
      <c r="C2" s="113"/>
      <c r="D2" s="113"/>
      <c r="E2" s="113"/>
      <c r="F2" s="114"/>
      <c r="G2" s="111"/>
      <c r="H2" s="112"/>
      <c r="I2" s="22"/>
      <c r="J2" s="21"/>
      <c r="K2" s="21"/>
      <c r="L2" s="22"/>
    </row>
    <row r="3" spans="1:12" ht="15.75" thickTop="1">
      <c r="A3" s="22"/>
      <c r="B3" s="3"/>
      <c r="C3" s="22"/>
      <c r="D3" s="22"/>
      <c r="E3" s="22"/>
      <c r="F3" s="22"/>
      <c r="G3" s="111"/>
      <c r="H3" s="112"/>
      <c r="I3" s="22"/>
      <c r="J3" s="21"/>
      <c r="K3" s="21"/>
      <c r="L3" s="22"/>
    </row>
    <row r="4" spans="1:12" ht="15">
      <c r="A4" s="22"/>
      <c r="B4" s="3"/>
      <c r="C4" s="22"/>
      <c r="D4" s="22"/>
      <c r="E4" s="22"/>
      <c r="F4" s="22"/>
      <c r="G4" s="111"/>
      <c r="H4" s="112"/>
      <c r="I4" s="22"/>
      <c r="J4" s="21"/>
      <c r="K4" s="21"/>
      <c r="L4" s="22"/>
    </row>
    <row r="5" spans="1:12" ht="15">
      <c r="A5" s="115"/>
      <c r="B5" s="173" t="s">
        <v>6</v>
      </c>
      <c r="C5" s="116"/>
      <c r="D5" s="116"/>
      <c r="E5" s="117"/>
      <c r="F5" s="118"/>
      <c r="G5" s="117"/>
      <c r="H5" s="116"/>
      <c r="I5" s="119"/>
      <c r="J5" s="119"/>
      <c r="K5" s="116"/>
      <c r="L5" s="119"/>
    </row>
    <row r="6" spans="1:12" ht="15.75" thickBot="1">
      <c r="A6" s="115"/>
      <c r="B6" s="174" t="s">
        <v>7</v>
      </c>
      <c r="C6" s="120"/>
      <c r="D6" s="120"/>
      <c r="E6" s="121"/>
      <c r="F6" s="122"/>
      <c r="G6" s="121"/>
      <c r="H6" s="120"/>
      <c r="I6" s="123"/>
      <c r="J6" s="123"/>
      <c r="K6" s="120"/>
      <c r="L6" s="123"/>
    </row>
    <row r="7" spans="1:12" ht="15">
      <c r="A7" s="22"/>
      <c r="B7" s="112"/>
      <c r="C7" s="22"/>
      <c r="D7" s="22"/>
      <c r="E7" s="112"/>
      <c r="F7" s="111"/>
      <c r="G7" s="112"/>
      <c r="H7" s="22"/>
      <c r="I7" s="21"/>
      <c r="J7" s="21"/>
      <c r="K7" s="22"/>
      <c r="L7" s="21"/>
    </row>
    <row r="8" spans="1:12" ht="15">
      <c r="A8" s="22"/>
      <c r="B8" s="4" t="s">
        <v>8</v>
      </c>
      <c r="C8" s="5">
        <v>2017</v>
      </c>
      <c r="D8" s="124"/>
      <c r="E8" s="112"/>
      <c r="F8" s="111"/>
      <c r="G8" s="112"/>
      <c r="H8" s="22"/>
      <c r="I8" s="21"/>
      <c r="J8" s="21"/>
      <c r="K8" s="22"/>
      <c r="L8" s="21"/>
    </row>
    <row r="9" spans="1:12" ht="15">
      <c r="A9" s="22"/>
      <c r="B9" s="125" t="s">
        <v>9</v>
      </c>
      <c r="C9" s="126">
        <v>20000000</v>
      </c>
      <c r="D9" s="22"/>
      <c r="E9" s="112"/>
      <c r="F9" s="111"/>
      <c r="G9" s="112"/>
      <c r="H9" s="22"/>
      <c r="I9" s="21"/>
      <c r="J9" s="21"/>
      <c r="K9" s="22"/>
      <c r="L9" s="21"/>
    </row>
    <row r="10" spans="1:12" ht="15">
      <c r="A10" s="22"/>
      <c r="B10" s="127" t="s">
        <v>10</v>
      </c>
      <c r="C10" s="128">
        <v>0.2</v>
      </c>
      <c r="D10" s="22"/>
      <c r="E10" s="112"/>
      <c r="F10" s="111"/>
      <c r="G10" s="112"/>
      <c r="H10" s="22"/>
      <c r="I10" s="21"/>
      <c r="J10" s="21"/>
      <c r="K10" s="22"/>
      <c r="L10" s="21"/>
    </row>
    <row r="11" spans="1:12" ht="15">
      <c r="A11" s="22"/>
      <c r="B11" s="127" t="s">
        <v>11</v>
      </c>
      <c r="C11" s="129">
        <v>2000000</v>
      </c>
      <c r="D11" s="22"/>
      <c r="E11" s="112"/>
      <c r="F11" s="111"/>
      <c r="G11" s="112"/>
      <c r="H11" s="22"/>
      <c r="I11" s="21"/>
      <c r="J11" s="21"/>
      <c r="K11" s="22"/>
      <c r="L11" s="21"/>
    </row>
    <row r="12" spans="1:12" ht="15">
      <c r="A12" s="22"/>
      <c r="B12" s="127" t="s">
        <v>2</v>
      </c>
      <c r="C12" s="129">
        <v>3000000</v>
      </c>
      <c r="D12" s="22"/>
      <c r="E12" s="112"/>
      <c r="F12" s="111"/>
      <c r="G12" s="112"/>
      <c r="H12" s="22"/>
      <c r="I12" s="21"/>
      <c r="J12" s="21"/>
      <c r="K12" s="22"/>
      <c r="L12" s="21"/>
    </row>
    <row r="13" spans="1:12" ht="15">
      <c r="A13" s="22"/>
      <c r="B13" s="127" t="s">
        <v>21</v>
      </c>
      <c r="C13" s="128">
        <v>0.075</v>
      </c>
      <c r="D13" s="22"/>
      <c r="E13" s="112"/>
      <c r="F13" s="111"/>
      <c r="G13" s="112"/>
      <c r="H13" s="22"/>
      <c r="I13" s="21"/>
      <c r="J13" s="21"/>
      <c r="K13" s="22"/>
      <c r="L13" s="21"/>
    </row>
    <row r="14" spans="1:12" ht="15">
      <c r="A14" s="22"/>
      <c r="B14" s="127" t="s">
        <v>97</v>
      </c>
      <c r="C14" s="129">
        <v>30000000</v>
      </c>
      <c r="D14" s="22"/>
      <c r="E14" s="112"/>
      <c r="F14" s="111"/>
      <c r="G14" s="112"/>
      <c r="H14" s="22"/>
      <c r="I14" s="21"/>
      <c r="J14" s="21"/>
      <c r="K14" s="22"/>
      <c r="L14" s="21"/>
    </row>
    <row r="15" spans="1:12" ht="15">
      <c r="A15" s="22"/>
      <c r="B15" s="127" t="s">
        <v>98</v>
      </c>
      <c r="C15" s="129">
        <v>1200000</v>
      </c>
      <c r="D15" s="22"/>
      <c r="E15" s="112"/>
      <c r="F15" s="111"/>
      <c r="G15" s="112"/>
      <c r="H15" s="22"/>
      <c r="I15" s="21"/>
      <c r="J15" s="21"/>
      <c r="K15" s="22"/>
      <c r="L15" s="21"/>
    </row>
    <row r="16" spans="1:12" ht="15">
      <c r="A16" s="22"/>
      <c r="B16" s="130" t="s">
        <v>99</v>
      </c>
      <c r="C16" s="131">
        <v>0.055</v>
      </c>
      <c r="D16" s="22"/>
      <c r="E16" s="112"/>
      <c r="F16" s="111"/>
      <c r="G16" s="112"/>
      <c r="H16" s="22"/>
      <c r="I16" s="21"/>
      <c r="J16" s="21"/>
      <c r="K16" s="22"/>
      <c r="L16" s="21"/>
    </row>
    <row r="17" spans="1:12" ht="15">
      <c r="A17" s="22"/>
      <c r="B17" s="132" t="s">
        <v>29</v>
      </c>
      <c r="C17" s="133" t="s">
        <v>28</v>
      </c>
      <c r="D17" s="22"/>
      <c r="E17" s="112"/>
      <c r="F17" s="111"/>
      <c r="G17" s="112"/>
      <c r="H17" s="22"/>
      <c r="I17" s="21"/>
      <c r="J17" s="21"/>
      <c r="K17" s="22"/>
      <c r="L17" s="21"/>
    </row>
    <row r="18" spans="1:12" ht="15">
      <c r="A18" s="22"/>
      <c r="B18" s="112"/>
      <c r="C18" s="134"/>
      <c r="D18" s="22"/>
      <c r="E18" s="112"/>
      <c r="F18" s="111"/>
      <c r="G18" s="112"/>
      <c r="H18" s="22"/>
      <c r="I18" s="21"/>
      <c r="J18" s="21"/>
      <c r="K18" s="22"/>
      <c r="L18" s="21"/>
    </row>
    <row r="19" spans="1:12" ht="15">
      <c r="A19" s="22"/>
      <c r="B19" s="11" t="s">
        <v>30</v>
      </c>
      <c r="C19" s="12">
        <v>2017</v>
      </c>
      <c r="D19" s="13">
        <v>2018</v>
      </c>
      <c r="E19" s="13">
        <v>2019</v>
      </c>
      <c r="F19" s="13">
        <v>2020</v>
      </c>
      <c r="G19" s="13">
        <v>2021</v>
      </c>
      <c r="H19" s="14">
        <v>2022</v>
      </c>
      <c r="I19" s="21"/>
      <c r="J19" s="21"/>
      <c r="K19" s="22"/>
      <c r="L19" s="21"/>
    </row>
    <row r="20" spans="1:12" ht="15">
      <c r="A20" s="22"/>
      <c r="B20" s="127" t="s">
        <v>22</v>
      </c>
      <c r="C20" s="135"/>
      <c r="D20" s="135">
        <v>2000000</v>
      </c>
      <c r="E20" s="135">
        <v>3000000</v>
      </c>
      <c r="F20" s="135">
        <v>4000000</v>
      </c>
      <c r="G20" s="135">
        <v>2000000</v>
      </c>
      <c r="H20" s="136">
        <v>2000000</v>
      </c>
      <c r="I20" s="21"/>
      <c r="J20" s="21"/>
      <c r="K20" s="22"/>
      <c r="L20" s="21"/>
    </row>
    <row r="21" spans="1:12" ht="15">
      <c r="A21" s="22"/>
      <c r="B21" s="127" t="s">
        <v>23</v>
      </c>
      <c r="C21" s="135"/>
      <c r="D21" s="135">
        <v>1600000</v>
      </c>
      <c r="E21" s="135">
        <v>1500000</v>
      </c>
      <c r="F21" s="135">
        <v>1400000</v>
      </c>
      <c r="G21" s="135">
        <v>1300000</v>
      </c>
      <c r="H21" s="136">
        <v>1000000</v>
      </c>
      <c r="I21" s="21"/>
      <c r="J21" s="21"/>
      <c r="K21" s="22"/>
      <c r="L21" s="21"/>
    </row>
    <row r="22" spans="1:12" ht="15">
      <c r="A22" s="22"/>
      <c r="B22" s="127" t="s">
        <v>24</v>
      </c>
      <c r="C22" s="135"/>
      <c r="D22" s="135">
        <f>D20-D21</f>
        <v>400000</v>
      </c>
      <c r="E22" s="135">
        <f>E20-E21</f>
        <v>1500000</v>
      </c>
      <c r="F22" s="135">
        <f>F20-F21</f>
        <v>2600000</v>
      </c>
      <c r="G22" s="135">
        <f>G20-G21</f>
        <v>700000</v>
      </c>
      <c r="H22" s="136">
        <f>H20-H21</f>
        <v>1000000</v>
      </c>
      <c r="I22" s="21"/>
      <c r="J22" s="21"/>
      <c r="K22" s="22"/>
      <c r="L22" s="21"/>
    </row>
    <row r="23" spans="1:12" ht="15">
      <c r="A23" s="22"/>
      <c r="B23" s="15" t="s">
        <v>27</v>
      </c>
      <c r="C23" s="16">
        <f>C14</f>
        <v>30000000</v>
      </c>
      <c r="D23" s="16">
        <f>C23+D22</f>
        <v>30400000</v>
      </c>
      <c r="E23" s="16">
        <f>D23+E22</f>
        <v>31900000</v>
      </c>
      <c r="F23" s="16">
        <f>E23+F22</f>
        <v>34500000</v>
      </c>
      <c r="G23" s="16">
        <f>F23+G22</f>
        <v>35200000</v>
      </c>
      <c r="H23" s="17">
        <f>G23+H22</f>
        <v>36200000</v>
      </c>
      <c r="I23" s="21"/>
      <c r="J23" s="21"/>
      <c r="K23" s="22"/>
      <c r="L23" s="21"/>
    </row>
    <row r="24" spans="1:12" ht="15">
      <c r="A24" s="22"/>
      <c r="B24" s="112"/>
      <c r="C24" s="134"/>
      <c r="D24" s="22"/>
      <c r="E24" s="112"/>
      <c r="F24" s="111"/>
      <c r="G24" s="112"/>
      <c r="H24" s="22"/>
      <c r="I24" s="21"/>
      <c r="J24" s="21"/>
      <c r="K24" s="22"/>
      <c r="L24" s="21"/>
    </row>
    <row r="25" spans="1:12" ht="15">
      <c r="A25" s="22"/>
      <c r="B25" s="112"/>
      <c r="C25" s="134"/>
      <c r="D25" s="22"/>
      <c r="E25" s="112"/>
      <c r="F25" s="111"/>
      <c r="G25" s="112"/>
      <c r="H25" s="22"/>
      <c r="I25" s="21"/>
      <c r="J25" s="21"/>
      <c r="K25" s="22"/>
      <c r="L25" s="21"/>
    </row>
    <row r="26" spans="1:12" ht="15">
      <c r="A26" s="22"/>
      <c r="B26" s="112"/>
      <c r="C26" s="134"/>
      <c r="D26" s="22"/>
      <c r="E26" s="112"/>
      <c r="F26" s="111"/>
      <c r="G26" s="112"/>
      <c r="H26" s="22"/>
      <c r="I26" s="21"/>
      <c r="J26" s="21"/>
      <c r="K26" s="22"/>
      <c r="L26" s="21"/>
    </row>
    <row r="27" spans="1:12" ht="15">
      <c r="A27" s="22"/>
      <c r="B27" s="4" t="s">
        <v>31</v>
      </c>
      <c r="C27" s="137"/>
      <c r="D27" s="124"/>
      <c r="E27" s="112"/>
      <c r="F27" s="111"/>
      <c r="G27" s="112"/>
      <c r="H27" s="22"/>
      <c r="I27" s="21"/>
      <c r="J27" s="21"/>
      <c r="K27" s="22"/>
      <c r="L27" s="21"/>
    </row>
    <row r="28" spans="1:12" ht="15">
      <c r="A28" s="22"/>
      <c r="B28" s="22"/>
      <c r="C28" s="22"/>
      <c r="D28" s="7" t="s">
        <v>125</v>
      </c>
      <c r="E28" s="138"/>
      <c r="F28" s="111"/>
      <c r="G28" s="112"/>
      <c r="H28" s="22"/>
      <c r="I28" s="21"/>
      <c r="J28" s="21"/>
      <c r="K28" s="22"/>
      <c r="L28" s="21"/>
    </row>
    <row r="29" spans="1:12" ht="15">
      <c r="A29" s="22"/>
      <c r="B29" s="112" t="s">
        <v>32</v>
      </c>
      <c r="C29" s="22"/>
      <c r="D29" s="139">
        <v>0.1</v>
      </c>
      <c r="E29" s="139"/>
      <c r="F29" s="111"/>
      <c r="G29" s="112"/>
      <c r="H29" s="22"/>
      <c r="I29" s="21"/>
      <c r="J29" s="21"/>
      <c r="K29" s="22"/>
      <c r="L29" s="21"/>
    </row>
    <row r="30" spans="1:12" ht="15">
      <c r="A30" s="22"/>
      <c r="B30" s="112" t="s">
        <v>33</v>
      </c>
      <c r="C30" s="22"/>
      <c r="D30" s="139">
        <v>0.1</v>
      </c>
      <c r="E30" s="139"/>
      <c r="F30" s="111"/>
      <c r="G30" s="112"/>
      <c r="H30" s="22"/>
      <c r="I30" s="21"/>
      <c r="J30" s="21"/>
      <c r="K30" s="22"/>
      <c r="L30" s="21"/>
    </row>
    <row r="31" spans="1:12" ht="16.5">
      <c r="A31" s="22"/>
      <c r="B31" s="112" t="s">
        <v>34</v>
      </c>
      <c r="C31" s="22"/>
      <c r="D31" s="139">
        <v>0.08</v>
      </c>
      <c r="E31" s="22"/>
      <c r="F31" s="111"/>
      <c r="G31" s="112"/>
      <c r="H31" s="22"/>
      <c r="I31" s="21"/>
      <c r="J31" s="21"/>
      <c r="K31" s="22"/>
      <c r="L31" s="21"/>
    </row>
    <row r="32" spans="1:12" ht="15.75">
      <c r="A32" s="22"/>
      <c r="B32" s="26" t="s">
        <v>41</v>
      </c>
      <c r="C32" s="22"/>
      <c r="D32" s="139"/>
      <c r="E32" s="22"/>
      <c r="F32" s="111"/>
      <c r="G32" s="112"/>
      <c r="H32" s="22"/>
      <c r="I32" s="21"/>
      <c r="J32" s="21"/>
      <c r="K32" s="22"/>
      <c r="L32" s="21"/>
    </row>
    <row r="33" spans="1:12" ht="15">
      <c r="A33" s="22"/>
      <c r="B33" s="26" t="s">
        <v>49</v>
      </c>
      <c r="C33" s="22"/>
      <c r="D33" s="139"/>
      <c r="E33" s="18"/>
      <c r="F33" s="111"/>
      <c r="G33" s="112"/>
      <c r="H33" s="22"/>
      <c r="I33" s="21"/>
      <c r="J33" s="21"/>
      <c r="K33" s="22"/>
      <c r="L33" s="21"/>
    </row>
    <row r="34" spans="1:12" ht="15">
      <c r="A34" s="22"/>
      <c r="B34" s="19" t="s">
        <v>12</v>
      </c>
      <c r="C34" s="124"/>
      <c r="D34" s="124"/>
      <c r="E34" s="140"/>
      <c r="F34" s="141"/>
      <c r="G34" s="140"/>
      <c r="H34" s="124"/>
      <c r="I34" s="21"/>
      <c r="J34" s="21"/>
      <c r="K34" s="22"/>
      <c r="L34" s="21"/>
    </row>
    <row r="35" spans="1:12" ht="15">
      <c r="A35" s="22"/>
      <c r="B35" s="6"/>
      <c r="C35" s="8">
        <f>C19</f>
        <v>2017</v>
      </c>
      <c r="D35" s="8">
        <f>D19</f>
        <v>2018</v>
      </c>
      <c r="E35" s="8">
        <f>E19</f>
        <v>2019</v>
      </c>
      <c r="F35" s="8">
        <f>F19</f>
        <v>2020</v>
      </c>
      <c r="G35" s="8">
        <f>G19</f>
        <v>2021</v>
      </c>
      <c r="H35" s="8">
        <f>H19</f>
        <v>2022</v>
      </c>
      <c r="I35" s="21"/>
      <c r="J35" s="21"/>
      <c r="K35" s="22"/>
      <c r="L35" s="21"/>
    </row>
    <row r="36" spans="1:12" ht="15">
      <c r="A36" s="22"/>
      <c r="B36" s="112" t="s">
        <v>0</v>
      </c>
      <c r="C36" s="139">
        <v>0.4</v>
      </c>
      <c r="D36" s="139"/>
      <c r="E36" s="112"/>
      <c r="F36" s="111"/>
      <c r="G36" s="112"/>
      <c r="H36" s="22"/>
      <c r="I36" s="21"/>
      <c r="J36" s="21"/>
      <c r="K36" s="22"/>
      <c r="L36" s="21"/>
    </row>
    <row r="37" spans="1:12" ht="16.5">
      <c r="A37" s="22"/>
      <c r="B37" s="112" t="s">
        <v>35</v>
      </c>
      <c r="C37" s="139">
        <v>0.055</v>
      </c>
      <c r="D37" s="139">
        <v>0.055</v>
      </c>
      <c r="E37" s="139">
        <v>0.058</v>
      </c>
      <c r="F37" s="111">
        <v>0.06</v>
      </c>
      <c r="G37" s="111">
        <v>0.063</v>
      </c>
      <c r="H37" s="21">
        <v>0.065</v>
      </c>
      <c r="I37" s="21"/>
      <c r="J37" s="21"/>
      <c r="K37" s="22"/>
      <c r="L37" s="22"/>
    </row>
    <row r="38" spans="1:12" ht="16.5">
      <c r="A38" s="22"/>
      <c r="B38" s="22" t="s">
        <v>36</v>
      </c>
      <c r="C38" s="21">
        <v>0.093</v>
      </c>
      <c r="D38" s="21">
        <v>0.093</v>
      </c>
      <c r="E38" s="21">
        <v>0.093</v>
      </c>
      <c r="F38" s="21">
        <v>0.093</v>
      </c>
      <c r="G38" s="21">
        <v>0.093</v>
      </c>
      <c r="H38" s="21">
        <v>0.093</v>
      </c>
      <c r="I38" s="21"/>
      <c r="K38" s="22"/>
      <c r="L38" s="22"/>
    </row>
    <row r="39" spans="1:12" ht="16.5">
      <c r="A39" s="22"/>
      <c r="B39" s="22" t="s">
        <v>37</v>
      </c>
      <c r="C39" s="22">
        <v>1.5</v>
      </c>
      <c r="D39" s="22">
        <v>1.5</v>
      </c>
      <c r="E39" s="22">
        <f>D39</f>
        <v>1.5</v>
      </c>
      <c r="F39" s="22">
        <f>E39</f>
        <v>1.5</v>
      </c>
      <c r="G39" s="22">
        <f>F39</f>
        <v>1.5</v>
      </c>
      <c r="H39" s="22">
        <v>1.5</v>
      </c>
      <c r="I39" s="21"/>
      <c r="J39" s="22"/>
      <c r="K39" s="22"/>
      <c r="L39" s="22"/>
    </row>
    <row r="40" spans="1:12" ht="16.5">
      <c r="A40" s="22"/>
      <c r="B40" s="10" t="s">
        <v>43</v>
      </c>
      <c r="C40" s="9">
        <f aca="true" t="shared" si="0" ref="C40:H40">(C39/(C39+1))*C37*(1-$C$36)+(1/(C39+1))*C38</f>
        <v>0.05700000000000001</v>
      </c>
      <c r="D40" s="9">
        <f t="shared" si="0"/>
        <v>0.05700000000000001</v>
      </c>
      <c r="E40" s="9">
        <f t="shared" si="0"/>
        <v>0.05808000000000001</v>
      </c>
      <c r="F40" s="9">
        <f t="shared" si="0"/>
        <v>0.058800000000000005</v>
      </c>
      <c r="G40" s="9">
        <f t="shared" si="0"/>
        <v>0.05988</v>
      </c>
      <c r="H40" s="9">
        <f t="shared" si="0"/>
        <v>0.0606</v>
      </c>
      <c r="I40" s="21"/>
      <c r="J40" s="22"/>
      <c r="K40" s="22"/>
      <c r="L40" s="22"/>
    </row>
    <row r="41" spans="1:12" ht="15">
      <c r="A41" s="22"/>
      <c r="B41" s="27" t="s">
        <v>26</v>
      </c>
      <c r="C41" s="21"/>
      <c r="D41" s="21"/>
      <c r="E41" s="21"/>
      <c r="F41" s="21"/>
      <c r="G41" s="21"/>
      <c r="H41" s="28">
        <v>0.0075</v>
      </c>
      <c r="I41" s="21"/>
      <c r="J41" s="22"/>
      <c r="K41" s="22"/>
      <c r="L41" s="22"/>
    </row>
    <row r="42" spans="1:12" ht="15">
      <c r="A42" s="22"/>
      <c r="B42" s="112" t="s">
        <v>13</v>
      </c>
      <c r="C42" s="142">
        <v>10000000</v>
      </c>
      <c r="D42" s="22"/>
      <c r="E42" s="112"/>
      <c r="F42" s="111"/>
      <c r="G42" s="112"/>
      <c r="H42" s="22"/>
      <c r="I42" s="21"/>
      <c r="J42" s="21"/>
      <c r="K42" s="22"/>
      <c r="L42" s="21"/>
    </row>
    <row r="43" spans="1:12" ht="15">
      <c r="A43" s="22"/>
      <c r="B43" s="22"/>
      <c r="C43" s="21"/>
      <c r="D43" s="21"/>
      <c r="E43" s="21"/>
      <c r="F43" s="21"/>
      <c r="G43" s="21"/>
      <c r="H43" s="21"/>
      <c r="I43" s="22"/>
      <c r="J43" s="22"/>
      <c r="K43" s="22"/>
      <c r="L43" s="22"/>
    </row>
    <row r="44" spans="1:12" ht="15.75">
      <c r="A44" s="22"/>
      <c r="B44" s="23" t="s">
        <v>38</v>
      </c>
      <c r="C44" s="21"/>
      <c r="D44" s="21"/>
      <c r="E44" s="21"/>
      <c r="F44" s="21"/>
      <c r="G44" s="21"/>
      <c r="H44" s="21"/>
      <c r="I44" s="22"/>
      <c r="J44" s="22"/>
      <c r="K44" s="22"/>
      <c r="L44" s="22"/>
    </row>
    <row r="45" spans="1:12" ht="15.75">
      <c r="A45" s="22"/>
      <c r="B45" s="24" t="s">
        <v>39</v>
      </c>
      <c r="C45" s="21"/>
      <c r="D45" s="21"/>
      <c r="E45" s="21"/>
      <c r="F45" s="21"/>
      <c r="G45" s="21"/>
      <c r="H45" s="21"/>
      <c r="I45" s="22"/>
      <c r="J45" s="22"/>
      <c r="K45" s="22"/>
      <c r="L45" s="22"/>
    </row>
    <row r="46" spans="1:12" ht="15.75">
      <c r="A46" s="22"/>
      <c r="B46" s="25" t="s">
        <v>40</v>
      </c>
      <c r="C46" s="21"/>
      <c r="D46" s="21"/>
      <c r="E46" s="21"/>
      <c r="F46" s="21"/>
      <c r="G46" s="21"/>
      <c r="H46" s="21"/>
      <c r="I46" s="22"/>
      <c r="J46" s="22"/>
      <c r="K46" s="22"/>
      <c r="L46" s="22"/>
    </row>
    <row r="47" spans="1:12" ht="16.5">
      <c r="A47" s="22"/>
      <c r="B47" s="223" t="s">
        <v>127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</row>
    <row r="48" spans="1:12" ht="15">
      <c r="A48" s="22"/>
      <c r="B48" s="25"/>
      <c r="C48" s="22"/>
      <c r="D48" s="22"/>
      <c r="E48" s="22"/>
      <c r="F48" s="22"/>
      <c r="G48" s="22"/>
      <c r="H48" s="22"/>
      <c r="I48" s="22"/>
      <c r="J48" s="22"/>
      <c r="K48" s="22"/>
      <c r="L48" s="22"/>
    </row>
    <row r="49" spans="1:12" ht="15">
      <c r="A49" s="115"/>
      <c r="B49" s="173" t="s">
        <v>14</v>
      </c>
      <c r="C49" s="116"/>
      <c r="D49" s="116"/>
      <c r="E49" s="117"/>
      <c r="F49" s="118"/>
      <c r="G49" s="117"/>
      <c r="H49" s="116"/>
      <c r="I49" s="119"/>
      <c r="J49" s="119"/>
      <c r="K49" s="116"/>
      <c r="L49" s="119"/>
    </row>
    <row r="50" spans="1:12" ht="15.75" thickBot="1">
      <c r="A50" s="115"/>
      <c r="B50" s="174" t="s">
        <v>15</v>
      </c>
      <c r="C50" s="120"/>
      <c r="D50" s="120"/>
      <c r="E50" s="121"/>
      <c r="F50" s="122"/>
      <c r="G50" s="121"/>
      <c r="H50" s="120"/>
      <c r="I50" s="123"/>
      <c r="J50" s="123"/>
      <c r="K50" s="120"/>
      <c r="L50" s="123"/>
    </row>
    <row r="51" spans="1:12" ht="1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</row>
    <row r="52" spans="1:12" ht="15.75" thickBo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</row>
    <row r="53" spans="1:12" ht="15.75" thickBot="1">
      <c r="A53" s="22"/>
      <c r="B53" s="170"/>
      <c r="C53" s="146">
        <f>C35</f>
        <v>2017</v>
      </c>
      <c r="D53" s="146">
        <f>D35</f>
        <v>2018</v>
      </c>
      <c r="E53" s="146">
        <f>E35</f>
        <v>2019</v>
      </c>
      <c r="F53" s="146">
        <f>F35</f>
        <v>2020</v>
      </c>
      <c r="G53" s="146">
        <f>G35</f>
        <v>2021</v>
      </c>
      <c r="H53" s="146">
        <f>H35</f>
        <v>2022</v>
      </c>
      <c r="I53" s="22"/>
      <c r="J53" s="22"/>
      <c r="K53" s="22"/>
      <c r="L53" s="22"/>
    </row>
    <row r="54" spans="1:12" ht="15.75" thickBot="1">
      <c r="A54" s="22"/>
      <c r="B54" s="171" t="s">
        <v>16</v>
      </c>
      <c r="C54" s="147">
        <f>C9</f>
        <v>20000000</v>
      </c>
      <c r="D54" s="147">
        <f>C54*(1+$D$29)</f>
        <v>22000000</v>
      </c>
      <c r="E54" s="147">
        <f>D54*(1+$D$29)</f>
        <v>24200000.000000004</v>
      </c>
      <c r="F54" s="147">
        <f>E54*(1+$D$29)</f>
        <v>26620000.000000007</v>
      </c>
      <c r="G54" s="147">
        <f>F54*(1+$D$29)</f>
        <v>29282000.00000001</v>
      </c>
      <c r="H54" s="147">
        <f>G54*(1+$D$29)</f>
        <v>32210200.000000015</v>
      </c>
      <c r="I54" s="22"/>
      <c r="J54" s="22"/>
      <c r="K54" s="22"/>
      <c r="L54" s="22"/>
    </row>
    <row r="55" spans="1:12" ht="15.75" thickBot="1">
      <c r="A55" s="22"/>
      <c r="B55" s="171" t="s">
        <v>1</v>
      </c>
      <c r="C55" s="147">
        <f aca="true" t="shared" si="1" ref="C55:H55">C54*$C$10</f>
        <v>4000000</v>
      </c>
      <c r="D55" s="147">
        <f t="shared" si="1"/>
        <v>4400000</v>
      </c>
      <c r="E55" s="147">
        <f t="shared" si="1"/>
        <v>4840000.000000001</v>
      </c>
      <c r="F55" s="147">
        <f t="shared" si="1"/>
        <v>5324000.000000002</v>
      </c>
      <c r="G55" s="147">
        <f t="shared" si="1"/>
        <v>5856400.000000003</v>
      </c>
      <c r="H55" s="147">
        <f t="shared" si="1"/>
        <v>6442040.000000004</v>
      </c>
      <c r="I55" s="22"/>
      <c r="J55" s="22"/>
      <c r="K55" s="22"/>
      <c r="L55" s="22"/>
    </row>
    <row r="56" spans="1:12" ht="15.75" thickBot="1">
      <c r="A56" s="22"/>
      <c r="B56" s="171" t="s">
        <v>3</v>
      </c>
      <c r="C56" s="147">
        <f aca="true" t="shared" si="2" ref="C56:H56">C23*C37</f>
        <v>1650000</v>
      </c>
      <c r="D56" s="147">
        <f t="shared" si="2"/>
        <v>1672000</v>
      </c>
      <c r="E56" s="147">
        <f t="shared" si="2"/>
        <v>1850200</v>
      </c>
      <c r="F56" s="147">
        <f t="shared" si="2"/>
        <v>2070000</v>
      </c>
      <c r="G56" s="147">
        <f t="shared" si="2"/>
        <v>2217600</v>
      </c>
      <c r="H56" s="147">
        <f t="shared" si="2"/>
        <v>2353000</v>
      </c>
      <c r="I56" s="22"/>
      <c r="J56" s="22"/>
      <c r="K56" s="22"/>
      <c r="L56" s="22"/>
    </row>
    <row r="57" spans="1:12" ht="15.75" thickBot="1">
      <c r="A57" s="22"/>
      <c r="B57" s="171" t="s">
        <v>2</v>
      </c>
      <c r="C57" s="147">
        <f>C12</f>
        <v>3000000</v>
      </c>
      <c r="D57" s="147">
        <f>C57*(1+$D$31)</f>
        <v>3240000</v>
      </c>
      <c r="E57" s="147">
        <f>D57*(1+$D$31)</f>
        <v>3499200</v>
      </c>
      <c r="F57" s="147">
        <f>E57*(1+$D$31)</f>
        <v>3779136.0000000005</v>
      </c>
      <c r="G57" s="147">
        <f>F57*(1+$D$31)</f>
        <v>4081466.880000001</v>
      </c>
      <c r="H57" s="147">
        <f>G57*(1+$D$31)</f>
        <v>4407984.230400002</v>
      </c>
      <c r="I57" s="22"/>
      <c r="J57" s="22"/>
      <c r="K57" s="22"/>
      <c r="L57" s="22"/>
    </row>
    <row r="58" spans="1:12" ht="15.75" thickBot="1">
      <c r="A58" s="22"/>
      <c r="B58" s="171" t="s">
        <v>4</v>
      </c>
      <c r="C58" s="147">
        <f>C11</f>
        <v>2000000</v>
      </c>
      <c r="D58" s="147">
        <f>C58*(1+$D$30)</f>
        <v>2200000</v>
      </c>
      <c r="E58" s="147">
        <f>D58*(1+$D$30)</f>
        <v>2420000</v>
      </c>
      <c r="F58" s="147">
        <f>E58*(1+$D$30)</f>
        <v>2662000</v>
      </c>
      <c r="G58" s="147">
        <f>F58*(1+$D$30)</f>
        <v>2928200.0000000005</v>
      </c>
      <c r="H58" s="147">
        <f>G58*(1+$D$30)</f>
        <v>3221020.000000001</v>
      </c>
      <c r="I58" s="22"/>
      <c r="J58" s="22"/>
      <c r="K58" s="22"/>
      <c r="L58" s="22"/>
    </row>
    <row r="59" spans="1:12" ht="15.75" thickBot="1">
      <c r="A59" s="22"/>
      <c r="B59" s="171" t="s">
        <v>42</v>
      </c>
      <c r="C59" s="147">
        <f aca="true" t="shared" si="3" ref="C59:H59">C54*$C$13</f>
        <v>1500000</v>
      </c>
      <c r="D59" s="147">
        <f t="shared" si="3"/>
        <v>1650000</v>
      </c>
      <c r="E59" s="147">
        <f t="shared" si="3"/>
        <v>1815000.0000000002</v>
      </c>
      <c r="F59" s="147">
        <f t="shared" si="3"/>
        <v>1996500.0000000005</v>
      </c>
      <c r="G59" s="147">
        <f t="shared" si="3"/>
        <v>2196150.000000001</v>
      </c>
      <c r="H59" s="147">
        <f t="shared" si="3"/>
        <v>2415765.000000001</v>
      </c>
      <c r="I59" s="22"/>
      <c r="J59" s="22"/>
      <c r="K59" s="22"/>
      <c r="L59" s="22"/>
    </row>
    <row r="60" spans="1:12" ht="15" customHeight="1" thickBot="1">
      <c r="A60" s="22"/>
      <c r="B60" s="172" t="s">
        <v>20</v>
      </c>
      <c r="C60" s="148">
        <f aca="true" t="shared" si="4" ref="C60:H60">C55+C56*(1-$C$36)+C57-C58-C59</f>
        <v>4490000</v>
      </c>
      <c r="D60" s="148">
        <f t="shared" si="4"/>
        <v>4793200</v>
      </c>
      <c r="E60" s="148">
        <f t="shared" si="4"/>
        <v>5214320</v>
      </c>
      <c r="F60" s="148">
        <f t="shared" si="4"/>
        <v>5686636.000000002</v>
      </c>
      <c r="G60" s="148">
        <f t="shared" si="4"/>
        <v>6144076.880000002</v>
      </c>
      <c r="H60" s="148">
        <f t="shared" si="4"/>
        <v>6625039.230400003</v>
      </c>
      <c r="I60" s="22"/>
      <c r="J60" s="22"/>
      <c r="K60" s="22"/>
      <c r="L60" s="22"/>
    </row>
    <row r="61" spans="1:12" ht="15" customHeight="1" thickBot="1">
      <c r="A61" s="22"/>
      <c r="B61" s="172" t="s">
        <v>101</v>
      </c>
      <c r="C61" s="149"/>
      <c r="D61" s="150"/>
      <c r="E61" s="150"/>
      <c r="F61" s="150"/>
      <c r="G61" s="150"/>
      <c r="H61" s="148">
        <f>H60*(1+H41)/(H40-H41)</f>
        <v>125701073.91013189</v>
      </c>
      <c r="I61" s="22"/>
      <c r="J61" s="22"/>
      <c r="K61" s="22"/>
      <c r="L61" s="22"/>
    </row>
    <row r="62" spans="1:12" ht="15.75">
      <c r="A62" s="22"/>
      <c r="B62" s="25" t="s">
        <v>45</v>
      </c>
      <c r="C62" s="142"/>
      <c r="D62" s="142"/>
      <c r="E62" s="142"/>
      <c r="F62" s="142"/>
      <c r="G62" s="22"/>
      <c r="H62" s="22"/>
      <c r="I62" s="22"/>
      <c r="J62" s="22"/>
      <c r="K62" s="22"/>
      <c r="L62" s="22"/>
    </row>
    <row r="63" spans="1:12" ht="15">
      <c r="A63" s="22"/>
      <c r="B63" s="25" t="s">
        <v>126</v>
      </c>
      <c r="C63" s="142"/>
      <c r="D63" s="142"/>
      <c r="E63" s="142"/>
      <c r="F63" s="142"/>
      <c r="G63" s="22"/>
      <c r="H63" s="22"/>
      <c r="I63" s="22"/>
      <c r="J63" s="22"/>
      <c r="K63" s="22"/>
      <c r="L63" s="22"/>
    </row>
    <row r="64" spans="1:12" ht="15">
      <c r="A64" s="22"/>
      <c r="B64" s="22"/>
      <c r="C64" s="142"/>
      <c r="D64" s="142"/>
      <c r="E64" s="142"/>
      <c r="F64" s="142"/>
      <c r="G64" s="22"/>
      <c r="H64" s="22"/>
      <c r="I64" s="22"/>
      <c r="J64" s="22"/>
      <c r="K64" s="22"/>
      <c r="L64" s="22"/>
    </row>
    <row r="65" spans="1:12" ht="15">
      <c r="A65" s="115"/>
      <c r="B65" s="173" t="s">
        <v>17</v>
      </c>
      <c r="C65" s="119"/>
      <c r="D65" s="116"/>
      <c r="E65" s="116"/>
      <c r="F65" s="117"/>
      <c r="G65" s="118"/>
      <c r="H65" s="117"/>
      <c r="I65" s="116"/>
      <c r="J65" s="119"/>
      <c r="K65" s="119"/>
      <c r="L65" s="116"/>
    </row>
    <row r="66" spans="1:12" ht="15.75" thickBot="1">
      <c r="A66" s="115"/>
      <c r="B66" s="174" t="s">
        <v>18</v>
      </c>
      <c r="C66" s="123"/>
      <c r="D66" s="120"/>
      <c r="E66" s="120"/>
      <c r="F66" s="121"/>
      <c r="G66" s="122"/>
      <c r="H66" s="121"/>
      <c r="I66" s="120"/>
      <c r="J66" s="123"/>
      <c r="K66" s="123"/>
      <c r="L66" s="120"/>
    </row>
    <row r="67" spans="1:12" ht="15.75" thickBot="1">
      <c r="A67" s="22"/>
      <c r="B67" s="143"/>
      <c r="C67" s="29">
        <v>0</v>
      </c>
      <c r="D67" s="29">
        <v>1</v>
      </c>
      <c r="E67" s="29">
        <v>2</v>
      </c>
      <c r="F67" s="29">
        <v>3</v>
      </c>
      <c r="G67" s="29">
        <v>4</v>
      </c>
      <c r="H67" s="29">
        <v>5</v>
      </c>
      <c r="I67" s="22"/>
      <c r="J67" s="22"/>
      <c r="K67" s="22"/>
      <c r="L67" s="22"/>
    </row>
    <row r="68" spans="1:12" ht="15.75" thickBot="1">
      <c r="A68" s="22"/>
      <c r="B68" s="153" t="s">
        <v>44</v>
      </c>
      <c r="C68" s="154">
        <f aca="true" t="shared" si="5" ref="C68:H68">C60/((1+C40)^C67)</f>
        <v>4490000</v>
      </c>
      <c r="D68" s="164">
        <f t="shared" si="5"/>
        <v>4534720.908230842</v>
      </c>
      <c r="E68" s="164">
        <f t="shared" si="5"/>
        <v>4657583.712197877</v>
      </c>
      <c r="F68" s="165">
        <f t="shared" si="5"/>
        <v>4790861.679291527</v>
      </c>
      <c r="G68" s="166">
        <f t="shared" si="5"/>
        <v>4868888.768546633</v>
      </c>
      <c r="H68" s="167">
        <f t="shared" si="5"/>
        <v>4936627.297936298</v>
      </c>
      <c r="I68" s="22"/>
      <c r="J68" s="22"/>
      <c r="K68" s="22"/>
      <c r="L68" s="22"/>
    </row>
    <row r="69" spans="1:12" ht="15" customHeight="1" thickBot="1">
      <c r="A69" s="22"/>
      <c r="B69" s="169" t="s">
        <v>46</v>
      </c>
      <c r="C69" s="168">
        <f>H61/(1+AVERAGE(D40:H40))^H67</f>
        <v>94432538.96152624</v>
      </c>
      <c r="D69" s="155"/>
      <c r="E69" s="155"/>
      <c r="F69" s="155"/>
      <c r="G69" s="155"/>
      <c r="H69" s="155"/>
      <c r="I69" s="22"/>
      <c r="J69" s="22"/>
      <c r="K69" s="22"/>
      <c r="L69" s="22"/>
    </row>
    <row r="70" spans="1:12" ht="15.75" thickBot="1">
      <c r="A70" s="22"/>
      <c r="B70" s="156" t="s">
        <v>100</v>
      </c>
      <c r="C70" s="157">
        <f>SUM(C68:H69)</f>
        <v>122711221.32772942</v>
      </c>
      <c r="D70" s="144"/>
      <c r="E70" s="144"/>
      <c r="F70" s="144"/>
      <c r="G70" s="22"/>
      <c r="H70" s="22"/>
      <c r="I70" s="22"/>
      <c r="J70" s="22"/>
      <c r="K70" s="22"/>
      <c r="L70" s="22"/>
    </row>
    <row r="71" spans="1:12" ht="15.75" thickBot="1">
      <c r="A71" s="22"/>
      <c r="B71" s="158" t="s">
        <v>47</v>
      </c>
      <c r="C71" s="159">
        <f>C14</f>
        <v>30000000</v>
      </c>
      <c r="D71" s="145"/>
      <c r="E71" s="145"/>
      <c r="F71" s="145"/>
      <c r="G71" s="22"/>
      <c r="H71" s="22"/>
      <c r="I71" s="22"/>
      <c r="J71" s="22"/>
      <c r="K71" s="22"/>
      <c r="L71" s="22"/>
    </row>
    <row r="72" spans="1:12" ht="15.75" thickBot="1">
      <c r="A72" s="22"/>
      <c r="B72" s="160" t="s">
        <v>48</v>
      </c>
      <c r="C72" s="161">
        <f>C15</f>
        <v>1200000</v>
      </c>
      <c r="D72" s="145"/>
      <c r="E72" s="145"/>
      <c r="F72" s="145"/>
      <c r="G72" s="22"/>
      <c r="H72" s="22"/>
      <c r="I72" s="22"/>
      <c r="J72" s="22"/>
      <c r="K72" s="22"/>
      <c r="L72" s="22"/>
    </row>
    <row r="73" spans="1:12" ht="15.75" thickBot="1">
      <c r="A73" s="22"/>
      <c r="B73" s="162" t="s">
        <v>5</v>
      </c>
      <c r="C73" s="163">
        <f>C70-C71+C72</f>
        <v>93911221.32772942</v>
      </c>
      <c r="D73" s="145"/>
      <c r="E73" s="145"/>
      <c r="F73" s="145"/>
      <c r="G73" s="22"/>
      <c r="H73" s="22"/>
      <c r="I73" s="22"/>
      <c r="J73" s="22"/>
      <c r="K73" s="22"/>
      <c r="L73" s="22"/>
    </row>
    <row r="74" spans="1:12" ht="15.75" thickBot="1">
      <c r="A74" s="22"/>
      <c r="B74" s="151" t="s">
        <v>104</v>
      </c>
      <c r="C74" s="152">
        <f>C73/C42</f>
        <v>9.391122132772942</v>
      </c>
      <c r="D74" s="145"/>
      <c r="E74" s="145"/>
      <c r="F74" s="145"/>
      <c r="G74" s="22"/>
      <c r="H74" s="22"/>
      <c r="I74" s="22"/>
      <c r="J74" s="22"/>
      <c r="K74" s="22"/>
      <c r="L74" s="22"/>
    </row>
    <row r="75" spans="1:12" ht="15">
      <c r="A75" s="22"/>
      <c r="B75" s="22"/>
      <c r="C75" s="142"/>
      <c r="D75" s="142"/>
      <c r="E75" s="142"/>
      <c r="F75" s="142"/>
      <c r="G75" s="22"/>
      <c r="H75" s="22"/>
      <c r="I75" s="22"/>
      <c r="J75" s="22"/>
      <c r="K75" s="22"/>
      <c r="L75" s="22"/>
    </row>
    <row r="76" spans="1:12" ht="15">
      <c r="A76" s="22"/>
      <c r="B76" s="22"/>
      <c r="C76" s="142"/>
      <c r="D76" s="142"/>
      <c r="E76" s="142"/>
      <c r="F76" s="142"/>
      <c r="G76" s="22"/>
      <c r="H76" s="22"/>
      <c r="I76" s="22"/>
      <c r="J76" s="22"/>
      <c r="K76" s="22"/>
      <c r="L76" s="22"/>
    </row>
    <row r="77" spans="1:12" ht="15">
      <c r="A77" s="22"/>
      <c r="B77" s="22"/>
      <c r="C77" s="142"/>
      <c r="D77" s="142"/>
      <c r="E77" s="142"/>
      <c r="F77" s="142"/>
      <c r="G77" s="22"/>
      <c r="H77" s="22"/>
      <c r="I77" s="22"/>
      <c r="J77" s="22"/>
      <c r="K77" s="22"/>
      <c r="L77" s="22"/>
    </row>
    <row r="78" spans="1:12" ht="15">
      <c r="A78" s="22"/>
      <c r="B78" s="22"/>
      <c r="C78" s="142"/>
      <c r="D78" s="142"/>
      <c r="E78" s="142"/>
      <c r="F78" s="142"/>
      <c r="G78" s="22"/>
      <c r="H78" s="22"/>
      <c r="I78" s="22"/>
      <c r="J78" s="22"/>
      <c r="K78" s="22"/>
      <c r="L78" s="22"/>
    </row>
    <row r="79" spans="1:12" ht="15">
      <c r="A79" s="22"/>
      <c r="B79" s="22"/>
      <c r="C79" s="142"/>
      <c r="D79" s="142"/>
      <c r="E79" s="142"/>
      <c r="F79" s="142"/>
      <c r="G79" s="22"/>
      <c r="H79" s="22"/>
      <c r="I79" s="22"/>
      <c r="J79" s="22"/>
      <c r="K79" s="22"/>
      <c r="L79" s="22"/>
    </row>
    <row r="80" spans="1:12" ht="15">
      <c r="A80" s="22"/>
      <c r="B80" s="22"/>
      <c r="C80" s="142"/>
      <c r="D80" s="142"/>
      <c r="E80" s="142"/>
      <c r="F80" s="142"/>
      <c r="G80" s="22"/>
      <c r="H80" s="22"/>
      <c r="I80" s="22"/>
      <c r="J80" s="22"/>
      <c r="K80" s="22"/>
      <c r="L80" s="22"/>
    </row>
    <row r="81" spans="1:12" ht="1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</row>
    <row r="82" spans="1:12" ht="1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</row>
    <row r="83" spans="1:12" ht="1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</row>
    <row r="84" spans="1:12" ht="1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</row>
    <row r="85" spans="1:12" ht="1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</row>
    <row r="86" spans="1:16" ht="1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O86" s="22"/>
      <c r="P86" s="22"/>
    </row>
    <row r="87" spans="1:16" ht="1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O87" s="22"/>
      <c r="P87" s="22"/>
    </row>
    <row r="88" spans="1:16" ht="1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O88" s="22"/>
      <c r="P88" s="22"/>
    </row>
    <row r="89" spans="1:16" ht="1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O89" s="22"/>
      <c r="P89" s="22"/>
    </row>
    <row r="90" spans="1:16" ht="1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O90" s="22"/>
      <c r="P90" s="22"/>
    </row>
    <row r="91" spans="1:16" ht="1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O91" s="22"/>
      <c r="P91" s="22"/>
    </row>
    <row r="92" spans="1:16" ht="1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O92" s="22"/>
      <c r="P92" s="22"/>
    </row>
    <row r="93" spans="1:16" ht="1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O93" s="22"/>
      <c r="P93" s="22"/>
    </row>
    <row r="94" spans="1:16" ht="1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O94" s="22"/>
      <c r="P94" s="22"/>
    </row>
    <row r="95" spans="1:16" ht="1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O95" s="22"/>
      <c r="P95" s="22"/>
    </row>
    <row r="96" spans="1:16" ht="1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O96" s="22"/>
      <c r="P96" s="22"/>
    </row>
    <row r="97" spans="1:16" ht="1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O97" s="22"/>
      <c r="P97" s="22"/>
    </row>
    <row r="98" spans="1:16" ht="1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O98" s="22"/>
      <c r="P98" s="22"/>
    </row>
    <row r="99" spans="1:16" ht="1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O99" s="22"/>
      <c r="P99" s="22"/>
    </row>
    <row r="100" spans="1:16" ht="1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O100" s="22"/>
      <c r="P100" s="22"/>
    </row>
    <row r="101" spans="1:16" ht="1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O101" s="22"/>
      <c r="P101" s="22"/>
    </row>
    <row r="102" spans="1:16" ht="1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O102" s="22"/>
      <c r="P102" s="22"/>
    </row>
    <row r="103" spans="1:16" ht="1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O103" s="22"/>
      <c r="P103" s="22"/>
    </row>
    <row r="104" spans="1:16" ht="1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O104" s="22"/>
      <c r="P104" s="22"/>
    </row>
    <row r="105" spans="1:16" ht="1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O105" s="22"/>
      <c r="P105" s="22"/>
    </row>
    <row r="106" spans="1:16" ht="1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O106" s="22"/>
      <c r="P106" s="22"/>
    </row>
    <row r="107" spans="1:16" ht="1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O107" s="22"/>
      <c r="P107" s="22"/>
    </row>
    <row r="108" spans="1:16" ht="1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O108" s="22"/>
      <c r="P108" s="22"/>
    </row>
    <row r="109" spans="1:16" ht="1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O109" s="22"/>
      <c r="P109" s="22"/>
    </row>
    <row r="110" spans="1:16" ht="1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O110" s="22"/>
      <c r="P110" s="22"/>
    </row>
    <row r="111" spans="1:16" ht="1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O111" s="22"/>
      <c r="P111" s="22"/>
    </row>
    <row r="112" spans="1:16" ht="1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O112" s="22"/>
      <c r="P112" s="22"/>
    </row>
    <row r="113" spans="1:16" ht="1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O113" s="22"/>
      <c r="P113" s="22"/>
    </row>
    <row r="114" spans="1:16" ht="1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O114" s="22"/>
      <c r="P114" s="22"/>
    </row>
    <row r="115" spans="1:16" ht="1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O115" s="22"/>
      <c r="P115" s="22"/>
    </row>
    <row r="116" spans="1:16" ht="1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O116" s="22"/>
      <c r="P116" s="22"/>
    </row>
    <row r="117" spans="1:16" ht="1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O117" s="22"/>
      <c r="P117" s="22"/>
    </row>
    <row r="118" spans="1:16" ht="1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O118" s="22"/>
      <c r="P118" s="22"/>
    </row>
    <row r="119" spans="1:16" ht="1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O119" s="22"/>
      <c r="P119" s="22"/>
    </row>
    <row r="120" spans="1:16" ht="1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O120" s="22"/>
      <c r="P120" s="22"/>
    </row>
    <row r="121" spans="1:16" ht="1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O121" s="22"/>
      <c r="P121" s="22"/>
    </row>
    <row r="122" spans="1:16" ht="1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O122" s="22"/>
      <c r="P122" s="22"/>
    </row>
    <row r="123" spans="1:16" ht="1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O123" s="22"/>
      <c r="P123" s="22"/>
    </row>
    <row r="124" spans="1:16" ht="1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O124" s="22"/>
      <c r="P124" s="22"/>
    </row>
    <row r="125" spans="1:16" ht="1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O125" s="22"/>
      <c r="P125" s="22"/>
    </row>
    <row r="126" spans="1:16" ht="1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O126" s="22"/>
      <c r="P126" s="22"/>
    </row>
    <row r="127" spans="1:16" ht="1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O127" s="22"/>
      <c r="P127" s="22"/>
    </row>
    <row r="128" spans="1:16" ht="1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O128" s="22"/>
      <c r="P128" s="22"/>
    </row>
    <row r="129" spans="1:16" ht="1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O129" s="22"/>
      <c r="P129" s="22"/>
    </row>
    <row r="130" spans="1:16" ht="1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O130" s="22"/>
      <c r="P130" s="22"/>
    </row>
    <row r="131" spans="1:16" ht="1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O131" s="22"/>
      <c r="P131" s="22"/>
    </row>
    <row r="132" spans="1:16" ht="1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O132" s="22"/>
      <c r="P132" s="22"/>
    </row>
    <row r="133" spans="1:16" ht="1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O133" s="22"/>
      <c r="P133" s="22"/>
    </row>
    <row r="134" spans="1:16" ht="1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O134" s="22"/>
      <c r="P134" s="22"/>
    </row>
    <row r="135" spans="1:16" ht="1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O135" s="22"/>
      <c r="P135" s="22"/>
    </row>
    <row r="136" spans="1:16" ht="1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O136" s="22"/>
      <c r="P136" s="22"/>
    </row>
    <row r="137" spans="1:16" ht="1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O137" s="22"/>
      <c r="P137" s="22"/>
    </row>
    <row r="138" spans="1:16" ht="1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O138" s="22"/>
      <c r="P138" s="22"/>
    </row>
    <row r="139" spans="1:16" ht="1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O139" s="22"/>
      <c r="P139" s="22"/>
    </row>
    <row r="140" spans="1:16" ht="1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O140" s="22"/>
      <c r="P140" s="22"/>
    </row>
    <row r="141" spans="1:16" ht="15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O141" s="22"/>
      <c r="P141" s="22"/>
    </row>
    <row r="142" spans="1:16" ht="1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O142" s="22"/>
      <c r="P142" s="22"/>
    </row>
    <row r="143" spans="1:16" ht="15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O143" s="22"/>
      <c r="P143" s="22"/>
    </row>
    <row r="144" spans="1:16" ht="1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O144" s="22"/>
      <c r="P144" s="22"/>
    </row>
    <row r="145" spans="1:16" ht="1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O145" s="22"/>
      <c r="P145" s="22"/>
    </row>
    <row r="146" spans="1:16" ht="1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O146" s="22"/>
      <c r="P146" s="22"/>
    </row>
    <row r="147" spans="1:16" ht="1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O147" s="22"/>
      <c r="P147" s="22"/>
    </row>
    <row r="148" spans="1:16" ht="1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O148" s="22"/>
      <c r="P148" s="22"/>
    </row>
    <row r="149" spans="1:16" ht="1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O149" s="22"/>
      <c r="P149" s="22"/>
    </row>
    <row r="150" spans="1:16" ht="1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O150" s="22"/>
      <c r="P150" s="22"/>
    </row>
    <row r="151" spans="1:16" ht="1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O151" s="22"/>
      <c r="P151" s="22"/>
    </row>
    <row r="152" spans="1:16" ht="1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O152" s="22"/>
      <c r="P152" s="22"/>
    </row>
    <row r="153" spans="1:16" ht="1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O153" s="22"/>
      <c r="P153" s="22"/>
    </row>
    <row r="154" spans="1:16" ht="1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O154" s="22"/>
      <c r="P154" s="22"/>
    </row>
    <row r="155" spans="1:16" ht="1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O155" s="22"/>
      <c r="P155" s="22"/>
    </row>
    <row r="156" spans="1:16" ht="1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O156" s="22"/>
      <c r="P156" s="22"/>
    </row>
    <row r="157" spans="1:16" ht="15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O157" s="22"/>
      <c r="P157" s="22"/>
    </row>
    <row r="158" spans="1:16" ht="1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O158" s="22"/>
      <c r="P158" s="22"/>
    </row>
    <row r="159" spans="1:16" ht="1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O159" s="22"/>
      <c r="P159" s="22"/>
    </row>
    <row r="160" spans="1:16" ht="1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O160" s="22"/>
      <c r="P160" s="22"/>
    </row>
    <row r="161" spans="1:16" ht="15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O161" s="22"/>
      <c r="P161" s="22"/>
    </row>
    <row r="162" spans="1:16" ht="15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O162" s="22"/>
      <c r="P162" s="22"/>
    </row>
    <row r="163" spans="1:16" ht="15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O163" s="22"/>
      <c r="P163" s="22"/>
    </row>
    <row r="164" spans="1:16" ht="15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O164" s="22"/>
      <c r="P164" s="22"/>
    </row>
    <row r="165" spans="1:16" ht="1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O165" s="22"/>
      <c r="P165" s="22"/>
    </row>
    <row r="166" spans="1:16" ht="15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O166" s="22"/>
      <c r="P166" s="22"/>
    </row>
    <row r="167" spans="1:16" ht="15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O167" s="22"/>
      <c r="P167" s="22"/>
    </row>
    <row r="168" spans="1:16" ht="15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O168" s="22"/>
      <c r="P168" s="22"/>
    </row>
    <row r="169" spans="1:16" ht="1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O169" s="22"/>
      <c r="P169" s="22"/>
    </row>
    <row r="170" spans="1:16" ht="15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O170" s="22"/>
      <c r="P170" s="22"/>
    </row>
    <row r="171" spans="1:16" ht="15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O171" s="22"/>
      <c r="P171" s="22"/>
    </row>
    <row r="172" spans="1:16" ht="1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O172" s="22"/>
      <c r="P172" s="22"/>
    </row>
    <row r="173" spans="1:16" ht="1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O173" s="22"/>
      <c r="P173" s="22"/>
    </row>
    <row r="174" spans="1:16" ht="1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O174" s="22"/>
      <c r="P174" s="22"/>
    </row>
    <row r="175" spans="1:16" ht="1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O175" s="22"/>
      <c r="P175" s="22"/>
    </row>
    <row r="176" spans="1:16" ht="1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O176" s="22"/>
      <c r="P176" s="22"/>
    </row>
    <row r="177" spans="1:16" ht="15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O177" s="22"/>
      <c r="P177" s="22"/>
    </row>
    <row r="178" spans="1:16" ht="15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O178" s="22"/>
      <c r="P178" s="22"/>
    </row>
    <row r="179" spans="1:16" ht="1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O179" s="22"/>
      <c r="P179" s="22"/>
    </row>
    <row r="180" spans="1:16" ht="1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O180" s="22"/>
      <c r="P180" s="22"/>
    </row>
    <row r="181" spans="1:16" ht="1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O181" s="22"/>
      <c r="P181" s="22"/>
    </row>
    <row r="182" spans="1:16" ht="1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O182" s="22"/>
      <c r="P182" s="22"/>
    </row>
    <row r="183" spans="1:16" ht="1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O183" s="22"/>
      <c r="P183" s="22"/>
    </row>
    <row r="184" spans="1:16" ht="15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O184" s="22"/>
      <c r="P184" s="22"/>
    </row>
    <row r="185" spans="1:16" ht="1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O185" s="22"/>
      <c r="P185" s="22"/>
    </row>
    <row r="186" spans="1:16" ht="1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O186" s="22"/>
      <c r="P186" s="22"/>
    </row>
    <row r="187" spans="1:16" ht="1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O187" s="22"/>
      <c r="P187" s="22"/>
    </row>
    <row r="188" spans="1:16" ht="1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O188" s="22"/>
      <c r="P188" s="22"/>
    </row>
    <row r="189" spans="1:16" ht="15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O189" s="22"/>
      <c r="P189" s="22"/>
    </row>
    <row r="190" spans="1:16" ht="15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O190" s="22"/>
      <c r="P190" s="22"/>
    </row>
    <row r="191" spans="1:16" ht="15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O191" s="22"/>
      <c r="P191" s="22"/>
    </row>
    <row r="192" spans="1:16" ht="15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O192" s="22"/>
      <c r="P192" s="22"/>
    </row>
    <row r="193" spans="1:16" ht="15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O193" s="22"/>
      <c r="P193" s="22"/>
    </row>
    <row r="194" spans="1:16" ht="15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O194" s="22"/>
      <c r="P194" s="22"/>
    </row>
    <row r="195" spans="1:16" ht="1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O195" s="22"/>
      <c r="P195" s="22"/>
    </row>
    <row r="196" spans="1:16" ht="15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O196" s="22"/>
      <c r="P196" s="22"/>
    </row>
    <row r="197" spans="1:16" ht="15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O197" s="22"/>
      <c r="P197" s="22"/>
    </row>
    <row r="198" spans="1:16" ht="1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O198" s="22"/>
      <c r="P198" s="22"/>
    </row>
    <row r="199" spans="1:16" ht="1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O199" s="22"/>
      <c r="P199" s="22"/>
    </row>
    <row r="200" spans="1:16" ht="1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O200" s="22"/>
      <c r="P200" s="22"/>
    </row>
    <row r="201" spans="1:16" ht="15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O201" s="22"/>
      <c r="P201" s="22"/>
    </row>
    <row r="202" spans="1:16" ht="1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O202" s="22"/>
      <c r="P202" s="22"/>
    </row>
    <row r="203" spans="1:16" ht="1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O203" s="22"/>
      <c r="P203" s="22"/>
    </row>
    <row r="204" spans="1:16" ht="1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O204" s="22"/>
      <c r="P204" s="22"/>
    </row>
    <row r="205" spans="1:16" ht="1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O205" s="22"/>
      <c r="P205" s="22"/>
    </row>
    <row r="206" spans="1:16" ht="15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O206" s="22"/>
      <c r="P206" s="22"/>
    </row>
    <row r="207" spans="1:16" ht="15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O207" s="22"/>
      <c r="P207" s="22"/>
    </row>
    <row r="208" spans="1:16" ht="1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O208" s="22"/>
      <c r="P208" s="22"/>
    </row>
    <row r="209" spans="1:16" ht="15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O209" s="22"/>
      <c r="P209" s="22"/>
    </row>
    <row r="210" spans="1:16" ht="15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O210" s="22"/>
      <c r="P210" s="22"/>
    </row>
    <row r="211" spans="1:16" ht="15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O211" s="22"/>
      <c r="P211" s="22"/>
    </row>
    <row r="212" spans="1:16" ht="15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O212" s="22"/>
      <c r="P212" s="22"/>
    </row>
    <row r="213" spans="1:16" ht="15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O213" s="22"/>
      <c r="P213" s="22"/>
    </row>
    <row r="214" spans="1:16" ht="15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O214" s="22"/>
      <c r="P214" s="22"/>
    </row>
    <row r="215" spans="1:16" ht="1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O215" s="22"/>
      <c r="P215" s="22"/>
    </row>
    <row r="216" spans="1:16" ht="1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O216" s="22"/>
      <c r="P216" s="22"/>
    </row>
    <row r="217" spans="1:16" ht="1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O217" s="22"/>
      <c r="P217" s="22"/>
    </row>
    <row r="218" spans="1:16" ht="15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O218" s="22"/>
      <c r="P218" s="22"/>
    </row>
    <row r="219" spans="1:16" ht="15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O219" s="22"/>
      <c r="P219" s="22"/>
    </row>
    <row r="220" spans="1:16" ht="15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O220" s="22"/>
      <c r="P220" s="22"/>
    </row>
    <row r="221" spans="1:16" ht="15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O221" s="22"/>
      <c r="P221" s="22"/>
    </row>
    <row r="222" spans="1:16" ht="15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O222" s="22"/>
      <c r="P222" s="22"/>
    </row>
    <row r="223" spans="1:16" ht="15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O223" s="22"/>
      <c r="P223" s="22"/>
    </row>
    <row r="224" spans="1:16" ht="15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O224" s="22"/>
      <c r="P224" s="22"/>
    </row>
    <row r="225" spans="1:16" ht="1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O225" s="22"/>
      <c r="P225" s="22"/>
    </row>
    <row r="226" spans="1:16" ht="15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O226" s="22"/>
      <c r="P226" s="22"/>
    </row>
    <row r="227" spans="1:16" ht="15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O227" s="22"/>
      <c r="P227" s="22"/>
    </row>
    <row r="228" spans="1:16" ht="15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O228" s="22"/>
      <c r="P228" s="22"/>
    </row>
    <row r="229" spans="1:16" ht="15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O229" s="22"/>
      <c r="P229" s="22"/>
    </row>
    <row r="230" spans="1:16" ht="15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O230" s="22"/>
      <c r="P230" s="22"/>
    </row>
    <row r="231" spans="1:16" ht="15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O231" s="22"/>
      <c r="P231" s="22"/>
    </row>
    <row r="232" spans="1:16" ht="15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O232" s="22"/>
      <c r="P232" s="22"/>
    </row>
    <row r="233" spans="1:16" ht="15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O233" s="22"/>
      <c r="P233" s="22"/>
    </row>
    <row r="234" spans="1:16" ht="15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O234" s="22"/>
      <c r="P234" s="22"/>
    </row>
    <row r="235" spans="1:16" ht="1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O235" s="22"/>
      <c r="P235" s="22"/>
    </row>
    <row r="236" spans="1:16" ht="15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O236" s="22"/>
      <c r="P236" s="22"/>
    </row>
    <row r="237" spans="1:16" ht="15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O237" s="22"/>
      <c r="P237" s="22"/>
    </row>
    <row r="238" spans="1:16" ht="15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O238" s="22"/>
      <c r="P238" s="22"/>
    </row>
    <row r="239" spans="1:16" ht="15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O239" s="22"/>
      <c r="P239" s="22"/>
    </row>
    <row r="240" spans="1:16" ht="15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O240" s="22"/>
      <c r="P240" s="22"/>
    </row>
    <row r="241" spans="1:16" ht="15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O241" s="22"/>
      <c r="P241" s="22"/>
    </row>
    <row r="242" spans="1:16" ht="15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O242" s="22"/>
      <c r="P242" s="22"/>
    </row>
    <row r="243" spans="1:16" ht="15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O243" s="22"/>
      <c r="P243" s="22"/>
    </row>
    <row r="244" spans="1:16" ht="15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O244" s="22"/>
      <c r="P244" s="22"/>
    </row>
    <row r="245" spans="1:16" ht="15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O245" s="22"/>
      <c r="P245" s="22"/>
    </row>
    <row r="246" spans="1:16" ht="15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O246" s="22"/>
      <c r="P246" s="22"/>
    </row>
    <row r="247" spans="1:16" ht="15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O247" s="22"/>
      <c r="P247" s="22"/>
    </row>
    <row r="248" spans="1:16" ht="15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O248" s="22"/>
      <c r="P248" s="22"/>
    </row>
    <row r="249" spans="1:16" ht="15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O249" s="22"/>
      <c r="P249" s="22"/>
    </row>
    <row r="250" spans="1:16" ht="15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O250" s="22"/>
      <c r="P250" s="22"/>
    </row>
    <row r="251" spans="1:16" ht="15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O251" s="22"/>
      <c r="P251" s="22"/>
    </row>
    <row r="252" spans="1:16" ht="15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O252" s="22"/>
      <c r="P252" s="22"/>
    </row>
    <row r="253" spans="1:16" ht="15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O253" s="22"/>
      <c r="P253" s="22"/>
    </row>
    <row r="254" spans="1:16" ht="15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O254" s="22"/>
      <c r="P254" s="22"/>
    </row>
    <row r="255" spans="1:16" ht="15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O255" s="22"/>
      <c r="P255" s="22"/>
    </row>
    <row r="256" spans="1:16" ht="15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O256" s="22"/>
      <c r="P256" s="22"/>
    </row>
    <row r="257" spans="1:16" ht="15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O257" s="22"/>
      <c r="P257" s="22"/>
    </row>
    <row r="258" spans="1:16" ht="15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O258" s="22"/>
      <c r="P258" s="22"/>
    </row>
    <row r="259" spans="1:16" ht="15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O259" s="22"/>
      <c r="P259" s="22"/>
    </row>
    <row r="260" spans="1:16" ht="15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O260" s="22"/>
      <c r="P260" s="22"/>
    </row>
    <row r="261" spans="1:16" ht="15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O261" s="22"/>
      <c r="P261" s="22"/>
    </row>
    <row r="262" spans="1:16" ht="15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O262" s="22"/>
      <c r="P262" s="22"/>
    </row>
    <row r="263" spans="1:16" ht="15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O263" s="22"/>
      <c r="P263" s="22"/>
    </row>
    <row r="264" spans="1:16" ht="15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O264" s="22"/>
      <c r="P264" s="22"/>
    </row>
    <row r="265" spans="1:16" ht="15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O265" s="22"/>
      <c r="P265" s="22"/>
    </row>
    <row r="266" spans="1:16" ht="15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O266" s="22"/>
      <c r="P266" s="22"/>
    </row>
    <row r="267" spans="1:16" ht="15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O267" s="22"/>
      <c r="P267" s="22"/>
    </row>
    <row r="268" spans="1:16" ht="15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O268" s="22"/>
      <c r="P268" s="22"/>
    </row>
    <row r="269" spans="1:16" ht="15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O269" s="22"/>
      <c r="P269" s="22"/>
    </row>
    <row r="270" spans="1:16" ht="15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O270" s="22"/>
      <c r="P270" s="22"/>
    </row>
    <row r="271" spans="1:16" ht="15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O271" s="22"/>
      <c r="P271" s="22"/>
    </row>
    <row r="272" spans="1:16" ht="15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O272" s="22"/>
      <c r="P272" s="22"/>
    </row>
    <row r="273" spans="1:16" ht="15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O273" s="22"/>
      <c r="P273" s="22"/>
    </row>
    <row r="274" spans="1:16" ht="15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O274" s="22"/>
      <c r="P274" s="22"/>
    </row>
    <row r="275" spans="1:16" ht="15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O275" s="22"/>
      <c r="P275" s="22"/>
    </row>
    <row r="276" spans="1:16" ht="15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O276" s="22"/>
      <c r="P276" s="22"/>
    </row>
    <row r="277" spans="1:16" ht="15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O277" s="22"/>
      <c r="P277" s="22"/>
    </row>
    <row r="278" spans="1:16" ht="15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O278" s="22"/>
      <c r="P278" s="22"/>
    </row>
    <row r="279" spans="1:16" ht="15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O279" s="22"/>
      <c r="P279" s="22"/>
    </row>
    <row r="280" spans="1:16" ht="15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O280" s="22"/>
      <c r="P280" s="22"/>
    </row>
    <row r="281" spans="1:16" ht="15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O281" s="22"/>
      <c r="P281" s="22"/>
    </row>
    <row r="282" spans="1:16" ht="15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O282" s="22"/>
      <c r="P282" s="22"/>
    </row>
    <row r="283" spans="1:16" ht="15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O283" s="22"/>
      <c r="P283" s="22"/>
    </row>
    <row r="284" spans="1:16" ht="15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O284" s="22"/>
      <c r="P284" s="22"/>
    </row>
    <row r="285" spans="1:16" ht="15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O285" s="22"/>
      <c r="P285" s="22"/>
    </row>
    <row r="286" spans="1:16" ht="15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O286" s="22"/>
      <c r="P286" s="22"/>
    </row>
    <row r="287" spans="1:16" ht="15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O287" s="22"/>
      <c r="P287" s="22"/>
    </row>
    <row r="288" spans="1:16" ht="15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O288" s="22"/>
      <c r="P288" s="22"/>
    </row>
    <row r="289" spans="1:16" ht="15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O289" s="22"/>
      <c r="P289" s="22"/>
    </row>
    <row r="290" spans="1:16" ht="15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O290" s="22"/>
      <c r="P290" s="22"/>
    </row>
    <row r="291" spans="1:16" ht="15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O291" s="22"/>
      <c r="P291" s="22"/>
    </row>
    <row r="292" spans="1:16" ht="15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O292" s="22"/>
      <c r="P292" s="22"/>
    </row>
    <row r="293" spans="1:16" ht="15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O293" s="22"/>
      <c r="P293" s="22"/>
    </row>
    <row r="294" spans="1:16" ht="15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O294" s="22"/>
      <c r="P294" s="22"/>
    </row>
    <row r="295" spans="1:16" ht="15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O295" s="22"/>
      <c r="P295" s="22"/>
    </row>
    <row r="296" spans="1:16" ht="15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O296" s="22"/>
      <c r="P296" s="22"/>
    </row>
    <row r="297" spans="1:16" ht="15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O297" s="22"/>
      <c r="P297" s="22"/>
    </row>
    <row r="298" spans="1:16" ht="15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O298" s="22"/>
      <c r="P298" s="22"/>
    </row>
    <row r="299" spans="1:16" ht="15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O299" s="22"/>
      <c r="P299" s="22"/>
    </row>
    <row r="300" spans="1:16" ht="15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O300" s="22"/>
      <c r="P300" s="22"/>
    </row>
    <row r="301" spans="1:16" ht="15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O301" s="22"/>
      <c r="P301" s="22"/>
    </row>
    <row r="302" spans="1:16" ht="15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O302" s="22"/>
      <c r="P302" s="22"/>
    </row>
    <row r="303" spans="1:16" ht="15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O303" s="22"/>
      <c r="P303" s="22"/>
    </row>
    <row r="304" spans="1:16" ht="15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O304" s="22"/>
      <c r="P304" s="22"/>
    </row>
    <row r="305" spans="1:16" ht="15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O305" s="22"/>
      <c r="P305" s="22"/>
    </row>
    <row r="306" spans="1:16" ht="15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O306" s="22"/>
      <c r="P306" s="22"/>
    </row>
    <row r="307" spans="1:16" ht="15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O307" s="22"/>
      <c r="P307" s="22"/>
    </row>
  </sheetData>
  <sheetProtection/>
  <mergeCells count="1">
    <mergeCell ref="A1:F1"/>
  </mergeCells>
  <printOptions/>
  <pageMargins left="0.75" right="0.75" top="1" bottom="1" header="0.3" footer="0.3"/>
  <pageSetup orientation="portrait" paperSize="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231"/>
  <sheetViews>
    <sheetView zoomScalePageLayoutView="0" workbookViewId="0" topLeftCell="A19">
      <selection activeCell="E58" sqref="E58"/>
    </sheetView>
  </sheetViews>
  <sheetFormatPr defaultColWidth="8.8515625" defaultRowHeight="15"/>
  <cols>
    <col min="1" max="1" width="35.421875" style="34" customWidth="1"/>
    <col min="2" max="2" width="12.421875" style="34" customWidth="1"/>
    <col min="3" max="3" width="12.8515625" style="34" customWidth="1"/>
    <col min="4" max="5" width="14.28125" style="34" customWidth="1"/>
    <col min="6" max="6" width="8.8515625" style="34" customWidth="1"/>
    <col min="7" max="7" width="28.421875" style="34" customWidth="1"/>
    <col min="8" max="11" width="12.7109375" style="34" customWidth="1"/>
    <col min="12" max="16384" width="8.8515625" style="34" customWidth="1"/>
  </cols>
  <sheetData>
    <row r="1" spans="1:57" ht="15.75" thickTop="1">
      <c r="A1" s="212" t="s">
        <v>119</v>
      </c>
      <c r="B1" s="213"/>
      <c r="C1" s="213"/>
      <c r="D1" s="213"/>
      <c r="E1" s="213"/>
      <c r="F1" s="217"/>
      <c r="G1" s="37"/>
      <c r="H1" s="37"/>
      <c r="I1" s="37"/>
      <c r="J1" s="37"/>
      <c r="K1" s="37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</row>
    <row r="2" spans="1:57" ht="15.75" thickBot="1">
      <c r="A2" s="2" t="s">
        <v>19</v>
      </c>
      <c r="B2" s="113"/>
      <c r="C2" s="113"/>
      <c r="D2" s="113"/>
      <c r="E2" s="113"/>
      <c r="F2" s="114"/>
      <c r="G2" s="37"/>
      <c r="H2" s="37"/>
      <c r="I2" s="37"/>
      <c r="J2" s="37"/>
      <c r="K2" s="37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</row>
    <row r="3" spans="1:57" ht="15.75" thickTop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</row>
    <row r="4" spans="1:57" ht="1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</row>
    <row r="5" spans="1:57" ht="1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</row>
    <row r="6" spans="1:57" ht="1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</row>
    <row r="7" spans="1:57" ht="1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</row>
    <row r="8" spans="1:57" ht="1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</row>
    <row r="9" spans="1:57" ht="15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</row>
    <row r="10" spans="1:57" ht="15">
      <c r="A10" s="218" t="s">
        <v>50</v>
      </c>
      <c r="B10" s="219"/>
      <c r="C10" s="219"/>
      <c r="D10" s="219"/>
      <c r="E10" s="220"/>
      <c r="F10" s="37"/>
      <c r="G10" s="218" t="s">
        <v>51</v>
      </c>
      <c r="H10" s="219"/>
      <c r="I10" s="219"/>
      <c r="J10" s="219"/>
      <c r="K10" s="220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</row>
    <row r="11" spans="1:57" ht="15">
      <c r="A11" s="76"/>
      <c r="B11" s="77">
        <v>2016</v>
      </c>
      <c r="C11" s="77">
        <v>2017</v>
      </c>
      <c r="D11" s="77">
        <v>2018</v>
      </c>
      <c r="E11" s="78">
        <v>2019</v>
      </c>
      <c r="F11" s="37"/>
      <c r="G11" s="76"/>
      <c r="H11" s="77">
        <f>B11</f>
        <v>2016</v>
      </c>
      <c r="I11" s="77">
        <f>C11</f>
        <v>2017</v>
      </c>
      <c r="J11" s="77">
        <f>D11</f>
        <v>2018</v>
      </c>
      <c r="K11" s="78">
        <f>E11</f>
        <v>2019</v>
      </c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</row>
    <row r="12" spans="1:57" ht="15">
      <c r="A12" s="79" t="s">
        <v>52</v>
      </c>
      <c r="B12" s="30">
        <v>1200000</v>
      </c>
      <c r="C12" s="30">
        <v>1300000</v>
      </c>
      <c r="D12" s="30">
        <v>1800000</v>
      </c>
      <c r="E12" s="80">
        <v>2520000</v>
      </c>
      <c r="F12" s="37"/>
      <c r="G12" s="79" t="s">
        <v>53</v>
      </c>
      <c r="H12" s="30">
        <v>700000</v>
      </c>
      <c r="I12" s="30">
        <f>H12</f>
        <v>700000</v>
      </c>
      <c r="J12" s="30">
        <f>I12</f>
        <v>700000</v>
      </c>
      <c r="K12" s="80">
        <f>J12</f>
        <v>700000</v>
      </c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</row>
    <row r="13" spans="1:57" ht="15">
      <c r="A13" s="79" t="s">
        <v>54</v>
      </c>
      <c r="B13" s="30">
        <f>B12*0.25</f>
        <v>300000</v>
      </c>
      <c r="C13" s="30">
        <f>C12*0.25+B13</f>
        <v>625000</v>
      </c>
      <c r="D13" s="30">
        <f>D12*0.25+C13</f>
        <v>1075000</v>
      </c>
      <c r="E13" s="80">
        <f>E12*0.25+D13</f>
        <v>1705000</v>
      </c>
      <c r="F13" s="37"/>
      <c r="G13" s="79" t="s">
        <v>55</v>
      </c>
      <c r="H13" s="30">
        <v>30000</v>
      </c>
      <c r="I13" s="30">
        <v>65000</v>
      </c>
      <c r="J13" s="30">
        <v>137000</v>
      </c>
      <c r="K13" s="80">
        <v>165000</v>
      </c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</row>
    <row r="14" spans="1:57" ht="15">
      <c r="A14" s="81" t="s">
        <v>56</v>
      </c>
      <c r="B14" s="31">
        <f>B12-B13</f>
        <v>900000</v>
      </c>
      <c r="C14" s="31">
        <f>C12-C13</f>
        <v>675000</v>
      </c>
      <c r="D14" s="31">
        <f>D12-D13</f>
        <v>725000</v>
      </c>
      <c r="E14" s="82">
        <f>E12-E13</f>
        <v>815000</v>
      </c>
      <c r="F14" s="37"/>
      <c r="G14" s="81" t="s">
        <v>57</v>
      </c>
      <c r="H14" s="31">
        <f>H12+H13</f>
        <v>730000</v>
      </c>
      <c r="I14" s="31">
        <f>I12+I13</f>
        <v>765000</v>
      </c>
      <c r="J14" s="31">
        <f>J12+J13</f>
        <v>837000</v>
      </c>
      <c r="K14" s="82">
        <f>K12+K13</f>
        <v>865000</v>
      </c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</row>
    <row r="15" spans="1:57" ht="15">
      <c r="A15" s="83"/>
      <c r="B15" s="32"/>
      <c r="C15" s="32"/>
      <c r="D15" s="32"/>
      <c r="E15" s="84"/>
      <c r="F15" s="37"/>
      <c r="G15" s="83"/>
      <c r="H15" s="32"/>
      <c r="I15" s="32"/>
      <c r="J15" s="32"/>
      <c r="K15" s="84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</row>
    <row r="16" spans="1:57" ht="15">
      <c r="A16" s="81" t="s">
        <v>58</v>
      </c>
      <c r="B16" s="31">
        <f>B17+B18+B19</f>
        <v>385000</v>
      </c>
      <c r="C16" s="31">
        <f>C17+C18+C19</f>
        <v>739000</v>
      </c>
      <c r="D16" s="31">
        <f>D17+D18+D19</f>
        <v>985930</v>
      </c>
      <c r="E16" s="82">
        <f>E17+E18+E19</f>
        <v>860980</v>
      </c>
      <c r="F16" s="37"/>
      <c r="G16" s="81" t="s">
        <v>59</v>
      </c>
      <c r="H16" s="31">
        <f>H17+H18</f>
        <v>555000</v>
      </c>
      <c r="I16" s="31">
        <f>I17+I18</f>
        <v>649000</v>
      </c>
      <c r="J16" s="31">
        <f>J17+J18</f>
        <v>873930</v>
      </c>
      <c r="K16" s="82">
        <f>K17+K18</f>
        <v>810980</v>
      </c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</row>
    <row r="17" spans="1:57" ht="15">
      <c r="A17" s="79" t="s">
        <v>60</v>
      </c>
      <c r="B17" s="30">
        <v>125000</v>
      </c>
      <c r="C17" s="30">
        <v>56000</v>
      </c>
      <c r="D17" s="30">
        <f>92000+480</f>
        <v>92480</v>
      </c>
      <c r="E17" s="80">
        <v>112000</v>
      </c>
      <c r="F17" s="37"/>
      <c r="G17" s="79" t="s">
        <v>61</v>
      </c>
      <c r="H17" s="30">
        <v>400000</v>
      </c>
      <c r="I17" s="30">
        <v>350000</v>
      </c>
      <c r="J17" s="30">
        <v>320000</v>
      </c>
      <c r="K17" s="80">
        <v>200000</v>
      </c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</row>
    <row r="18" spans="1:57" ht="15">
      <c r="A18" s="79" t="s">
        <v>62</v>
      </c>
      <c r="B18" s="30">
        <f>165000-4000</f>
        <v>161000</v>
      </c>
      <c r="C18" s="30">
        <f>368250+30425+50000</f>
        <v>448675</v>
      </c>
      <c r="D18" s="30">
        <f>495000-3+52534</f>
        <v>547531</v>
      </c>
      <c r="E18" s="80">
        <f>410345+32590</f>
        <v>442935</v>
      </c>
      <c r="F18" s="37"/>
      <c r="G18" s="79" t="s">
        <v>63</v>
      </c>
      <c r="H18" s="30">
        <f>SUM(H19:H20)</f>
        <v>155000</v>
      </c>
      <c r="I18" s="30">
        <f>SUM(I19:I20)</f>
        <v>299000</v>
      </c>
      <c r="J18" s="30">
        <f>SUM(J19:J20)</f>
        <v>553930</v>
      </c>
      <c r="K18" s="80">
        <f>SUM(K19:K20)</f>
        <v>610980</v>
      </c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</row>
    <row r="19" spans="1:57" ht="15">
      <c r="A19" s="79" t="s">
        <v>64</v>
      </c>
      <c r="B19" s="30">
        <f>H20*1.8</f>
        <v>99000</v>
      </c>
      <c r="C19" s="30">
        <f>I20*2.2+2235+14290</f>
        <v>234325.00000000003</v>
      </c>
      <c r="D19" s="30">
        <f>J20*1.2+1201-39998+20000</f>
        <v>345919</v>
      </c>
      <c r="E19" s="80">
        <f>296045+10000</f>
        <v>306045</v>
      </c>
      <c r="F19" s="37"/>
      <c r="G19" s="89" t="s">
        <v>65</v>
      </c>
      <c r="H19" s="33">
        <v>100000</v>
      </c>
      <c r="I19" s="33">
        <v>200000</v>
      </c>
      <c r="J19" s="33">
        <v>250000</v>
      </c>
      <c r="K19" s="90">
        <v>300000</v>
      </c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</row>
    <row r="20" spans="1:57" ht="15">
      <c r="A20" s="83"/>
      <c r="B20" s="41"/>
      <c r="C20" s="41"/>
      <c r="D20" s="41"/>
      <c r="E20" s="85"/>
      <c r="F20" s="37"/>
      <c r="G20" s="89" t="s">
        <v>66</v>
      </c>
      <c r="H20" s="33">
        <v>55000</v>
      </c>
      <c r="I20" s="33">
        <f>H20*1.8</f>
        <v>99000</v>
      </c>
      <c r="J20" s="33">
        <f>I20*3.07</f>
        <v>303930</v>
      </c>
      <c r="K20" s="90">
        <v>310980</v>
      </c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</row>
    <row r="21" spans="1:57" ht="15">
      <c r="A21" s="86" t="s">
        <v>67</v>
      </c>
      <c r="B21" s="87">
        <f>B16+B14</f>
        <v>1285000</v>
      </c>
      <c r="C21" s="87">
        <f>C16+C14</f>
        <v>1414000</v>
      </c>
      <c r="D21" s="87">
        <f>D16+D14</f>
        <v>1710930</v>
      </c>
      <c r="E21" s="88">
        <f>E16+E14</f>
        <v>1675980</v>
      </c>
      <c r="F21" s="38"/>
      <c r="G21" s="86" t="s">
        <v>67</v>
      </c>
      <c r="H21" s="87">
        <f>H16+H14</f>
        <v>1285000</v>
      </c>
      <c r="I21" s="87">
        <f>I16+I14</f>
        <v>1414000</v>
      </c>
      <c r="J21" s="87">
        <f>J16+J14</f>
        <v>1710930</v>
      </c>
      <c r="K21" s="88">
        <f>K16+K14</f>
        <v>1675980</v>
      </c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</row>
    <row r="22" spans="1:57" ht="15">
      <c r="A22" s="38"/>
      <c r="B22" s="38"/>
      <c r="C22" s="39"/>
      <c r="D22" s="39"/>
      <c r="E22" s="39"/>
      <c r="F22" s="38"/>
      <c r="G22" s="38"/>
      <c r="H22" s="38"/>
      <c r="I22" s="39"/>
      <c r="J22" s="39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</row>
    <row r="23" spans="1:57" ht="15">
      <c r="A23" s="104" t="s">
        <v>68</v>
      </c>
      <c r="B23" s="38"/>
      <c r="C23" s="38"/>
      <c r="D23" s="38"/>
      <c r="E23" s="38"/>
      <c r="F23" s="38"/>
      <c r="G23" s="38"/>
      <c r="H23" s="40"/>
      <c r="I23" s="40"/>
      <c r="J23" s="40"/>
      <c r="K23" s="40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</row>
    <row r="24" spans="1:57" ht="15">
      <c r="A24" s="91" t="s">
        <v>69</v>
      </c>
      <c r="B24" s="92"/>
      <c r="C24" s="93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</row>
    <row r="25" spans="1:57" ht="15">
      <c r="A25" s="94" t="s">
        <v>86</v>
      </c>
      <c r="B25" s="95">
        <v>0.4</v>
      </c>
      <c r="C25" s="96"/>
      <c r="D25" s="38"/>
      <c r="E25" s="105" t="s">
        <v>96</v>
      </c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</row>
    <row r="26" spans="1:57" ht="15">
      <c r="A26" s="94" t="s">
        <v>87</v>
      </c>
      <c r="B26" s="95">
        <v>0.25</v>
      </c>
      <c r="C26" s="96"/>
      <c r="D26" s="38"/>
      <c r="E26" s="106" t="s">
        <v>92</v>
      </c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</row>
    <row r="27" spans="1:57" ht="15">
      <c r="A27" s="94" t="s">
        <v>95</v>
      </c>
      <c r="B27" s="97"/>
      <c r="C27" s="98">
        <v>0.02</v>
      </c>
      <c r="E27" s="106" t="s">
        <v>93</v>
      </c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</row>
    <row r="28" spans="1:57" ht="15">
      <c r="A28" s="94" t="s">
        <v>88</v>
      </c>
      <c r="B28" s="99">
        <v>1.2</v>
      </c>
      <c r="C28" s="96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</row>
    <row r="29" spans="1:57" ht="15">
      <c r="A29" s="94" t="s">
        <v>89</v>
      </c>
      <c r="B29" s="100">
        <v>0.07</v>
      </c>
      <c r="C29" s="96"/>
      <c r="D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</row>
    <row r="30" spans="1:57" ht="15">
      <c r="A30" s="94" t="s">
        <v>90</v>
      </c>
      <c r="B30" s="100">
        <v>0.04</v>
      </c>
      <c r="C30" s="96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</row>
    <row r="31" spans="1:57" ht="15">
      <c r="A31" s="101" t="s">
        <v>91</v>
      </c>
      <c r="B31" s="102">
        <v>0.08</v>
      </c>
      <c r="C31" s="103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</row>
    <row r="32" spans="1:57" ht="15.75" thickBot="1">
      <c r="A32" s="106"/>
      <c r="B32" s="108"/>
      <c r="C32" s="108"/>
      <c r="D32" s="107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</row>
    <row r="33" spans="1:57" ht="15.75" thickTop="1">
      <c r="A33" s="42" t="s">
        <v>25</v>
      </c>
      <c r="B33" s="43">
        <f>B30+B28*B29</f>
        <v>0.124</v>
      </c>
      <c r="C33" s="41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</row>
    <row r="34" spans="1:57" ht="15">
      <c r="A34" s="44" t="s">
        <v>70</v>
      </c>
      <c r="B34" s="45">
        <f>B31*(1-B26)</f>
        <v>0.06</v>
      </c>
      <c r="C34" s="41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</row>
    <row r="35" spans="1:57" ht="15">
      <c r="A35" s="44" t="s">
        <v>71</v>
      </c>
      <c r="B35" s="46">
        <v>0.6</v>
      </c>
      <c r="C35" s="47"/>
      <c r="D35" s="40"/>
      <c r="E35" s="40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</row>
    <row r="36" spans="1:57" ht="15.75" thickBot="1">
      <c r="A36" s="48" t="s">
        <v>72</v>
      </c>
      <c r="B36" s="49">
        <f>B35*$B$33+(1-B35)*$B$34</f>
        <v>0.09839999999999999</v>
      </c>
      <c r="C36" s="35"/>
      <c r="D36" s="50"/>
      <c r="E36" s="50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</row>
    <row r="37" spans="1:57" ht="15.75" thickTop="1">
      <c r="A37" s="38"/>
      <c r="B37" s="38"/>
      <c r="C37" s="50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</row>
    <row r="38" spans="1:57" ht="15.75" thickBot="1">
      <c r="A38" s="221" t="s">
        <v>102</v>
      </c>
      <c r="B38" s="221"/>
      <c r="C38" s="221"/>
      <c r="D38" s="221"/>
      <c r="E38" s="221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</row>
    <row r="39" spans="1:57" ht="15.75" thickTop="1">
      <c r="A39" s="36"/>
      <c r="B39" s="51">
        <f>B11</f>
        <v>2016</v>
      </c>
      <c r="C39" s="51">
        <f>C11</f>
        <v>2017</v>
      </c>
      <c r="D39" s="51">
        <f>D11</f>
        <v>2018</v>
      </c>
      <c r="E39" s="222">
        <f>E11</f>
        <v>2019</v>
      </c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</row>
    <row r="40" spans="1:57" ht="15">
      <c r="A40" s="44" t="s">
        <v>73</v>
      </c>
      <c r="B40" s="41"/>
      <c r="C40" s="59">
        <f>(I13-H13)/0.6</f>
        <v>58333.333333333336</v>
      </c>
      <c r="D40" s="59">
        <f>(J13-I13)/0.6</f>
        <v>120000</v>
      </c>
      <c r="E40" s="60">
        <f>(K13-J13)/0.6</f>
        <v>46666.66666666667</v>
      </c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</row>
    <row r="41" spans="1:57" ht="15">
      <c r="A41" s="44" t="s">
        <v>74</v>
      </c>
      <c r="B41" s="52"/>
      <c r="C41" s="59">
        <f>C13-B13</f>
        <v>325000</v>
      </c>
      <c r="D41" s="59">
        <f>D13-C13</f>
        <v>450000</v>
      </c>
      <c r="E41" s="60">
        <f>E13-D13</f>
        <v>630000</v>
      </c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</row>
    <row r="42" spans="1:57" ht="15">
      <c r="A42" s="44" t="s">
        <v>94</v>
      </c>
      <c r="B42" s="52"/>
      <c r="C42" s="59">
        <f>(I17+I19)*8%</f>
        <v>44000</v>
      </c>
      <c r="D42" s="59">
        <f>(J17+J19)*8%</f>
        <v>45600</v>
      </c>
      <c r="E42" s="60">
        <f>(K17+K19)*8%</f>
        <v>40000</v>
      </c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</row>
    <row r="43" spans="1:57" ht="15">
      <c r="A43" s="44" t="s">
        <v>75</v>
      </c>
      <c r="B43" s="52"/>
      <c r="C43" s="59">
        <f>(C18+C19-I20)-(B18+B19-H20)</f>
        <v>379000</v>
      </c>
      <c r="D43" s="59">
        <f>(D18+D19-J20)-(C18+C19-I20)</f>
        <v>5520</v>
      </c>
      <c r="E43" s="60">
        <f>(E18+E19-K20)-(D18+D19-J20)</f>
        <v>-151520</v>
      </c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</row>
    <row r="44" spans="1:57" ht="15">
      <c r="A44" s="44" t="s">
        <v>76</v>
      </c>
      <c r="B44" s="52"/>
      <c r="C44" s="59">
        <f>C12-B12</f>
        <v>100000</v>
      </c>
      <c r="D44" s="59">
        <f>D12-C12</f>
        <v>500000</v>
      </c>
      <c r="E44" s="60">
        <f>E12-D12</f>
        <v>720000</v>
      </c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</row>
    <row r="45" spans="1:57" ht="15">
      <c r="A45" s="53" t="s">
        <v>77</v>
      </c>
      <c r="B45" s="54"/>
      <c r="C45" s="61">
        <f>C40+C41+C42*(1-$B$26)-C43-C44</f>
        <v>-62666.666666666686</v>
      </c>
      <c r="D45" s="61">
        <f>D40+D41+D42*(1-$B$26)-D43-D44</f>
        <v>98680</v>
      </c>
      <c r="E45" s="62">
        <f>E40+E41+E42*(1-$B$26)-E43-E44</f>
        <v>138186.66666666663</v>
      </c>
      <c r="F45" s="39"/>
      <c r="G45" s="39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</row>
    <row r="46" spans="1:57" ht="15">
      <c r="A46" s="69" t="s">
        <v>78</v>
      </c>
      <c r="B46" s="68">
        <f>SUM(C46:E46)</f>
        <v>129014.85132039791</v>
      </c>
      <c r="C46" s="63">
        <f>C45/(1+$B$36)</f>
        <v>-57052.68268997331</v>
      </c>
      <c r="D46" s="63">
        <f>D45/(1+$B$36)^2</f>
        <v>81791.4848267678</v>
      </c>
      <c r="E46" s="64">
        <f>E45/(1+$B$36)^3</f>
        <v>104276.04918360342</v>
      </c>
      <c r="F46" s="39"/>
      <c r="G46" s="39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</row>
    <row r="47" spans="1:57" ht="15">
      <c r="A47" s="71" t="s">
        <v>79</v>
      </c>
      <c r="B47" s="52"/>
      <c r="C47" s="63"/>
      <c r="D47" s="63"/>
      <c r="E47" s="70">
        <f>E45*(1+C27)/(B36-2%)</f>
        <v>1797836.7346938774</v>
      </c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</row>
    <row r="48" spans="1:57" ht="15.75" thickBot="1">
      <c r="A48" s="175" t="s">
        <v>80</v>
      </c>
      <c r="B48" s="55">
        <f>E47/(1+B36)^3</f>
        <v>1356652.6807050447</v>
      </c>
      <c r="C48" s="66"/>
      <c r="D48" s="66"/>
      <c r="E48" s="67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</row>
    <row r="49" spans="1:57" ht="15.75" thickTop="1">
      <c r="A49" s="44"/>
      <c r="B49" s="52"/>
      <c r="C49" s="59"/>
      <c r="D49" s="59"/>
      <c r="E49" s="65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</row>
    <row r="50" spans="1:57" ht="15.75" thickBot="1">
      <c r="A50" s="221" t="s">
        <v>103</v>
      </c>
      <c r="B50" s="221"/>
      <c r="C50" s="221"/>
      <c r="D50" s="221"/>
      <c r="E50" s="221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</row>
    <row r="51" spans="1:57" ht="15.75" thickTop="1">
      <c r="A51" s="72" t="s">
        <v>81</v>
      </c>
      <c r="B51" s="73">
        <f>B48+B46</f>
        <v>1485667.5320254425</v>
      </c>
      <c r="C51" s="59"/>
      <c r="D51" s="59"/>
      <c r="E51" s="65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</row>
    <row r="52" spans="1:57" ht="15">
      <c r="A52" s="44" t="s">
        <v>123</v>
      </c>
      <c r="B52" s="52">
        <f>H17+H19</f>
        <v>500000</v>
      </c>
      <c r="C52" s="59"/>
      <c r="D52" s="59"/>
      <c r="E52" s="65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</row>
    <row r="53" spans="1:57" ht="15">
      <c r="A53" s="44" t="s">
        <v>124</v>
      </c>
      <c r="B53" s="52">
        <f>B17</f>
        <v>125000</v>
      </c>
      <c r="C53" s="59"/>
      <c r="D53" s="59"/>
      <c r="E53" s="65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</row>
    <row r="54" spans="1:57" ht="15.75" thickBot="1">
      <c r="A54" s="74" t="s">
        <v>85</v>
      </c>
      <c r="B54" s="75">
        <f>B51-B52+B53</f>
        <v>1110667.5320254425</v>
      </c>
      <c r="C54" s="66"/>
      <c r="D54" s="66"/>
      <c r="E54" s="67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</row>
    <row r="55" spans="1:57" ht="15.75" thickTop="1">
      <c r="A55" s="38" t="s">
        <v>82</v>
      </c>
      <c r="B55" s="56">
        <v>3000000</v>
      </c>
      <c r="C55" s="39"/>
      <c r="D55" s="39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</row>
    <row r="56" spans="1:57" ht="15">
      <c r="A56" s="57" t="s">
        <v>83</v>
      </c>
      <c r="B56" s="58">
        <f>B54/B55</f>
        <v>0.3702225106751475</v>
      </c>
      <c r="C56" s="39"/>
      <c r="D56" s="39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</row>
    <row r="57" spans="1:57" ht="15">
      <c r="A57" s="109" t="s">
        <v>84</v>
      </c>
      <c r="B57" s="110">
        <v>0.5</v>
      </c>
      <c r="C57" s="39"/>
      <c r="D57" s="39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  <row r="58" spans="1:57" ht="15">
      <c r="A58" s="38"/>
      <c r="B58" s="38"/>
      <c r="C58" s="38"/>
      <c r="D58" s="38"/>
      <c r="E58" s="38"/>
      <c r="F58" s="38"/>
      <c r="G58" s="38"/>
      <c r="H58" s="38"/>
      <c r="I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</row>
    <row r="59" spans="1:57" ht="15">
      <c r="A59" s="38"/>
      <c r="B59" s="38"/>
      <c r="C59" s="38"/>
      <c r="D59" s="38"/>
      <c r="E59" s="38"/>
      <c r="F59" s="38"/>
      <c r="G59" s="38"/>
      <c r="H59" s="38"/>
      <c r="I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</row>
    <row r="60" spans="1:57" ht="15">
      <c r="A60" s="38"/>
      <c r="B60" s="38"/>
      <c r="C60" s="38"/>
      <c r="D60" s="38"/>
      <c r="E60" s="38"/>
      <c r="F60" s="38"/>
      <c r="G60" s="38"/>
      <c r="H60" s="38"/>
      <c r="I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</row>
    <row r="61" spans="1:57" ht="15">
      <c r="A61" s="38"/>
      <c r="B61" s="38"/>
      <c r="C61" s="38"/>
      <c r="D61" s="38"/>
      <c r="E61" s="38"/>
      <c r="F61" s="38"/>
      <c r="G61" s="38"/>
      <c r="H61" s="38"/>
      <c r="I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</row>
    <row r="62" spans="1:57" ht="15">
      <c r="A62" s="38"/>
      <c r="B62" s="38"/>
      <c r="C62" s="38"/>
      <c r="D62" s="38"/>
      <c r="E62" s="38"/>
      <c r="F62" s="38"/>
      <c r="G62" s="38"/>
      <c r="H62" s="38"/>
      <c r="I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</row>
    <row r="63" spans="1:57" ht="15">
      <c r="A63" s="38"/>
      <c r="B63" s="38"/>
      <c r="C63" s="38"/>
      <c r="D63" s="38"/>
      <c r="E63" s="38"/>
      <c r="F63" s="38"/>
      <c r="G63" s="38"/>
      <c r="H63" s="38"/>
      <c r="I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</row>
    <row r="64" spans="1:57" ht="15">
      <c r="A64" s="38"/>
      <c r="B64" s="38"/>
      <c r="C64" s="38"/>
      <c r="D64" s="38"/>
      <c r="E64" s="38"/>
      <c r="F64" s="38"/>
      <c r="G64" s="38"/>
      <c r="H64" s="38"/>
      <c r="I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</row>
    <row r="65" spans="1:57" ht="15">
      <c r="A65" s="38"/>
      <c r="B65" s="38"/>
      <c r="C65" s="38"/>
      <c r="D65" s="38"/>
      <c r="E65" s="38"/>
      <c r="F65" s="38"/>
      <c r="G65" s="38"/>
      <c r="H65" s="38"/>
      <c r="I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</row>
    <row r="66" spans="1:57" ht="15">
      <c r="A66" s="38"/>
      <c r="B66" s="38"/>
      <c r="C66" s="38"/>
      <c r="D66" s="38"/>
      <c r="E66" s="38"/>
      <c r="F66" s="38"/>
      <c r="G66" s="38"/>
      <c r="H66" s="38"/>
      <c r="I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</row>
    <row r="67" spans="1:57" ht="15">
      <c r="A67" s="38"/>
      <c r="B67" s="38"/>
      <c r="C67" s="38"/>
      <c r="D67" s="38"/>
      <c r="E67" s="38"/>
      <c r="F67" s="38"/>
      <c r="G67" s="38"/>
      <c r="H67" s="38"/>
      <c r="I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</row>
    <row r="68" spans="1:57" ht="15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</row>
    <row r="69" spans="1:57" ht="1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</row>
    <row r="70" spans="1:57" ht="1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</row>
    <row r="71" spans="1:57" ht="15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</row>
    <row r="72" spans="1:57" ht="1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</row>
    <row r="73" spans="1:57" ht="15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</row>
    <row r="74" spans="1:57" ht="15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</row>
    <row r="75" spans="1:57" ht="15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</row>
    <row r="76" spans="1:57" ht="15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</row>
    <row r="77" spans="1:57" ht="15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</row>
    <row r="78" spans="1:57" ht="15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</row>
    <row r="79" spans="1:57" ht="15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</row>
    <row r="80" spans="1:57" ht="1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</row>
    <row r="81" spans="1:57" ht="1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</row>
    <row r="82" spans="1:57" ht="1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</row>
    <row r="83" spans="1:57" ht="1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</row>
    <row r="84" spans="1:57" ht="1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</row>
    <row r="85" spans="1:57" ht="1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</row>
    <row r="86" spans="1:57" ht="1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</row>
    <row r="87" spans="1:57" ht="15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</row>
    <row r="88" spans="1:57" ht="15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</row>
    <row r="89" spans="1:57" ht="15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</row>
    <row r="90" spans="1:57" ht="15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</row>
    <row r="91" spans="1:57" ht="1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</row>
    <row r="92" spans="1:57" ht="1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</row>
    <row r="93" spans="1:57" ht="1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</row>
    <row r="94" spans="1:57" ht="15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</row>
    <row r="95" spans="1:57" ht="15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</row>
    <row r="96" spans="1:57" ht="15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ht="15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  <row r="98" spans="1:57" ht="15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</row>
    <row r="99" spans="1:57" ht="15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</row>
    <row r="100" spans="1:57" ht="15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</row>
    <row r="101" spans="1:57" ht="15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</row>
    <row r="102" spans="1:57" ht="15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</row>
    <row r="103" spans="1:57" ht="15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</row>
    <row r="104" spans="1:57" ht="15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</row>
    <row r="105" spans="1:57" ht="15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</row>
    <row r="106" spans="1:57" ht="15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</row>
    <row r="107" spans="1:57" ht="15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</row>
    <row r="108" spans="1:57" ht="15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</row>
    <row r="109" spans="1:57" ht="15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</row>
    <row r="110" spans="12:57" ht="15"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</row>
    <row r="111" spans="12:57" ht="15"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</row>
    <row r="112" spans="12:57" ht="15"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</row>
    <row r="113" spans="12:57" ht="15"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</row>
    <row r="114" spans="12:57" ht="15"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</row>
    <row r="115" spans="12:57" ht="15"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</row>
    <row r="116" spans="12:57" ht="15"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</row>
    <row r="117" spans="12:57" ht="15"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</row>
    <row r="118" spans="12:57" ht="15"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</row>
    <row r="119" spans="12:57" ht="15"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</row>
    <row r="120" spans="12:57" ht="15"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</row>
    <row r="121" spans="12:57" ht="15"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</row>
    <row r="122" spans="12:57" ht="15"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</row>
    <row r="123" spans="12:57" ht="15"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</row>
    <row r="124" spans="12:57" ht="15"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</row>
    <row r="125" spans="12:57" ht="15"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</row>
    <row r="126" spans="12:57" ht="15"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</row>
    <row r="127" spans="12:57" ht="15"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</row>
    <row r="128" spans="12:57" ht="15"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</row>
    <row r="129" spans="12:57" ht="15"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</row>
    <row r="130" spans="12:57" ht="15"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</row>
    <row r="131" spans="12:57" ht="15"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</row>
    <row r="132" spans="12:57" ht="15"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</row>
    <row r="133" spans="12:57" ht="15"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</row>
    <row r="134" spans="12:57" ht="15"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</row>
    <row r="135" spans="12:57" ht="15"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</row>
    <row r="136" spans="12:57" ht="15"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</row>
    <row r="137" spans="12:57" ht="15"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</row>
    <row r="138" spans="12:57" ht="15"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</row>
    <row r="139" spans="12:57" ht="15"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</row>
    <row r="140" spans="12:57" ht="15"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</row>
    <row r="141" spans="12:57" ht="15"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</row>
    <row r="142" spans="12:57" ht="15"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</row>
    <row r="143" spans="12:57" ht="15"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</row>
    <row r="144" spans="12:57" ht="15"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</row>
    <row r="145" spans="12:57" ht="15"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</row>
    <row r="146" spans="12:57" ht="15"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</row>
    <row r="147" spans="12:57" ht="15"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</row>
    <row r="148" spans="12:57" ht="15"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</row>
    <row r="149" spans="12:57" ht="15"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</row>
    <row r="150" spans="12:57" ht="15"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</row>
    <row r="151" spans="12:57" ht="15"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</row>
    <row r="152" spans="12:57" ht="15"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</row>
    <row r="153" spans="12:57" ht="15"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</row>
    <row r="154" spans="12:57" ht="15"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</row>
    <row r="155" spans="12:57" ht="15"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</row>
    <row r="156" spans="12:57" ht="15"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</row>
    <row r="157" spans="12:57" ht="15"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</row>
    <row r="158" spans="12:57" ht="15"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</row>
    <row r="159" spans="12:57" ht="15"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</row>
    <row r="160" spans="12:57" ht="15"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</row>
    <row r="161" spans="12:57" ht="15"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</row>
    <row r="162" spans="12:57" ht="15"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</row>
    <row r="163" spans="12:57" ht="15"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</row>
    <row r="164" spans="12:57" ht="15"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</row>
    <row r="165" spans="12:57" ht="15"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</row>
    <row r="166" spans="12:57" ht="15"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</row>
    <row r="167" spans="12:57" ht="15"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</row>
    <row r="168" spans="12:57" ht="15"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</row>
    <row r="169" spans="12:57" ht="15"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</row>
    <row r="170" spans="12:57" ht="15"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</row>
    <row r="171" spans="12:57" ht="15"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</row>
    <row r="172" spans="12:57" ht="15"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</row>
    <row r="173" spans="12:57" ht="15"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</row>
    <row r="174" spans="12:57" ht="15"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</row>
    <row r="175" spans="12:57" ht="15"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</row>
    <row r="176" spans="12:57" ht="15"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</row>
    <row r="177" spans="12:57" ht="15"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</row>
    <row r="178" spans="12:57" ht="15"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</row>
    <row r="179" spans="12:57" ht="15"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</row>
    <row r="180" spans="12:57" ht="15"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</row>
    <row r="181" spans="12:57" ht="15"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</row>
    <row r="182" spans="12:57" ht="15"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8"/>
      <c r="BE182" s="38"/>
    </row>
    <row r="183" spans="12:57" ht="15"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  <c r="BD183" s="38"/>
      <c r="BE183" s="38"/>
    </row>
    <row r="184" spans="12:57" ht="15"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  <c r="BD184" s="38"/>
      <c r="BE184" s="38"/>
    </row>
    <row r="185" spans="12:57" ht="15"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  <c r="BD185" s="38"/>
      <c r="BE185" s="38"/>
    </row>
    <row r="186" spans="12:57" ht="15"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  <c r="BD186" s="38"/>
      <c r="BE186" s="38"/>
    </row>
    <row r="187" spans="12:57" ht="15"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  <c r="AW187" s="38"/>
      <c r="AX187" s="38"/>
      <c r="AY187" s="38"/>
      <c r="AZ187" s="38"/>
      <c r="BA187" s="38"/>
      <c r="BB187" s="38"/>
      <c r="BC187" s="38"/>
      <c r="BD187" s="38"/>
      <c r="BE187" s="38"/>
    </row>
    <row r="188" spans="12:57" ht="15"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38"/>
      <c r="AV188" s="38"/>
      <c r="AW188" s="38"/>
      <c r="AX188" s="38"/>
      <c r="AY188" s="38"/>
      <c r="AZ188" s="38"/>
      <c r="BA188" s="38"/>
      <c r="BB188" s="38"/>
      <c r="BC188" s="38"/>
      <c r="BD188" s="38"/>
      <c r="BE188" s="38"/>
    </row>
    <row r="189" spans="12:57" ht="15"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  <c r="BD189" s="38"/>
      <c r="BE189" s="38"/>
    </row>
    <row r="190" spans="12:57" ht="15"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  <c r="BD190" s="38"/>
      <c r="BE190" s="38"/>
    </row>
    <row r="191" spans="12:57" ht="15"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  <c r="BD191" s="38"/>
      <c r="BE191" s="38"/>
    </row>
    <row r="192" spans="12:57" ht="15"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  <c r="AP192" s="38"/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  <c r="BD192" s="38"/>
      <c r="BE192" s="38"/>
    </row>
    <row r="193" spans="12:57" ht="15"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  <c r="BD193" s="38"/>
      <c r="BE193" s="38"/>
    </row>
    <row r="194" spans="12:57" ht="15"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  <c r="BD194" s="38"/>
      <c r="BE194" s="38"/>
    </row>
    <row r="195" spans="12:57" ht="15"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  <c r="BD195" s="38"/>
      <c r="BE195" s="38"/>
    </row>
    <row r="196" spans="12:57" ht="15"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  <c r="BD196" s="38"/>
      <c r="BE196" s="38"/>
    </row>
    <row r="197" spans="12:57" ht="15"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  <c r="BD197" s="38"/>
      <c r="BE197" s="38"/>
    </row>
    <row r="198" spans="12:57" ht="15"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  <c r="BD198" s="38"/>
      <c r="BE198" s="38"/>
    </row>
    <row r="199" spans="12:57" ht="15"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  <c r="BD199" s="38"/>
      <c r="BE199" s="38"/>
    </row>
    <row r="200" spans="12:57" ht="15"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  <c r="BD200" s="38"/>
      <c r="BE200" s="38"/>
    </row>
    <row r="201" spans="12:57" ht="15"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  <c r="BD201" s="38"/>
      <c r="BE201" s="38"/>
    </row>
    <row r="202" spans="12:57" ht="15"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  <c r="BD202" s="38"/>
      <c r="BE202" s="38"/>
    </row>
    <row r="203" spans="12:57" ht="15"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  <c r="BD203" s="38"/>
      <c r="BE203" s="38"/>
    </row>
    <row r="204" spans="12:57" ht="15"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  <c r="BD204" s="38"/>
      <c r="BE204" s="38"/>
    </row>
    <row r="205" spans="12:57" ht="15"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  <c r="BD205" s="38"/>
      <c r="BE205" s="38"/>
    </row>
    <row r="206" spans="12:57" ht="15"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  <c r="BD206" s="38"/>
      <c r="BE206" s="38"/>
    </row>
    <row r="207" spans="12:57" ht="15"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  <c r="BD207" s="38"/>
      <c r="BE207" s="38"/>
    </row>
    <row r="208" spans="12:57" ht="15"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  <c r="BD208" s="38"/>
      <c r="BE208" s="38"/>
    </row>
    <row r="209" spans="12:57" ht="15"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  <c r="BD209" s="38"/>
      <c r="BE209" s="38"/>
    </row>
    <row r="210" spans="12:57" ht="15"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  <c r="BD210" s="38"/>
      <c r="BE210" s="38"/>
    </row>
    <row r="211" spans="12:57" ht="15"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  <c r="BD211" s="38"/>
      <c r="BE211" s="38"/>
    </row>
    <row r="212" spans="12:57" ht="15"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  <c r="BD212" s="38"/>
      <c r="BE212" s="38"/>
    </row>
    <row r="213" spans="12:57" ht="15"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  <c r="BD213" s="38"/>
      <c r="BE213" s="38"/>
    </row>
    <row r="214" spans="12:57" ht="15"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  <c r="BD214" s="38"/>
      <c r="BE214" s="38"/>
    </row>
    <row r="215" spans="12:57" ht="15"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  <c r="BD215" s="38"/>
      <c r="BE215" s="38"/>
    </row>
    <row r="216" spans="12:57" ht="15"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  <c r="BD216" s="38"/>
      <c r="BE216" s="38"/>
    </row>
    <row r="217" spans="12:57" ht="15"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  <c r="BD217" s="38"/>
      <c r="BE217" s="38"/>
    </row>
    <row r="218" spans="12:57" ht="15"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  <c r="BD218" s="38"/>
      <c r="BE218" s="38"/>
    </row>
    <row r="219" spans="12:57" ht="15"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  <c r="BD219" s="38"/>
      <c r="BE219" s="38"/>
    </row>
    <row r="220" spans="12:57" ht="15"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  <c r="BD220" s="38"/>
      <c r="BE220" s="38"/>
    </row>
    <row r="221" spans="12:57" ht="15"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  <c r="BD221" s="38"/>
      <c r="BE221" s="38"/>
    </row>
    <row r="222" spans="12:57" ht="15"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  <c r="AJ222" s="38"/>
      <c r="AK222" s="38"/>
      <c r="AL222" s="38"/>
      <c r="AM222" s="38"/>
      <c r="AN222" s="38"/>
      <c r="AO222" s="38"/>
      <c r="AP222" s="38"/>
      <c r="AQ222" s="38"/>
      <c r="AR222" s="38"/>
      <c r="AS222" s="38"/>
      <c r="AT222" s="38"/>
      <c r="AU222" s="38"/>
      <c r="AV222" s="38"/>
      <c r="AW222" s="38"/>
      <c r="AX222" s="38"/>
      <c r="AY222" s="38"/>
      <c r="AZ222" s="38"/>
      <c r="BA222" s="38"/>
      <c r="BB222" s="38"/>
      <c r="BC222" s="38"/>
      <c r="BD222" s="38"/>
      <c r="BE222" s="38"/>
    </row>
    <row r="223" spans="12:57" ht="15"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  <c r="AJ223" s="38"/>
      <c r="AK223" s="38"/>
      <c r="AL223" s="38"/>
      <c r="AM223" s="38"/>
      <c r="AN223" s="38"/>
      <c r="AO223" s="38"/>
      <c r="AP223" s="38"/>
      <c r="AQ223" s="38"/>
      <c r="AR223" s="38"/>
      <c r="AS223" s="38"/>
      <c r="AT223" s="38"/>
      <c r="AU223" s="38"/>
      <c r="AV223" s="38"/>
      <c r="AW223" s="38"/>
      <c r="AX223" s="38"/>
      <c r="AY223" s="38"/>
      <c r="AZ223" s="38"/>
      <c r="BA223" s="38"/>
      <c r="BB223" s="38"/>
      <c r="BC223" s="38"/>
      <c r="BD223" s="38"/>
      <c r="BE223" s="38"/>
    </row>
    <row r="224" spans="12:57" ht="15"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38"/>
      <c r="AL224" s="38"/>
      <c r="AM224" s="38"/>
      <c r="AN224" s="38"/>
      <c r="AO224" s="38"/>
      <c r="AP224" s="38"/>
      <c r="AQ224" s="38"/>
      <c r="AR224" s="38"/>
      <c r="AS224" s="38"/>
      <c r="AT224" s="38"/>
      <c r="AU224" s="38"/>
      <c r="AV224" s="38"/>
      <c r="AW224" s="38"/>
      <c r="AX224" s="38"/>
      <c r="AY224" s="38"/>
      <c r="AZ224" s="38"/>
      <c r="BA224" s="38"/>
      <c r="BB224" s="38"/>
      <c r="BC224" s="38"/>
      <c r="BD224" s="38"/>
      <c r="BE224" s="38"/>
    </row>
    <row r="225" spans="12:57" ht="15"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38"/>
      <c r="AL225" s="38"/>
      <c r="AM225" s="38"/>
      <c r="AN225" s="38"/>
      <c r="AO225" s="38"/>
      <c r="AP225" s="38"/>
      <c r="AQ225" s="38"/>
      <c r="AR225" s="38"/>
      <c r="AS225" s="38"/>
      <c r="AT225" s="38"/>
      <c r="AU225" s="38"/>
      <c r="AV225" s="38"/>
      <c r="AW225" s="38"/>
      <c r="AX225" s="38"/>
      <c r="AY225" s="38"/>
      <c r="AZ225" s="38"/>
      <c r="BA225" s="38"/>
      <c r="BB225" s="38"/>
      <c r="BC225" s="38"/>
      <c r="BD225" s="38"/>
      <c r="BE225" s="38"/>
    </row>
    <row r="226" spans="12:57" ht="15"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 s="38"/>
      <c r="AV226" s="38"/>
      <c r="AW226" s="38"/>
      <c r="AX226" s="38"/>
      <c r="AY226" s="38"/>
      <c r="AZ226" s="38"/>
      <c r="BA226" s="38"/>
      <c r="BB226" s="38"/>
      <c r="BC226" s="38"/>
      <c r="BD226" s="38"/>
      <c r="BE226" s="38"/>
    </row>
    <row r="227" spans="12:57" ht="15"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  <c r="AQ227" s="38"/>
      <c r="AR227" s="38"/>
      <c r="AS227" s="38"/>
      <c r="AT227" s="38"/>
      <c r="AU227" s="38"/>
      <c r="AV227" s="38"/>
      <c r="AW227" s="38"/>
      <c r="AX227" s="38"/>
      <c r="AY227" s="38"/>
      <c r="AZ227" s="38"/>
      <c r="BA227" s="38"/>
      <c r="BB227" s="38"/>
      <c r="BC227" s="38"/>
      <c r="BD227" s="38"/>
      <c r="BE227" s="38"/>
    </row>
    <row r="228" spans="12:57" ht="15"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  <c r="AK228" s="38"/>
      <c r="AL228" s="38"/>
      <c r="AM228" s="38"/>
      <c r="AN228" s="38"/>
      <c r="AO228" s="38"/>
      <c r="AP228" s="38"/>
      <c r="AQ228" s="38"/>
      <c r="AR228" s="38"/>
      <c r="AS228" s="38"/>
      <c r="AT228" s="38"/>
      <c r="AU228" s="38"/>
      <c r="AV228" s="38"/>
      <c r="AW228" s="38"/>
      <c r="AX228" s="38"/>
      <c r="AY228" s="38"/>
      <c r="AZ228" s="38"/>
      <c r="BA228" s="38"/>
      <c r="BB228" s="38"/>
      <c r="BC228" s="38"/>
      <c r="BD228" s="38"/>
      <c r="BE228" s="38"/>
    </row>
    <row r="229" spans="12:57" ht="15"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  <c r="AJ229" s="38"/>
      <c r="AK229" s="38"/>
      <c r="AL229" s="38"/>
      <c r="AM229" s="38"/>
      <c r="AN229" s="38"/>
      <c r="AO229" s="38"/>
      <c r="AP229" s="38"/>
      <c r="AQ229" s="38"/>
      <c r="AR229" s="38"/>
      <c r="AS229" s="38"/>
      <c r="AT229" s="38"/>
      <c r="AU229" s="38"/>
      <c r="AV229" s="38"/>
      <c r="AW229" s="38"/>
      <c r="AX229" s="38"/>
      <c r="AY229" s="38"/>
      <c r="AZ229" s="38"/>
      <c r="BA229" s="38"/>
      <c r="BB229" s="38"/>
      <c r="BC229" s="38"/>
      <c r="BD229" s="38"/>
      <c r="BE229" s="38"/>
    </row>
    <row r="230" spans="12:57" ht="15"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38"/>
      <c r="AJ230" s="38"/>
      <c r="AK230" s="38"/>
      <c r="AL230" s="38"/>
      <c r="AM230" s="38"/>
      <c r="AN230" s="38"/>
      <c r="AO230" s="38"/>
      <c r="AP230" s="38"/>
      <c r="AQ230" s="38"/>
      <c r="AR230" s="38"/>
      <c r="AS230" s="38"/>
      <c r="AT230" s="38"/>
      <c r="AU230" s="38"/>
      <c r="AV230" s="38"/>
      <c r="AW230" s="38"/>
      <c r="AX230" s="38"/>
      <c r="AY230" s="38"/>
      <c r="AZ230" s="38"/>
      <c r="BA230" s="38"/>
      <c r="BB230" s="38"/>
      <c r="BC230" s="38"/>
      <c r="BD230" s="38"/>
      <c r="BE230" s="38"/>
    </row>
    <row r="231" spans="12:57" ht="15"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38"/>
      <c r="AJ231" s="38"/>
      <c r="AK231" s="38"/>
      <c r="AL231" s="38"/>
      <c r="AM231" s="38"/>
      <c r="AN231" s="38"/>
      <c r="AO231" s="38"/>
      <c r="AP231" s="38"/>
      <c r="AQ231" s="38"/>
      <c r="AR231" s="38"/>
      <c r="AS231" s="38"/>
      <c r="AT231" s="38"/>
      <c r="AU231" s="38"/>
      <c r="AV231" s="38"/>
      <c r="AW231" s="38"/>
      <c r="AX231" s="38"/>
      <c r="AY231" s="38"/>
      <c r="AZ231" s="38"/>
      <c r="BA231" s="38"/>
      <c r="BB231" s="38"/>
      <c r="BC231" s="38"/>
      <c r="BD231" s="38"/>
      <c r="BE231" s="38"/>
    </row>
  </sheetData>
  <sheetProtection/>
  <mergeCells count="5">
    <mergeCell ref="A1:F1"/>
    <mergeCell ref="A10:E10"/>
    <mergeCell ref="G10:K10"/>
    <mergeCell ref="A38:E38"/>
    <mergeCell ref="A50:E50"/>
  </mergeCells>
  <printOptions/>
  <pageMargins left="0.75" right="0.75" top="1" bottom="1" header="0.3" footer="0.3"/>
  <pageSetup orientation="portrait" paperSize="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Microsoft Office User</cp:lastModifiedBy>
  <dcterms:created xsi:type="dcterms:W3CDTF">2010-06-05T12:22:54Z</dcterms:created>
  <dcterms:modified xsi:type="dcterms:W3CDTF">2018-02-12T09:35:12Z</dcterms:modified>
  <cp:category/>
  <cp:version/>
  <cp:contentType/>
  <cp:contentStatus/>
</cp:coreProperties>
</file>