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ikos\Desktop\courses\Management Accounting_ISFM\MA 2025-2026\"/>
    </mc:Choice>
  </mc:AlternateContent>
  <xr:revisionPtr revIDLastSave="0" documentId="13_ncr:1_{409CFCFA-4A48-44FF-98E2-28808A4BC14A}" xr6:coauthVersionLast="47" xr6:coauthVersionMax="47" xr10:uidLastSave="{00000000-0000-0000-0000-000000000000}"/>
  <bookViews>
    <workbookView xWindow="-108" yWindow="-108" windowWidth="23256" windowHeight="12456" activeTab="10" xr2:uid="{EDA62DB0-E921-42B9-8B6A-5FE74B25C3D0}"/>
  </bookViews>
  <sheets>
    <sheet name="Ex1" sheetId="2" r:id="rId1"/>
    <sheet name="Ex2" sheetId="3" r:id="rId2"/>
    <sheet name="Ex3" sheetId="4" r:id="rId3"/>
    <sheet name="Ex5" sheetId="5" r:id="rId4"/>
    <sheet name="Ex6" sheetId="6" r:id="rId5"/>
    <sheet name="Ex7" sheetId="7" r:id="rId6"/>
    <sheet name="Ex8" sheetId="8" r:id="rId7"/>
    <sheet name="Ex9" sheetId="9" r:id="rId8"/>
    <sheet name="Ex10" sheetId="10" r:id="rId9"/>
    <sheet name="Ex11" sheetId="11" r:id="rId10"/>
    <sheet name="Ex13" sheetId="1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2" l="1"/>
  <c r="J29" i="12"/>
  <c r="H28" i="12"/>
  <c r="J27" i="12"/>
  <c r="H26" i="12"/>
  <c r="J25" i="12"/>
  <c r="J26" i="12" s="1"/>
  <c r="J28" i="12" s="1"/>
  <c r="J30" i="12" s="1"/>
  <c r="J24" i="12"/>
  <c r="H24" i="12"/>
  <c r="H25" i="12" s="1"/>
  <c r="H27" i="12" s="1"/>
  <c r="H29" i="12" s="1"/>
  <c r="H23" i="12"/>
  <c r="J21" i="12"/>
  <c r="H20" i="12"/>
  <c r="H21" i="12" s="1"/>
  <c r="H30" i="12" s="1"/>
  <c r="J19" i="12"/>
  <c r="J20" i="12" s="1"/>
  <c r="J22" i="12" s="1"/>
  <c r="J31" i="12" s="1"/>
  <c r="H17" i="12"/>
  <c r="J14" i="12"/>
  <c r="J11" i="12"/>
  <c r="J9" i="12"/>
  <c r="J7" i="12"/>
  <c r="H7" i="12"/>
  <c r="J6" i="12"/>
  <c r="J8" i="12" s="1"/>
  <c r="J10" i="12" s="1"/>
  <c r="J12" i="12" s="1"/>
  <c r="J3" i="12"/>
  <c r="H3" i="12"/>
  <c r="H6" i="12" s="1"/>
  <c r="H12" i="11"/>
  <c r="J11" i="11"/>
  <c r="I10" i="11"/>
  <c r="J10" i="11" s="1"/>
  <c r="H3" i="11"/>
  <c r="H2" i="11"/>
  <c r="H5" i="11" s="1"/>
  <c r="I11" i="10"/>
  <c r="I10" i="10"/>
  <c r="I9" i="10"/>
  <c r="I12" i="10" s="1"/>
  <c r="H9" i="10"/>
  <c r="J9" i="10" s="1"/>
  <c r="H5" i="10"/>
  <c r="J5" i="10" s="1"/>
  <c r="J4" i="10"/>
  <c r="H4" i="10"/>
  <c r="H10" i="10" s="1"/>
  <c r="J10" i="10" s="1"/>
  <c r="H3" i="10"/>
  <c r="H6" i="10" s="1"/>
  <c r="H16" i="9"/>
  <c r="H15" i="9"/>
  <c r="H17" i="9" s="1"/>
  <c r="H11" i="9"/>
  <c r="H10" i="9"/>
  <c r="H9" i="9"/>
  <c r="H8" i="9"/>
  <c r="H12" i="9" s="1"/>
  <c r="K6" i="9" s="1"/>
  <c r="K7" i="9" s="1"/>
  <c r="H6" i="9"/>
  <c r="G20" i="8"/>
  <c r="F20" i="8"/>
  <c r="H17" i="8"/>
  <c r="H16" i="8"/>
  <c r="F14" i="8"/>
  <c r="H13" i="8"/>
  <c r="G11" i="8"/>
  <c r="F11" i="8"/>
  <c r="H11" i="8" s="1"/>
  <c r="F6" i="8"/>
  <c r="F5" i="8"/>
  <c r="G5" i="8" s="1"/>
  <c r="F4" i="8"/>
  <c r="G4" i="8" s="1"/>
  <c r="E4" i="8"/>
  <c r="F3" i="8"/>
  <c r="G3" i="8" s="1"/>
  <c r="E3" i="8"/>
  <c r="G21" i="7"/>
  <c r="F19" i="7"/>
  <c r="G16" i="7"/>
  <c r="G17" i="7" s="1"/>
  <c r="G18" i="7" s="1"/>
  <c r="G15" i="7"/>
  <c r="I11" i="7"/>
  <c r="I12" i="7" s="1"/>
  <c r="H10" i="7"/>
  <c r="N10" i="7" s="1"/>
  <c r="G10" i="7"/>
  <c r="J10" i="7" s="1"/>
  <c r="H9" i="7"/>
  <c r="L9" i="7" s="1"/>
  <c r="G9" i="7"/>
  <c r="J9" i="7" s="1"/>
  <c r="H8" i="7"/>
  <c r="N8" i="7" s="1"/>
  <c r="G8" i="7"/>
  <c r="G11" i="7" s="1"/>
  <c r="G12" i="7" s="1"/>
  <c r="G19" i="7" s="1"/>
  <c r="G6" i="7"/>
  <c r="J6" i="7" s="1"/>
  <c r="I5" i="7"/>
  <c r="N5" i="7" s="1"/>
  <c r="H5" i="7"/>
  <c r="L5" i="7" s="1"/>
  <c r="P5" i="7" s="1"/>
  <c r="N4" i="7"/>
  <c r="L4" i="7"/>
  <c r="P4" i="7" s="1"/>
  <c r="J4" i="7"/>
  <c r="I96" i="6"/>
  <c r="I88" i="6"/>
  <c r="I69" i="6"/>
  <c r="I71" i="6" s="1"/>
  <c r="I67" i="6"/>
  <c r="H67" i="6"/>
  <c r="I51" i="6"/>
  <c r="I46" i="6"/>
  <c r="I45" i="6"/>
  <c r="H36" i="6"/>
  <c r="H30" i="6"/>
  <c r="H16" i="6"/>
  <c r="I14" i="6"/>
  <c r="I16" i="6" s="1"/>
  <c r="I18" i="6" s="1"/>
  <c r="I12" i="6"/>
  <c r="I11" i="6"/>
  <c r="H11" i="6"/>
  <c r="I4" i="6"/>
  <c r="I91" i="6" s="1"/>
  <c r="D13" i="5"/>
  <c r="E13" i="5" s="1"/>
  <c r="F13" i="5" s="1"/>
  <c r="G13" i="5" s="1"/>
  <c r="E12" i="5"/>
  <c r="F12" i="5" s="1"/>
  <c r="G12" i="5" s="1"/>
  <c r="D12" i="5"/>
  <c r="E11" i="5"/>
  <c r="H12" i="5" s="1"/>
  <c r="D11" i="5"/>
  <c r="H11" i="5" s="1"/>
  <c r="M27" i="4"/>
  <c r="F19" i="4"/>
  <c r="E19" i="4"/>
  <c r="D19" i="4"/>
  <c r="D20" i="4" s="1"/>
  <c r="C19" i="4"/>
  <c r="C20" i="4" s="1"/>
  <c r="G18" i="4"/>
  <c r="F18" i="4"/>
  <c r="E18" i="4"/>
  <c r="G17" i="4"/>
  <c r="F17" i="4"/>
  <c r="E17" i="4"/>
  <c r="G16" i="4"/>
  <c r="F16" i="4"/>
  <c r="E16" i="4"/>
  <c r="G15" i="4"/>
  <c r="F15" i="4"/>
  <c r="E15" i="4"/>
  <c r="G14" i="4"/>
  <c r="G19" i="4" s="1"/>
  <c r="N16" i="4" s="1"/>
  <c r="F14" i="4"/>
  <c r="E14" i="4"/>
  <c r="G13" i="4"/>
  <c r="F13" i="4"/>
  <c r="E13" i="4"/>
  <c r="G12" i="4"/>
  <c r="F12" i="4"/>
  <c r="E12" i="4"/>
  <c r="N10" i="4"/>
  <c r="N11" i="4" s="1"/>
  <c r="N24" i="4" s="1"/>
  <c r="G39" i="3"/>
  <c r="F39" i="3"/>
  <c r="G37" i="3"/>
  <c r="F37" i="3"/>
  <c r="G35" i="3"/>
  <c r="F35" i="3"/>
  <c r="G34" i="3"/>
  <c r="F34" i="3"/>
  <c r="F32" i="3"/>
  <c r="G31" i="3"/>
  <c r="F31" i="3"/>
  <c r="G27" i="3"/>
  <c r="F27" i="3"/>
  <c r="F26" i="3"/>
  <c r="G25" i="3"/>
  <c r="F25" i="3"/>
  <c r="I21" i="3"/>
  <c r="F21" i="3"/>
  <c r="G20" i="3"/>
  <c r="H20" i="3" s="1"/>
  <c r="F20" i="3"/>
  <c r="G19" i="3"/>
  <c r="F19" i="3"/>
  <c r="G18" i="3"/>
  <c r="F18" i="3"/>
  <c r="G17" i="3"/>
  <c r="F17" i="3"/>
  <c r="G16" i="3"/>
  <c r="F16" i="3"/>
  <c r="G15" i="3"/>
  <c r="F15" i="3"/>
  <c r="G14" i="3"/>
  <c r="F14" i="3"/>
  <c r="H12" i="3"/>
  <c r="F12" i="3"/>
  <c r="H11" i="3"/>
  <c r="I20" i="3" s="1"/>
  <c r="I22" i="3" s="1"/>
  <c r="G26" i="3" s="1"/>
  <c r="G28" i="3" s="1"/>
  <c r="G32" i="3" s="1"/>
  <c r="G33" i="3" s="1"/>
  <c r="G36" i="3" s="1"/>
  <c r="G38" i="3" s="1"/>
  <c r="G40" i="3" s="1"/>
  <c r="F11" i="3"/>
  <c r="F9" i="3"/>
  <c r="G6" i="3"/>
  <c r="F5" i="3"/>
  <c r="F4" i="3"/>
  <c r="F3" i="3"/>
  <c r="J32" i="2"/>
  <c r="H32" i="2"/>
  <c r="J30" i="2"/>
  <c r="H30" i="2"/>
  <c r="I28" i="2"/>
  <c r="H28" i="2"/>
  <c r="I27" i="2"/>
  <c r="J28" i="2" s="1"/>
  <c r="H27" i="2"/>
  <c r="J20" i="2"/>
  <c r="H20" i="2"/>
  <c r="J19" i="2"/>
  <c r="H19" i="2"/>
  <c r="L14" i="2"/>
  <c r="J14" i="2"/>
  <c r="I14" i="2"/>
  <c r="K14" i="2" s="1"/>
  <c r="H14" i="2"/>
  <c r="L13" i="2"/>
  <c r="K13" i="2"/>
  <c r="J13" i="2"/>
  <c r="I13" i="2"/>
  <c r="H13" i="2"/>
  <c r="I12" i="2"/>
  <c r="K12" i="2" s="1"/>
  <c r="H12" i="2"/>
  <c r="I11" i="2"/>
  <c r="L11" i="2" s="1"/>
  <c r="H11" i="2"/>
  <c r="K10" i="2"/>
  <c r="I10" i="2"/>
  <c r="H10" i="2"/>
  <c r="I9" i="2"/>
  <c r="K9" i="2" s="1"/>
  <c r="H9" i="2"/>
  <c r="I8" i="2"/>
  <c r="J8" i="2" s="1"/>
  <c r="H8" i="2"/>
  <c r="J7" i="2"/>
  <c r="I7" i="2"/>
  <c r="H7" i="2"/>
  <c r="I6" i="2"/>
  <c r="J6" i="2" s="1"/>
  <c r="H6" i="2"/>
  <c r="I5" i="2"/>
  <c r="J5" i="2" s="1"/>
  <c r="H5" i="2"/>
  <c r="H9" i="12" l="1"/>
  <c r="H11" i="12" s="1"/>
  <c r="J13" i="12"/>
  <c r="J6" i="10"/>
  <c r="H12" i="10"/>
  <c r="J12" i="10" s="1"/>
  <c r="I12" i="11"/>
  <c r="H11" i="10"/>
  <c r="J11" i="10" s="1"/>
  <c r="J3" i="10"/>
  <c r="H4" i="11"/>
  <c r="H13" i="11" s="1"/>
  <c r="J12" i="7"/>
  <c r="G20" i="7"/>
  <c r="G22" i="7" s="1"/>
  <c r="H12" i="8"/>
  <c r="H14" i="8" s="1"/>
  <c r="H18" i="8" s="1"/>
  <c r="G21" i="8" s="1"/>
  <c r="G8" i="8"/>
  <c r="G22" i="8" s="1"/>
  <c r="K8" i="9"/>
  <c r="K10" i="9" s="1"/>
  <c r="K11" i="9" s="1"/>
  <c r="K12" i="9" s="1"/>
  <c r="H13" i="9"/>
  <c r="H18" i="9" s="1"/>
  <c r="H21" i="9" s="1"/>
  <c r="H22" i="9" s="1"/>
  <c r="L10" i="7"/>
  <c r="P10" i="7" s="1"/>
  <c r="H6" i="7"/>
  <c r="J8" i="7"/>
  <c r="F8" i="8"/>
  <c r="L8" i="7"/>
  <c r="P8" i="7" s="1"/>
  <c r="H11" i="7"/>
  <c r="L11" i="7" s="1"/>
  <c r="N11" i="7"/>
  <c r="J11" i="7"/>
  <c r="J5" i="7"/>
  <c r="N9" i="7"/>
  <c r="P9" i="7" s="1"/>
  <c r="J14" i="4"/>
  <c r="J16" i="4"/>
  <c r="J18" i="4"/>
  <c r="J13" i="4"/>
  <c r="J15" i="4"/>
  <c r="J12" i="4"/>
  <c r="J19" i="4" s="1"/>
  <c r="J17" i="4"/>
  <c r="I94" i="6"/>
  <c r="I79" i="6"/>
  <c r="I21" i="6"/>
  <c r="I23" i="6" s="1"/>
  <c r="I56" i="6"/>
  <c r="N17" i="4"/>
  <c r="I7" i="6"/>
  <c r="I8" i="6" s="1"/>
  <c r="I74" i="6" s="1"/>
  <c r="I30" i="6"/>
  <c r="I32" i="6" s="1"/>
  <c r="H13" i="5"/>
  <c r="I9" i="6"/>
  <c r="K15" i="2"/>
  <c r="I23" i="2" s="1"/>
  <c r="L9" i="2"/>
  <c r="L15" i="2" s="1"/>
  <c r="I24" i="2" s="1"/>
  <c r="J9" i="2"/>
  <c r="J15" i="2" s="1"/>
  <c r="J21" i="2" s="1"/>
  <c r="J22" i="2" s="1"/>
  <c r="I15" i="2"/>
  <c r="H14" i="11" l="1"/>
  <c r="J13" i="11"/>
  <c r="I14" i="11"/>
  <c r="J12" i="11"/>
  <c r="F12" i="8"/>
  <c r="F13" i="8" s="1"/>
  <c r="F15" i="8" s="1"/>
  <c r="F21" i="8" s="1"/>
  <c r="H21" i="8" s="1"/>
  <c r="F22" i="8"/>
  <c r="H22" i="8" s="1"/>
  <c r="H12" i="7"/>
  <c r="N6" i="7"/>
  <c r="L6" i="7"/>
  <c r="P11" i="7"/>
  <c r="H14" i="4"/>
  <c r="I14" i="4" s="1"/>
  <c r="H16" i="4"/>
  <c r="I16" i="4" s="1"/>
  <c r="N27" i="4"/>
  <c r="H18" i="4"/>
  <c r="I18" i="4" s="1"/>
  <c r="H13" i="4"/>
  <c r="I13" i="4" s="1"/>
  <c r="H17" i="4"/>
  <c r="I17" i="4" s="1"/>
  <c r="H15" i="4"/>
  <c r="I15" i="4" s="1"/>
  <c r="H12" i="4"/>
  <c r="I28" i="6"/>
  <c r="I26" i="6"/>
  <c r="I27" i="6" s="1"/>
  <c r="I76" i="6" s="1"/>
  <c r="I36" i="6"/>
  <c r="I34" i="6"/>
  <c r="J24" i="2"/>
  <c r="J25" i="2" s="1"/>
  <c r="J31" i="2" s="1"/>
  <c r="J33" i="2" s="1"/>
  <c r="J14" i="11" l="1"/>
  <c r="P6" i="7"/>
  <c r="L12" i="7"/>
  <c r="N12" i="7"/>
  <c r="I57" i="6"/>
  <c r="I77" i="6"/>
  <c r="I41" i="6"/>
  <c r="I38" i="6"/>
  <c r="I40" i="6" s="1"/>
  <c r="H19" i="4"/>
  <c r="I12" i="4"/>
  <c r="I19" i="4" s="1"/>
  <c r="N20" i="4" s="1"/>
  <c r="P12" i="7" l="1"/>
  <c r="I42" i="6"/>
  <c r="I47" i="6" s="1"/>
  <c r="I48" i="6" s="1"/>
  <c r="I50" i="6" s="1"/>
  <c r="I64" i="6" s="1"/>
  <c r="I58" i="6"/>
  <c r="I78" i="6"/>
  <c r="I82" i="6" s="1"/>
  <c r="I83" i="6" s="1"/>
  <c r="I89" i="6" s="1"/>
  <c r="I60" i="6"/>
  <c r="I63" i="6" s="1"/>
  <c r="I65" i="6" s="1"/>
  <c r="I92" i="6" s="1"/>
  <c r="I93" i="6" s="1"/>
  <c r="I95" i="6" s="1"/>
  <c r="I97" i="6" s="1"/>
</calcChain>
</file>

<file path=xl/sharedStrings.xml><?xml version="1.0" encoding="utf-8"?>
<sst xmlns="http://schemas.openxmlformats.org/spreadsheetml/2006/main" count="596" uniqueCount="444">
  <si>
    <t xml:space="preserve">XYZ is a shipping firm. Its main activity is to ship goods with its own vessels and hiring out vessels to charter firms. On December 31st, 2020, it presents the following information: </t>
  </si>
  <si>
    <t>Solution</t>
  </si>
  <si>
    <t>Allocation table</t>
  </si>
  <si>
    <t>in 000s of  €</t>
  </si>
  <si>
    <t>Activity:</t>
  </si>
  <si>
    <t>Production</t>
  </si>
  <si>
    <t>Aministration</t>
  </si>
  <si>
    <t>Selling</t>
  </si>
  <si>
    <t>Revenues and gains</t>
  </si>
  <si>
    <t>Operating Cost</t>
  </si>
  <si>
    <t>Total</t>
  </si>
  <si>
    <t>Transportation revenues</t>
  </si>
  <si>
    <t>Charter revenues</t>
  </si>
  <si>
    <t>Interest revenue</t>
  </si>
  <si>
    <t>Expenses and losses</t>
  </si>
  <si>
    <t>Vessel repair expense</t>
  </si>
  <si>
    <t>Vessel depreciation</t>
  </si>
  <si>
    <t>Vessel fuel expense</t>
  </si>
  <si>
    <t>Crew salaries</t>
  </si>
  <si>
    <t>Insurance expense</t>
  </si>
  <si>
    <t>Salaries of administrative staff</t>
  </si>
  <si>
    <t>Salaries of selling staff</t>
  </si>
  <si>
    <t>Loss from sale of vessels</t>
  </si>
  <si>
    <t>Management fees</t>
  </si>
  <si>
    <t>ΧΥΖ, Maritime Firm</t>
  </si>
  <si>
    <t>Electricity expense</t>
  </si>
  <si>
    <t>Income Statement 1/1-31/12/2020</t>
  </si>
  <si>
    <t>Telecommunication expense</t>
  </si>
  <si>
    <t>Interest expense</t>
  </si>
  <si>
    <t>Tax expense</t>
  </si>
  <si>
    <t>Less:</t>
  </si>
  <si>
    <t>Cost of services provided</t>
  </si>
  <si>
    <t>Additional information</t>
  </si>
  <si>
    <t>Gross Profit</t>
  </si>
  <si>
    <t>Expenses that are direct to vessels are charged to the production activity exclusively. Salaries of administrative and selling staff are exclusively charged to the administration and selling activity, respectively. Management fees are exclusively charged to administration activity. Rest operating expenses are allocated to the three activities with the following rates: Production: 50%, Administration: 30%, Selling: 20%.</t>
  </si>
  <si>
    <t>Administrative expenses</t>
  </si>
  <si>
    <t>Selling expenses</t>
  </si>
  <si>
    <t>Operating income</t>
  </si>
  <si>
    <t>Plus/Less:</t>
  </si>
  <si>
    <t>Financial results</t>
  </si>
  <si>
    <t>Prepare an income statement with operating expenses classified in activities.</t>
  </si>
  <si>
    <t>Non-operating results</t>
  </si>
  <si>
    <t>Net income before taxes</t>
  </si>
  <si>
    <t>Net income</t>
  </si>
  <si>
    <r>
      <t xml:space="preserve">ABC is a manufacturing firm. At the end of the fiscal year 2022, it presents the following data (amounts in </t>
    </r>
    <r>
      <rPr>
        <i/>
        <sz val="11"/>
        <color theme="1"/>
        <rFont val="Times New Roman"/>
        <family val="1"/>
        <charset val="161"/>
      </rPr>
      <t>000€</t>
    </r>
    <r>
      <rPr>
        <sz val="11"/>
        <color theme="1"/>
        <rFont val="Times New Roman"/>
        <family val="1"/>
        <charset val="161"/>
      </rPr>
      <t>).</t>
    </r>
  </si>
  <si>
    <t>DIRECT MATERIALS</t>
  </si>
  <si>
    <t xml:space="preserve">Raw materials – Beginning Inventory: </t>
  </si>
  <si>
    <t xml:space="preserve">Raw materials – Purchases: </t>
  </si>
  <si>
    <t>Plus:</t>
  </si>
  <si>
    <t>Raw materials – Ending Inventory:</t>
  </si>
  <si>
    <t>Semi-finished goods (work-in-progress) – Beginning Inventory:</t>
  </si>
  <si>
    <t>Direct Materials</t>
  </si>
  <si>
    <t>Semi-finished goods (work-in-progress) – Ending Inventory:</t>
  </si>
  <si>
    <t>Finished goods – Beginning Inventory:</t>
  </si>
  <si>
    <t>WORK IN PROGRESS</t>
  </si>
  <si>
    <t>Finished goods – Ending Inventory:</t>
  </si>
  <si>
    <t>Direct labor for production:</t>
  </si>
  <si>
    <t>Production Cost</t>
  </si>
  <si>
    <t>Indirect labor for production:</t>
  </si>
  <si>
    <t>Indirect raw materials for production:</t>
  </si>
  <si>
    <t>Electricity for the production process:</t>
  </si>
  <si>
    <t>Manufacturing OH</t>
  </si>
  <si>
    <t>Administration expenses:</t>
  </si>
  <si>
    <t>Rent costs for the production department:</t>
  </si>
  <si>
    <t>Maintenance costs for production machines:</t>
  </si>
  <si>
    <t>Selling expenses:</t>
  </si>
  <si>
    <t>Depreciation for production machines:</t>
  </si>
  <si>
    <t>Fuel costs for production machines:</t>
  </si>
  <si>
    <t>Μείον:</t>
  </si>
  <si>
    <t>Sales revenue:</t>
  </si>
  <si>
    <t>Cost of Goods Produced</t>
  </si>
  <si>
    <r>
      <t>Required:</t>
    </r>
    <r>
      <rPr>
        <sz val="11"/>
        <color theme="1"/>
        <rFont val="Times New Roman"/>
        <family val="1"/>
        <charset val="161"/>
      </rPr>
      <t xml:space="preserve"> Calculate the gross profit and net income before taxes for ABC.</t>
    </r>
  </si>
  <si>
    <t>FINISHED PRODUCTS</t>
  </si>
  <si>
    <t>Πλέον:</t>
  </si>
  <si>
    <t>Cost of Goods Sold</t>
  </si>
  <si>
    <t>Income Statement 1/1-31/12/2022</t>
  </si>
  <si>
    <t>Net Operating Income</t>
  </si>
  <si>
    <t>Net Income Before Taxes</t>
  </si>
  <si>
    <t>Net Income</t>
  </si>
  <si>
    <t>You are provided with some data for ABC firm. The data refer to the electricity cost and the machine hours (MH) for January to July. ABC assumes that MH are the cost driver for the electricity cost.</t>
  </si>
  <si>
    <t>Required:</t>
  </si>
  <si>
    <r>
      <t>1.</t>
    </r>
    <r>
      <rPr>
        <sz val="7"/>
        <color theme="1"/>
        <rFont val="Times New Roman"/>
        <family val="1"/>
        <charset val="161"/>
      </rPr>
      <t xml:space="preserve">      </t>
    </r>
    <r>
      <rPr>
        <sz val="11"/>
        <color theme="1"/>
        <rFont val="Times New Roman"/>
        <family val="1"/>
        <charset val="161"/>
      </rPr>
      <t>Estimate the electricity cost function with the high-low method.</t>
    </r>
  </si>
  <si>
    <r>
      <t>2.</t>
    </r>
    <r>
      <rPr>
        <sz val="7"/>
        <color theme="1"/>
        <rFont val="Times New Roman"/>
        <family val="1"/>
        <charset val="161"/>
      </rPr>
      <t xml:space="preserve">      </t>
    </r>
    <r>
      <rPr>
        <sz val="11"/>
        <color theme="1"/>
        <rFont val="Times New Roman"/>
        <family val="1"/>
        <charset val="161"/>
      </rPr>
      <t>Estimate the electricity cost function with OLS regression.</t>
    </r>
  </si>
  <si>
    <r>
      <t>3.</t>
    </r>
    <r>
      <rPr>
        <sz val="7"/>
        <color theme="1"/>
        <rFont val="Times New Roman"/>
        <family val="1"/>
        <charset val="161"/>
      </rPr>
      <t xml:space="preserve">      </t>
    </r>
    <r>
      <rPr>
        <sz val="11"/>
        <color theme="1"/>
        <rFont val="Times New Roman"/>
        <family val="1"/>
        <charset val="161"/>
      </rPr>
      <t>The last 3 columns tabulate the residuals and their squares after the regression, and the variance of electricity cost. Calculate R</t>
    </r>
    <r>
      <rPr>
        <vertAlign val="superscript"/>
        <sz val="11"/>
        <color theme="1"/>
        <rFont val="Times New Roman"/>
        <family val="1"/>
        <charset val="161"/>
      </rPr>
      <t>2</t>
    </r>
    <r>
      <rPr>
        <sz val="11"/>
        <color theme="1"/>
        <rFont val="Times New Roman"/>
        <family val="1"/>
        <charset val="161"/>
      </rPr>
      <t>.</t>
    </r>
  </si>
  <si>
    <r>
      <t>4.</t>
    </r>
    <r>
      <rPr>
        <sz val="7"/>
        <color theme="1"/>
        <rFont val="Times New Roman"/>
        <family val="1"/>
        <charset val="161"/>
      </rPr>
      <t xml:space="preserve">      </t>
    </r>
    <r>
      <rPr>
        <sz val="11"/>
        <color theme="1"/>
        <rFont val="Times New Roman"/>
        <family val="1"/>
        <charset val="161"/>
      </rPr>
      <t xml:space="preserve">Suppose that the estimated activity for the next month is 90MH. What is the forecasted electricity cost with each method? What are potential caveats in these forecasts? </t>
    </r>
  </si>
  <si>
    <t>You are given that:</t>
  </si>
  <si>
    <t xml:space="preserve"> , </t>
  </si>
  <si>
    <t>Solution*</t>
  </si>
  <si>
    <t>Month</t>
  </si>
  <si>
    <t>Activity in MH (X)</t>
  </si>
  <si>
    <t>Electricity Cost (Υ)</t>
  </si>
  <si>
    <r>
      <t>Χ</t>
    </r>
    <r>
      <rPr>
        <b/>
        <vertAlign val="superscript"/>
        <sz val="11"/>
        <color rgb="FF000000"/>
        <rFont val="Times New Roman"/>
        <family val="1"/>
        <charset val="161"/>
      </rPr>
      <t>2</t>
    </r>
  </si>
  <si>
    <r>
      <t>Υ</t>
    </r>
    <r>
      <rPr>
        <b/>
        <vertAlign val="superscript"/>
        <sz val="11"/>
        <color rgb="FF000000"/>
        <rFont val="Times New Roman"/>
        <family val="1"/>
        <charset val="161"/>
      </rPr>
      <t>2</t>
    </r>
  </si>
  <si>
    <t>Χ*Υ</t>
  </si>
  <si>
    <t>e</t>
  </si>
  <si>
    <r>
      <t>e</t>
    </r>
    <r>
      <rPr>
        <b/>
        <vertAlign val="superscript"/>
        <sz val="11"/>
        <color rgb="FF000000"/>
        <rFont val="Times New Roman"/>
        <family val="1"/>
        <charset val="161"/>
      </rPr>
      <t>2</t>
    </r>
  </si>
  <si>
    <t>VarY</t>
  </si>
  <si>
    <t>1. High-Low method</t>
  </si>
  <si>
    <t>Variable  cost</t>
  </si>
  <si>
    <t>Fixed Cost</t>
  </si>
  <si>
    <t>January</t>
  </si>
  <si>
    <t>Υ = 34+0,8Χ</t>
  </si>
  <si>
    <t>February</t>
  </si>
  <si>
    <t>March</t>
  </si>
  <si>
    <t>2. OLS regression</t>
  </si>
  <si>
    <t>April</t>
  </si>
  <si>
    <t>May</t>
  </si>
  <si>
    <t>b</t>
  </si>
  <si>
    <t>June</t>
  </si>
  <si>
    <t>a</t>
  </si>
  <si>
    <t>July</t>
  </si>
  <si>
    <t>Y = 34,31+0,76X</t>
  </si>
  <si>
    <t>Mean (ΣΧ/n; ΣΥ/n)</t>
  </si>
  <si>
    <r>
      <t>3. R</t>
    </r>
    <r>
      <rPr>
        <b/>
        <vertAlign val="superscript"/>
        <sz val="11"/>
        <color theme="1"/>
        <rFont val="Times New Roman"/>
        <family val="1"/>
        <charset val="161"/>
      </rPr>
      <t>2</t>
    </r>
  </si>
  <si>
    <t>4. Forecasts</t>
  </si>
  <si>
    <t>High-Low method</t>
  </si>
  <si>
    <t>Forecasted cost:</t>
  </si>
  <si>
    <t>OLS Regression</t>
  </si>
  <si>
    <t>Caveats:</t>
  </si>
  <si>
    <t>In the High-low method we have considered only two observations that can be outliers. In the OLS, the model explains 89.64%. Moreover, the 90MH are beyond the sample range.</t>
  </si>
  <si>
    <t>*any discrepancies to my solution on the whiteboard in the class are due to roundings.</t>
  </si>
  <si>
    <t>You study a cost that has a fixed component of €10,000 and a variable component of €5/unit. The current activity level is 2,200 units but the next two years (Year 2 and Year 3, respectively) the activity level changes as follows.</t>
  </si>
  <si>
    <t>Year</t>
  </si>
  <si>
    <t>Units</t>
  </si>
  <si>
    <t>1 (current year)</t>
  </si>
  <si>
    <t xml:space="preserve">The cost is considered as “sticky” by 20% (in changes – not log changes). </t>
  </si>
  <si>
    <r>
      <t>Required</t>
    </r>
    <r>
      <rPr>
        <sz val="11"/>
        <color theme="1"/>
        <rFont val="Times New Roman"/>
        <family val="1"/>
        <charset val="161"/>
      </rPr>
      <t>: Find the total forecasted cost for Year 2 and Year 3.</t>
    </r>
  </si>
  <si>
    <t>Period</t>
  </si>
  <si>
    <t>Variable Cost</t>
  </si>
  <si>
    <t>Estimated Total Cost</t>
  </si>
  <si>
    <t>Estimated Change without stickiness effect</t>
  </si>
  <si>
    <t>Stickiness Effect</t>
  </si>
  <si>
    <t>Final Cost</t>
  </si>
  <si>
    <t>-</t>
  </si>
  <si>
    <t>Υπόλοιπο</t>
  </si>
  <si>
    <t>Σύνολο</t>
  </si>
  <si>
    <t>Manufacturing firm ABC produces the product X. ABC has the following data for the next year 20X1:</t>
  </si>
  <si>
    <t>Sales Budget</t>
  </si>
  <si>
    <t>Year:</t>
  </si>
  <si>
    <t>20X1</t>
  </si>
  <si>
    <t>Forecasted Sales in units</t>
  </si>
  <si>
    <t>Forecasted Sales (in units)</t>
  </si>
  <si>
    <t>xSelling Price</t>
  </si>
  <si>
    <t>The selling price of X is €40. The credit policy of ABC is as follows: 60% of sales revenues is collected in cash in the year that sales took place. The remaining 40% is collected next year. Accounts Receivable on the Balance Sheet of 31/12/20Χ0 was equal to €1,800,000.</t>
  </si>
  <si>
    <t>Sales Revenues</t>
  </si>
  <si>
    <t>Cash Receipts Schedule</t>
  </si>
  <si>
    <t>Cash Receipts from sales of the previous year</t>
  </si>
  <si>
    <t>Cash receipts from sales of the current year</t>
  </si>
  <si>
    <t>Required: Prepare a Sales Budget and a Cash Receipts Schedule.</t>
  </si>
  <si>
    <t>Total cash receipts in 20X1</t>
  </si>
  <si>
    <t>At the end of each year, ABC would like the ending inventory of finished products being equal to 20% of the sales (in units) of the next year. The forecasted sales (in units) for 20X2 is 150,000. At the end of 20X0, the finished products were 24,000 units.</t>
  </si>
  <si>
    <t>Accounts Receivable 31/12/20Χ1</t>
  </si>
  <si>
    <t>Production Budget</t>
  </si>
  <si>
    <t>Plus: Required Ending Inventory</t>
  </si>
  <si>
    <t>Required: Prepare a Production Budget</t>
  </si>
  <si>
    <t>Less: Beginning Inventory</t>
  </si>
  <si>
    <t xml:space="preserve">To produce X, ABC uses a raw material called Y. Production requirements suggest that 1 unit of X requires 5 units of Y. Moreover, ABC wants an ending inventory of raw materials equal to 50,000 units. The beginning inventory of Y is 20,000 units. 
The price of Y is €2 per unit. ABC pays 50% of the purchase cost in cash and 50% in the year following. At the end of 20X0, “Accounts Payable” had a balance of €500,000. </t>
  </si>
  <si>
    <t>Units to be produced</t>
  </si>
  <si>
    <t>Raw Materials Budget</t>
  </si>
  <si>
    <t>xRequired raw material units per product unit</t>
  </si>
  <si>
    <t>Required raw material units for production</t>
  </si>
  <si>
    <t>Required: Prepare a Raw Materials Budget and Cash Payment Schedule for raw materials purchases.</t>
  </si>
  <si>
    <t>Raw material units to be purchased</t>
  </si>
  <si>
    <t>x Cost per unit Y</t>
  </si>
  <si>
    <t>Cost of raw materials purchased</t>
  </si>
  <si>
    <t>Cash Payment Schedule</t>
  </si>
  <si>
    <t>Cash payments for purchases of the previous year</t>
  </si>
  <si>
    <t>Cash payments for purchases of the current year</t>
  </si>
  <si>
    <t xml:space="preserve">ABC has estimated that 1 unit of X requires 0.5 direct labor hours (DLH). The cost of each hour is €16. </t>
  </si>
  <si>
    <t>Account Payable 31/12/20X1</t>
  </si>
  <si>
    <t>Direct Labor budget</t>
  </si>
  <si>
    <t>Required: Prepare a Direct Labor Budget.</t>
  </si>
  <si>
    <t>x Required DLH per unit</t>
  </si>
  <si>
    <t>Total required DLH</t>
  </si>
  <si>
    <t>x Cost of each DLH</t>
  </si>
  <si>
    <t xml:space="preserve">General Manufacturing Overheads are a mixed cost. For the variable part, ABC uses an overhead rate equal to €5/DLH. The fixed part is estimated to €819,000 per year. </t>
  </si>
  <si>
    <t>DL Cost</t>
  </si>
  <si>
    <t>Manufacturing OH Budget</t>
  </si>
  <si>
    <t>Required: Prepare a manufacturing overheads budget and calculate the manufacturing OH per DLH.</t>
  </si>
  <si>
    <t>xVariable MOH rate</t>
  </si>
  <si>
    <t>Variable MOH</t>
  </si>
  <si>
    <t>Plus: Fixed MOH</t>
  </si>
  <si>
    <t>Total MOH</t>
  </si>
  <si>
    <t>Total DLH</t>
  </si>
  <si>
    <t xml:space="preserve">A standard policy of ABC is to retain zero beginning and ending inventories of work in progress. </t>
  </si>
  <si>
    <t>Manufacturing OH rate per DLH</t>
  </si>
  <si>
    <t>Ending Inventory Budget</t>
  </si>
  <si>
    <t>Required: Prepare an ending inventory budget.</t>
  </si>
  <si>
    <t>Production cost per unit</t>
  </si>
  <si>
    <t>Direct Materials (5*2)</t>
  </si>
  <si>
    <t>Direct Labor (0.5*16)</t>
  </si>
  <si>
    <t>Manufacturing OH (0.5*18)</t>
  </si>
  <si>
    <t>Total production cost per unit</t>
  </si>
  <si>
    <t xml:space="preserve">Ending Inventory of Finished Goods </t>
  </si>
  <si>
    <t>Ending Inventory of Raw Materials</t>
  </si>
  <si>
    <t>Ending Inventory of Work in Progress</t>
  </si>
  <si>
    <t>Cost of Goods Produced Budget</t>
  </si>
  <si>
    <t>At the end of 20X0, the value of finished products were equal to €592,000.</t>
  </si>
  <si>
    <t>Beginning Inventory of Work in Progress</t>
  </si>
  <si>
    <t>Required: Prepare a Cost of Goods Produced Budget and a Cost of Goods Sold Budget.</t>
  </si>
  <si>
    <t>Plus: Production Cost</t>
  </si>
  <si>
    <t xml:space="preserve">Direct Materials </t>
  </si>
  <si>
    <t>Direct Labor</t>
  </si>
  <si>
    <t>Less: Ending Inventory of Work in Progress</t>
  </si>
  <si>
    <t>Cost of Goods Sold Budget</t>
  </si>
  <si>
    <t>Beginning Inventory of Finished Goods</t>
  </si>
  <si>
    <t>Plus: Cost of Goods Produced</t>
  </si>
  <si>
    <t>Less: Ending Inventory of Finished Goods</t>
  </si>
  <si>
    <t>Cost of  Goods Sold</t>
  </si>
  <si>
    <t>SGA Budget</t>
  </si>
  <si>
    <t>SGA Expenses consist of variable and fixed costs. The variable part is estimated as €1,80/unit. The fixed cost is €400,000 per year.</t>
  </si>
  <si>
    <t>xVariable SGA per unit</t>
  </si>
  <si>
    <t>Variable SGA</t>
  </si>
  <si>
    <t>Required: Prepare an SGA Budget.</t>
  </si>
  <si>
    <t>Plus: Fixed SGA</t>
  </si>
  <si>
    <t>Total SGA costs</t>
  </si>
  <si>
    <t>The following information is available for ABC: 
	Beginning cash balance was €770,000,
	Direct labor cost is paid in cash. Manufacturing OH are paid in cash but they include €80,000 depreciation costs. SGA expenses are paid in cash but they include €60,000 depreciation costs.
	The firm will acquire an equipment of €260,000 and the cash payments for the current year will be €140,000. 
	A cash dividend of €32,000 will be distributed. 
	The ending cash balance of the year should be at least €2,000,000.
	ABC has an agreement with a local bank to receive loans that are multiples of €100,000 (e.g., €100,000, 200,000, 300,000, etc.) at the beginning of each year. The annual interest rate is 10%. The borrowed capital and the accrued interest will be paid in the next year.</t>
  </si>
  <si>
    <t>Cash Budget</t>
  </si>
  <si>
    <t>Beginning Cash Balance</t>
  </si>
  <si>
    <t>Plus: Cash Receipts</t>
  </si>
  <si>
    <t>Less: Cash Payments</t>
  </si>
  <si>
    <t>SGA</t>
  </si>
  <si>
    <t>Equipment</t>
  </si>
  <si>
    <t>Dividends</t>
  </si>
  <si>
    <t>Total Cash  Payments</t>
  </si>
  <si>
    <t>Excess (Deficiency) Cash</t>
  </si>
  <si>
    <t>Financing</t>
  </si>
  <si>
    <t>Borrowing</t>
  </si>
  <si>
    <t>Capital repayment</t>
  </si>
  <si>
    <t>Interest repayment</t>
  </si>
  <si>
    <t>Total Financing</t>
  </si>
  <si>
    <t>Required: Prepare a Cash Budget and a Pro-forma Income Statement (in simplified form).</t>
  </si>
  <si>
    <t>Ending Cash Balance</t>
  </si>
  <si>
    <t>Pro-forma Income Statement</t>
  </si>
  <si>
    <t>Less: CGS</t>
  </si>
  <si>
    <t>Less: SGA</t>
  </si>
  <si>
    <t>Operating Income</t>
  </si>
  <si>
    <t>Less: Interest Expense</t>
  </si>
  <si>
    <t>Income Before Taxes</t>
  </si>
  <si>
    <t>A hotel business has forecasted that the next year (i.e., 20X4) it will have 130,000 overnight stays (q).
The price per staying is €60. The accounting department has estimated that the operating cost can be calculated as follows.</t>
  </si>
  <si>
    <t>Column:</t>
  </si>
  <si>
    <t>(1)</t>
  </si>
  <si>
    <t>(2)</t>
  </si>
  <si>
    <t>(3)</t>
  </si>
  <si>
    <t>=(3)-(1)</t>
  </si>
  <si>
    <t>(4)=(2)-(1)</t>
  </si>
  <si>
    <t>(5)=(3)-(2)</t>
  </si>
  <si>
    <t>Static</t>
  </si>
  <si>
    <t>Flexible</t>
  </si>
  <si>
    <t>Real</t>
  </si>
  <si>
    <t>Total Variance</t>
  </si>
  <si>
    <t>Volume Var.</t>
  </si>
  <si>
    <t>Price and Spending Var.</t>
  </si>
  <si>
    <t>Verification</t>
  </si>
  <si>
    <t>Payroll</t>
  </si>
  <si>
    <t>2,000,000+2q</t>
  </si>
  <si>
    <t>Volume of activity - Payroll (q)</t>
  </si>
  <si>
    <t>F</t>
  </si>
  <si>
    <t>Food &amp; Beverage</t>
  </si>
  <si>
    <t>12q</t>
  </si>
  <si>
    <t>Price (p)</t>
  </si>
  <si>
    <t>U</t>
  </si>
  <si>
    <t>General Expenses</t>
  </si>
  <si>
    <t>80,000+13q</t>
  </si>
  <si>
    <t>Revenues (p*q)</t>
  </si>
  <si>
    <t xml:space="preserve">At the end of 20X4, the actual results were as follows: </t>
  </si>
  <si>
    <t>Costs</t>
  </si>
  <si>
    <t>Overnight stays</t>
  </si>
  <si>
    <t>Payroll (2,000,000+2q)</t>
  </si>
  <si>
    <t>Revenues</t>
  </si>
  <si>
    <t>Food &amp; Beverage (12q)</t>
  </si>
  <si>
    <t>General Expense (80,000+13q)</t>
  </si>
  <si>
    <t>Total Costs</t>
  </si>
  <si>
    <t>Total Cost</t>
  </si>
  <si>
    <t>Question 5</t>
  </si>
  <si>
    <t>Price</t>
  </si>
  <si>
    <r>
      <t>1.</t>
    </r>
    <r>
      <rPr>
        <sz val="7"/>
        <color theme="1"/>
        <rFont val="Times New Roman"/>
        <family val="1"/>
        <charset val="161"/>
      </rPr>
      <t xml:space="preserve">      </t>
    </r>
    <r>
      <rPr>
        <sz val="11"/>
        <color theme="1"/>
        <rFont val="Times New Roman"/>
        <family val="1"/>
        <charset val="161"/>
      </rPr>
      <t>Prepare a static budget of the operating income.</t>
    </r>
  </si>
  <si>
    <t>Contribution Margin per unit</t>
  </si>
  <si>
    <r>
      <t>2.</t>
    </r>
    <r>
      <rPr>
        <sz val="7"/>
        <color theme="1"/>
        <rFont val="Times New Roman"/>
        <family val="1"/>
        <charset val="161"/>
      </rPr>
      <t xml:space="preserve">      </t>
    </r>
    <r>
      <rPr>
        <sz val="11"/>
        <color theme="1"/>
        <rFont val="Times New Roman"/>
        <family val="1"/>
        <charset val="161"/>
      </rPr>
      <t>Calculate total variances.</t>
    </r>
  </si>
  <si>
    <t>Total Contribution Margin</t>
  </si>
  <si>
    <r>
      <t>3.</t>
    </r>
    <r>
      <rPr>
        <sz val="7"/>
        <color theme="1"/>
        <rFont val="Times New Roman"/>
        <family val="1"/>
        <charset val="161"/>
      </rPr>
      <t xml:space="preserve">      </t>
    </r>
    <r>
      <rPr>
        <sz val="11"/>
        <color theme="1"/>
        <rFont val="Times New Roman"/>
        <family val="1"/>
        <charset val="161"/>
      </rPr>
      <t>Prepare the flexible budget.</t>
    </r>
  </si>
  <si>
    <r>
      <t>4.</t>
    </r>
    <r>
      <rPr>
        <sz val="7"/>
        <color theme="1"/>
        <rFont val="Times New Roman"/>
        <family val="1"/>
        <charset val="161"/>
      </rPr>
      <t xml:space="preserve">      </t>
    </r>
    <r>
      <rPr>
        <sz val="11"/>
        <color theme="1"/>
        <rFont val="Times New Roman"/>
        <family val="1"/>
        <charset val="161"/>
      </rPr>
      <t>Calculate the volume variances and the selling price/expenditure variances.</t>
    </r>
  </si>
  <si>
    <t>Operating Leverage</t>
  </si>
  <si>
    <t>%Δvolume</t>
  </si>
  <si>
    <r>
      <t>5.</t>
    </r>
    <r>
      <rPr>
        <sz val="7"/>
        <color theme="1"/>
        <rFont val="Times New Roman"/>
        <family val="1"/>
        <charset val="161"/>
      </rPr>
      <t xml:space="preserve">      </t>
    </r>
    <r>
      <rPr>
        <sz val="11"/>
        <color theme="1"/>
        <rFont val="Times New Roman"/>
        <family val="1"/>
        <charset val="161"/>
      </rPr>
      <t>Use the operating leverage formula to verify the operating income of the flexible budget.</t>
    </r>
  </si>
  <si>
    <t>Operating Income  - Flexible Budget</t>
  </si>
  <si>
    <t>ABC firm has the following data for product X:</t>
  </si>
  <si>
    <t>Variable Cost per unit</t>
  </si>
  <si>
    <t>Product Cost</t>
  </si>
  <si>
    <t>Full Absorprion Costing</t>
  </si>
  <si>
    <t>Variable Costing</t>
  </si>
  <si>
    <t>VOH</t>
  </si>
  <si>
    <t>SGA Costs per unit sold</t>
  </si>
  <si>
    <t>Fixed OH</t>
  </si>
  <si>
    <t>Fixed Costs</t>
  </si>
  <si>
    <t>(180,000/12,000)</t>
  </si>
  <si>
    <t>SGA Costs</t>
  </si>
  <si>
    <t>Further Information</t>
  </si>
  <si>
    <t>IS Full Absorption Costing</t>
  </si>
  <si>
    <t>IS Variable Costing</t>
  </si>
  <si>
    <t>Beginning Inventory of Finished Goods (units)</t>
  </si>
  <si>
    <t>Units Produced</t>
  </si>
  <si>
    <t>Less: Variable CGS</t>
  </si>
  <si>
    <t>Units Sold</t>
  </si>
  <si>
    <t>Selling price per unit</t>
  </si>
  <si>
    <t>Less: SGA Expenses</t>
  </si>
  <si>
    <t>Contribution Margin</t>
  </si>
  <si>
    <t xml:space="preserve">Required: 
1.	Calculate the product cost according to the absorption and the marginal costing. Assume that there are not beginning or ending inventories of work in progress. 
2.	Prepare and Income Statement with absorption costing and an Income Statement with marginal costing. 
</t>
  </si>
  <si>
    <t>Less: Fixed Costs</t>
  </si>
  <si>
    <t>Fixed MOH</t>
  </si>
  <si>
    <t>Fixed SGA</t>
  </si>
  <si>
    <t>Difference</t>
  </si>
  <si>
    <t>Ending Inventory</t>
  </si>
  <si>
    <t>The difference is due to the capitalization of FOH in Full Absorption Costing</t>
  </si>
  <si>
    <t>ABC firm manufactures product X. The following information are available for the last year, 2022.</t>
  </si>
  <si>
    <t>1/1-31/12/2022</t>
  </si>
  <si>
    <t>(€)</t>
  </si>
  <si>
    <t>Sales revenues (100,000 units × €10)</t>
  </si>
  <si>
    <t>Activity in units</t>
  </si>
  <si>
    <t>New Selling Price</t>
  </si>
  <si>
    <t>Manufacturing Expenses</t>
  </si>
  <si>
    <t>Selling Price</t>
  </si>
  <si>
    <t>New Variable Cost</t>
  </si>
  <si>
    <t>Direct materials</t>
  </si>
  <si>
    <t>New CM per unit</t>
  </si>
  <si>
    <t>Direct labor</t>
  </si>
  <si>
    <t>DM</t>
  </si>
  <si>
    <t>Variable OH</t>
  </si>
  <si>
    <t>DL</t>
  </si>
  <si>
    <t>Required Profit</t>
  </si>
  <si>
    <t>Total Threshold</t>
  </si>
  <si>
    <t>SGA Expenses</t>
  </si>
  <si>
    <t>VSGA</t>
  </si>
  <si>
    <t>Required Quantity</t>
  </si>
  <si>
    <t>Variable SGA Expenses</t>
  </si>
  <si>
    <t>Total Variable Cost</t>
  </si>
  <si>
    <t>Required Sales Revenues</t>
  </si>
  <si>
    <t>Fixed SGA Expenses</t>
  </si>
  <si>
    <t>CM per unit</t>
  </si>
  <si>
    <t>FOH</t>
  </si>
  <si>
    <t>FSGA</t>
  </si>
  <si>
    <r>
      <t>1.</t>
    </r>
    <r>
      <rPr>
        <sz val="7"/>
        <color theme="1"/>
        <rFont val="Times New Roman"/>
        <family val="1"/>
        <charset val="161"/>
      </rPr>
      <t xml:space="preserve">      </t>
    </r>
    <r>
      <rPr>
        <sz val="11"/>
        <color theme="1"/>
        <rFont val="Times New Roman"/>
        <family val="1"/>
        <charset val="161"/>
      </rPr>
      <t>Calculate the contribution margin per unit and the break-even point quantity. Verify the profit presented in the P/L statement above.</t>
    </r>
  </si>
  <si>
    <t>Total Fixed Cost</t>
  </si>
  <si>
    <t>BEP Quantity</t>
  </si>
  <si>
    <r>
      <t>2.</t>
    </r>
    <r>
      <rPr>
        <sz val="7"/>
        <color theme="1"/>
        <rFont val="Times New Roman"/>
        <family val="1"/>
        <charset val="161"/>
      </rPr>
      <t xml:space="preserve">      </t>
    </r>
    <r>
      <rPr>
        <sz val="11"/>
        <color theme="1"/>
        <rFont val="Times New Roman"/>
        <family val="1"/>
        <charset val="161"/>
      </rPr>
      <t>Market research indicates that changing the design of X will boost sales. The new selling price will be €12.5 while the variable cost will increase by €1.50 per unit. Assuming that the rest data remain the same which is the necessary sales volume to give a profit of €200,000?</t>
    </r>
  </si>
  <si>
    <t>Excess Quantity</t>
  </si>
  <si>
    <t>Profit</t>
  </si>
  <si>
    <t>Comments: This exercise is similar to that we solved on the board. The only difference is that the data are retrieved by the Income Statement and they should be converted to a per-unit basis.</t>
  </si>
  <si>
    <t>ABC firm produces the product X with the following data:</t>
  </si>
  <si>
    <t>Normal price (€)</t>
  </si>
  <si>
    <t>Special price</t>
  </si>
  <si>
    <t>1. No opportunity cost</t>
  </si>
  <si>
    <t>Acceptance</t>
  </si>
  <si>
    <t>Decline</t>
  </si>
  <si>
    <t>Differential</t>
  </si>
  <si>
    <t>Annual volume (units)</t>
  </si>
  <si>
    <t>order volume</t>
  </si>
  <si>
    <t>Sales revenues (500*45)</t>
  </si>
  <si>
    <t xml:space="preserve">Manufacturing cost: </t>
  </si>
  <si>
    <t>Manufacturing VC (500*20)</t>
  </si>
  <si>
    <t>Variable per unit (€)</t>
  </si>
  <si>
    <t>SGA VC (500*4)</t>
  </si>
  <si>
    <t>Fixed (annual) (€)</t>
  </si>
  <si>
    <t>Contribution margin</t>
  </si>
  <si>
    <t>Variable per unit (sales commissions) (€)</t>
  </si>
  <si>
    <t>2. With opportunity cost</t>
  </si>
  <si>
    <t>Sales revenues (500*45;500*50)</t>
  </si>
  <si>
    <t>The firm receives a special order for 500 units. The price that the customer is willing to pay is €45. The manufacturing variable cost for the ordered units will be 22 while sales commissions will be lower by 1/3. Fixed cost will be the same. The normal production level will not be affected because the firm has excess capacity.</t>
  </si>
  <si>
    <t>SGA VC (500*4; 500*6)</t>
  </si>
  <si>
    <t>Required</t>
  </si>
  <si>
    <t>Remark: If you do not have traceable fixed costs or implicit economic costs, the contribution margin of the decision is sufficient. Otherwise, make a full differential analysis.</t>
  </si>
  <si>
    <r>
      <t>1.</t>
    </r>
    <r>
      <rPr>
        <sz val="7"/>
        <color theme="1"/>
        <rFont val="Times New Roman"/>
        <family val="1"/>
        <charset val="161"/>
      </rPr>
      <t xml:space="preserve">      </t>
    </r>
    <r>
      <rPr>
        <sz val="11"/>
        <color theme="1"/>
        <rFont val="Times New Roman"/>
        <family val="1"/>
        <charset val="161"/>
      </rPr>
      <t>Should the firm accept the special order?</t>
    </r>
  </si>
  <si>
    <r>
      <t>2.</t>
    </r>
    <r>
      <rPr>
        <sz val="7"/>
        <color theme="1"/>
        <rFont val="Times New Roman"/>
        <family val="1"/>
        <charset val="161"/>
      </rPr>
      <t xml:space="preserve">      </t>
    </r>
    <r>
      <rPr>
        <sz val="11"/>
        <color theme="1"/>
        <rFont val="Times New Roman"/>
        <family val="1"/>
        <charset val="161"/>
      </rPr>
      <t xml:space="preserve">How would you change your answer if the firm operates at full capacity? </t>
    </r>
  </si>
  <si>
    <t xml:space="preserve">ABC is a merchandise firm. The firm has 3 departments, department A, B and C. The department C presents operating loss and the firm considers its termination. The following information is available for the departments: </t>
  </si>
  <si>
    <t>Fixed cost allocated to each Department</t>
  </si>
  <si>
    <t>Change in Fixed Cost if termination</t>
  </si>
  <si>
    <t>Departments</t>
  </si>
  <si>
    <t>Fixed cost after termination</t>
  </si>
  <si>
    <t>Department A</t>
  </si>
  <si>
    <t>Department B</t>
  </si>
  <si>
    <t>Department C</t>
  </si>
  <si>
    <t>Variable cost for Dep. C</t>
  </si>
  <si>
    <t>Sales Revenue</t>
  </si>
  <si>
    <t>Expenses</t>
  </si>
  <si>
    <t>Profit (Loss)</t>
  </si>
  <si>
    <t>Differential Analysis</t>
  </si>
  <si>
    <t>The fixed cost of the firm equals €138,000 and is allocated equally across the departments. The fixed cost composition is as follows:</t>
  </si>
  <si>
    <t>Decision:</t>
  </si>
  <si>
    <t>Termination</t>
  </si>
  <si>
    <t>Retaining</t>
  </si>
  <si>
    <t>Rent expenses</t>
  </si>
  <si>
    <t>Depreciation</t>
  </si>
  <si>
    <t>Administration Expenses</t>
  </si>
  <si>
    <t>Advertising Expenses</t>
  </si>
  <si>
    <t>ABC should retain Dep. C. If it terminates its operations profits will be lower. Note that the decrease in CM does not give the exact answer since we have traceable fixed cost.</t>
  </si>
  <si>
    <t xml:space="preserve">If Department C is terminated, ABC estimates that the fixed administration expenses will decrease by 20% while the fixed advertising expenses will decrease by 10%. </t>
  </si>
  <si>
    <r>
      <t>Required:</t>
    </r>
    <r>
      <rPr>
        <sz val="11"/>
        <color theme="1"/>
        <rFont val="Times New Roman"/>
        <family val="1"/>
        <charset val="161"/>
      </rPr>
      <t xml:space="preserve"> Should ABC terminate the operation of Department C?</t>
    </r>
  </si>
  <si>
    <t>In the following 4 cases assume that Department A produces a product that may be sold either to Department B of the same entity or to external customers. The managers of the two departments can decide whether they will make the internal transfer and negotiate the transfer price. Each case is independent to the others.</t>
  </si>
  <si>
    <t>Case 1</t>
  </si>
  <si>
    <t>Case 2</t>
  </si>
  <si>
    <t>VC in internal sales</t>
  </si>
  <si>
    <t>Case:</t>
  </si>
  <si>
    <t>Traceable FC</t>
  </si>
  <si>
    <t>Department Α</t>
  </si>
  <si>
    <t>Opportunity cost</t>
  </si>
  <si>
    <t>Opportunity Cost</t>
  </si>
  <si>
    <t>Maximum capacity (in units)</t>
  </si>
  <si>
    <t>Minimum TP</t>
  </si>
  <si>
    <t>Selling price to external sales</t>
  </si>
  <si>
    <t>Units that are sold to external customers</t>
  </si>
  <si>
    <t>Maximum TP</t>
  </si>
  <si>
    <t>VC to external sales</t>
  </si>
  <si>
    <t>Selling price to external customers (€)</t>
  </si>
  <si>
    <t>Total loss</t>
  </si>
  <si>
    <t>Variable manufacturing cost per unit (€)</t>
  </si>
  <si>
    <t>Differential Cost</t>
  </si>
  <si>
    <t>Sacrificed units</t>
  </si>
  <si>
    <t>SGA variable cost per unit if the product is sold to external customers (€)</t>
  </si>
  <si>
    <t>Transferred units</t>
  </si>
  <si>
    <t>Total OC</t>
  </si>
  <si>
    <t xml:space="preserve">Fixed cost (manufacturing and SGA) per unit. The allocation has been made to the current production volume. </t>
  </si>
  <si>
    <t>Additional design cost (Case 3) (€)</t>
  </si>
  <si>
    <t>OC/transferred unit</t>
  </si>
  <si>
    <t>Department Β</t>
  </si>
  <si>
    <t>Required units</t>
  </si>
  <si>
    <t>Purchase price from external supplier (€)</t>
  </si>
  <si>
    <t>n/a</t>
  </si>
  <si>
    <t>Variable cost per unit (further process) (€)</t>
  </si>
  <si>
    <t>Case 3</t>
  </si>
  <si>
    <t>Fixed cost per unit (allocated) (€)</t>
  </si>
  <si>
    <t>VC</t>
  </si>
  <si>
    <r>
      <t>Required:</t>
    </r>
    <r>
      <rPr>
        <sz val="11"/>
        <color theme="1"/>
        <rFont val="Times New Roman"/>
        <family val="1"/>
        <charset val="161"/>
      </rPr>
      <t xml:space="preserve"> For each of the following independent cases, determine the range of the acceptable transfer price.</t>
    </r>
  </si>
  <si>
    <t>Total FC</t>
  </si>
  <si>
    <t>Case 1: Department B asks for 10,000 units of the current type of product. If the negotiation is not fruitful, what is the total loss for the entity?</t>
  </si>
  <si>
    <t>Traceable FC (1,250,000*20%)</t>
  </si>
  <si>
    <t>Traceable FC/unit</t>
  </si>
  <si>
    <t>Case 2: Department B asks for 15,000 units of the current type of product.</t>
  </si>
  <si>
    <t>OC</t>
  </si>
  <si>
    <t>Traceable FC per transferred unit</t>
  </si>
  <si>
    <t>Case 3: Department B asks for 15,000 units of the current product with a slight modification in its design. The modification cost equals 18,000 (fixed).</t>
  </si>
  <si>
    <t>Case 4: Department B asks for 10,000 units of a new product type. Department A has estimated that this new product type has a variable manufacturing cost 80 per unit and entail an increase in the fixed cost by 20%. Moreover, current sales to external customers will decrease by 15% due to capacity constrains.</t>
  </si>
  <si>
    <t>CM</t>
  </si>
  <si>
    <t>OC per transferred unit</t>
  </si>
  <si>
    <t>Case 4 - This was not solved in class. Therefore it is not included in your curriculum. I is provided only for completeness.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</si>
</sst>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numFmt numFmtId="166" formatCode="#,##0;\(#,###\)"/>
    <numFmt numFmtId="167" formatCode="#,##0.00;\(#,##0.00\)"/>
    <numFmt numFmtId="168" formatCode="#,##0.000;\(#,##0.000\)"/>
  </numFmts>
  <fonts count="18" x14ac:knownFonts="1">
    <font>
      <sz val="11"/>
      <color theme="1"/>
      <name val="Times New Roman"/>
      <family val="2"/>
      <charset val="161"/>
    </font>
    <font>
      <sz val="11"/>
      <color theme="1"/>
      <name val="Calibri"/>
      <family val="2"/>
      <charset val="161"/>
      <scheme val="minor"/>
    </font>
    <font>
      <sz val="11"/>
      <color theme="1"/>
      <name val="Times New Roman"/>
      <family val="1"/>
      <charset val="161"/>
    </font>
    <font>
      <b/>
      <sz val="11"/>
      <color theme="1"/>
      <name val="Times New Roman"/>
      <family val="1"/>
      <charset val="161"/>
    </font>
    <font>
      <u/>
      <sz val="11"/>
      <color theme="1"/>
      <name val="Times New Roman"/>
      <family val="1"/>
      <charset val="161"/>
    </font>
    <font>
      <i/>
      <sz val="11"/>
      <color theme="1"/>
      <name val="Times New Roman"/>
      <family val="1"/>
      <charset val="161"/>
    </font>
    <font>
      <sz val="11"/>
      <color rgb="FF000000"/>
      <name val="Times New Roman"/>
      <family val="1"/>
      <charset val="161"/>
    </font>
    <font>
      <i/>
      <u/>
      <sz val="11"/>
      <color theme="1"/>
      <name val="Times New Roman"/>
      <family val="1"/>
      <charset val="161"/>
    </font>
    <font>
      <sz val="7"/>
      <color theme="1"/>
      <name val="Times New Roman"/>
      <family val="1"/>
      <charset val="161"/>
    </font>
    <font>
      <vertAlign val="superscript"/>
      <sz val="11"/>
      <color theme="1"/>
      <name val="Times New Roman"/>
      <family val="1"/>
      <charset val="161"/>
    </font>
    <font>
      <b/>
      <sz val="11"/>
      <color rgb="FF000000"/>
      <name val="Times New Roman"/>
      <family val="1"/>
      <charset val="161"/>
    </font>
    <font>
      <b/>
      <vertAlign val="superscript"/>
      <sz val="11"/>
      <color rgb="FF000000"/>
      <name val="Times New Roman"/>
      <family val="1"/>
      <charset val="161"/>
    </font>
    <font>
      <u/>
      <sz val="11"/>
      <color rgb="FF000000"/>
      <name val="Times New Roman"/>
      <family val="1"/>
      <charset val="161"/>
    </font>
    <font>
      <b/>
      <vertAlign val="superscript"/>
      <sz val="11"/>
      <color theme="1"/>
      <name val="Times New Roman"/>
      <family val="1"/>
      <charset val="161"/>
    </font>
    <font>
      <sz val="11"/>
      <color theme="1"/>
      <name val="Times New Roman"/>
      <family val="2"/>
      <charset val="161"/>
    </font>
    <font>
      <b/>
      <i/>
      <sz val="11"/>
      <color theme="1"/>
      <name val="Times New Roman"/>
      <family val="1"/>
      <charset val="161"/>
    </font>
    <font>
      <u/>
      <sz val="11"/>
      <color theme="1"/>
      <name val="Times New Roman"/>
      <family val="2"/>
      <charset val="161"/>
    </font>
    <font>
      <b/>
      <u/>
      <sz val="11"/>
      <color rgb="FF000000"/>
      <name val="Times New Roman"/>
      <family val="1"/>
      <charset val="161"/>
    </font>
  </fonts>
  <fills count="6">
    <fill>
      <patternFill patternType="none"/>
    </fill>
    <fill>
      <patternFill patternType="gray125"/>
    </fill>
    <fill>
      <patternFill patternType="solid">
        <fgColor rgb="FFD9D9D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double">
        <color indexed="64"/>
      </bottom>
      <diagonal/>
    </border>
  </borders>
  <cellStyleXfs count="4">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cellStyleXfs>
  <cellXfs count="229">
    <xf numFmtId="0" fontId="0" fillId="0" borderId="0" xfId="0"/>
    <xf numFmtId="0" fontId="2" fillId="0" borderId="0" xfId="1" applyFont="1" applyAlignment="1">
      <alignment wrapText="1"/>
    </xf>
    <xf numFmtId="0" fontId="2" fillId="0" borderId="0" xfId="1" applyFont="1"/>
    <xf numFmtId="0" fontId="3" fillId="0" borderId="0" xfId="1" applyFont="1"/>
    <xf numFmtId="0" fontId="2" fillId="0" borderId="1" xfId="1" applyFont="1" applyBorder="1"/>
    <xf numFmtId="9" fontId="2" fillId="0" borderId="1" xfId="1" applyNumberFormat="1" applyFont="1" applyBorder="1" applyAlignment="1">
      <alignment horizontal="right"/>
    </xf>
    <xf numFmtId="0" fontId="2" fillId="0" borderId="1" xfId="1" applyFont="1" applyBorder="1" applyAlignment="1">
      <alignment horizontal="right"/>
    </xf>
    <xf numFmtId="0" fontId="4" fillId="0" borderId="0" xfId="1" applyFont="1"/>
    <xf numFmtId="3" fontId="2" fillId="0" borderId="0" xfId="1" applyNumberFormat="1" applyFont="1"/>
    <xf numFmtId="3" fontId="2" fillId="0" borderId="1" xfId="1" applyNumberFormat="1" applyFont="1" applyBorder="1"/>
    <xf numFmtId="164" fontId="2" fillId="0" borderId="0" xfId="1" applyNumberFormat="1" applyFont="1"/>
    <xf numFmtId="164" fontId="4" fillId="0" borderId="0" xfId="1" applyNumberFormat="1" applyFont="1"/>
    <xf numFmtId="164" fontId="3" fillId="0" borderId="0" xfId="1" applyNumberFormat="1" applyFont="1"/>
    <xf numFmtId="165" fontId="2" fillId="0" borderId="0" xfId="1" applyNumberFormat="1" applyFont="1"/>
    <xf numFmtId="0" fontId="6" fillId="0" borderId="0" xfId="1" applyFont="1" applyAlignment="1">
      <alignment horizontal="justify" vertical="center"/>
    </xf>
    <xf numFmtId="0" fontId="6" fillId="0" borderId="0" xfId="1" applyFont="1" applyAlignment="1">
      <alignment horizontal="right" vertical="center"/>
    </xf>
    <xf numFmtId="3" fontId="6" fillId="0" borderId="0" xfId="1" applyNumberFormat="1" applyFont="1" applyAlignment="1">
      <alignment horizontal="right" vertical="center"/>
    </xf>
    <xf numFmtId="0" fontId="2" fillId="0" borderId="0" xfId="1" applyFont="1" applyAlignment="1">
      <alignment horizontal="right"/>
    </xf>
    <xf numFmtId="165" fontId="4" fillId="0" borderId="0" xfId="1" applyNumberFormat="1" applyFont="1"/>
    <xf numFmtId="165" fontId="6" fillId="0" borderId="0" xfId="1" applyNumberFormat="1" applyFont="1" applyAlignment="1">
      <alignment horizontal="right" vertical="center"/>
    </xf>
    <xf numFmtId="0" fontId="5" fillId="0" borderId="0" xfId="1" applyFont="1"/>
    <xf numFmtId="165" fontId="5" fillId="0" borderId="0" xfId="1" applyNumberFormat="1" applyFont="1"/>
    <xf numFmtId="165" fontId="7" fillId="0" borderId="0" xfId="1" applyNumberFormat="1" applyFont="1"/>
    <xf numFmtId="0" fontId="3" fillId="0" borderId="0" xfId="1" applyFont="1" applyAlignment="1">
      <alignment horizontal="center" vertical="center"/>
    </xf>
    <xf numFmtId="0" fontId="2" fillId="0" borderId="0" xfId="1" applyFont="1" applyAlignment="1">
      <alignment horizontal="justify" vertical="center"/>
    </xf>
    <xf numFmtId="0" fontId="10" fillId="0" borderId="0" xfId="1" applyFont="1" applyAlignment="1">
      <alignment horizontal="center" vertical="center"/>
    </xf>
    <xf numFmtId="0" fontId="10" fillId="0" borderId="0" xfId="1" applyFont="1" applyAlignment="1">
      <alignment horizontal="center" vertical="center" wrapText="1"/>
    </xf>
    <xf numFmtId="0" fontId="10" fillId="0" borderId="2" xfId="1" applyFont="1" applyBorder="1" applyAlignment="1">
      <alignment horizontal="center" vertical="center" wrapText="1"/>
    </xf>
    <xf numFmtId="0" fontId="10" fillId="0" borderId="2" xfId="1" applyFont="1" applyBorder="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3" fontId="6" fillId="0" borderId="0" xfId="1" applyNumberFormat="1" applyFont="1" applyAlignment="1">
      <alignment horizontal="center" vertical="center"/>
    </xf>
    <xf numFmtId="2" fontId="6" fillId="0" borderId="0" xfId="1" applyNumberFormat="1" applyFont="1" applyAlignment="1">
      <alignment horizontal="center" vertical="center"/>
    </xf>
    <xf numFmtId="1" fontId="6" fillId="0" borderId="0" xfId="1" applyNumberFormat="1" applyFont="1" applyAlignment="1">
      <alignment horizontal="center" vertical="center"/>
    </xf>
    <xf numFmtId="2" fontId="2" fillId="0" borderId="0" xfId="1" applyNumberFormat="1" applyFont="1"/>
    <xf numFmtId="0" fontId="12" fillId="0" borderId="0" xfId="1" applyFont="1" applyAlignment="1">
      <alignment horizontal="center" vertical="center"/>
    </xf>
    <xf numFmtId="3" fontId="12" fillId="0" borderId="0" xfId="1" applyNumberFormat="1" applyFont="1" applyAlignment="1">
      <alignment horizontal="center" vertical="center"/>
    </xf>
    <xf numFmtId="2" fontId="12" fillId="0" borderId="0" xfId="1" applyNumberFormat="1" applyFont="1" applyAlignment="1">
      <alignment horizontal="center" vertical="center"/>
    </xf>
    <xf numFmtId="1" fontId="12" fillId="0" borderId="0" xfId="1" applyNumberFormat="1" applyFont="1" applyAlignment="1">
      <alignment horizontal="center" vertical="center"/>
    </xf>
    <xf numFmtId="3" fontId="10" fillId="0" borderId="0" xfId="1" applyNumberFormat="1" applyFont="1" applyAlignment="1">
      <alignment horizontal="center" vertical="center" wrapText="1"/>
    </xf>
    <xf numFmtId="4" fontId="10" fillId="0" borderId="0" xfId="1" applyNumberFormat="1" applyFont="1" applyAlignment="1">
      <alignment horizontal="center" vertical="center" wrapText="1"/>
    </xf>
    <xf numFmtId="2" fontId="10" fillId="0" borderId="0" xfId="1" applyNumberFormat="1" applyFont="1" applyAlignment="1">
      <alignment horizontal="center" vertical="center" wrapText="1"/>
    </xf>
    <xf numFmtId="1" fontId="10" fillId="0" borderId="0" xfId="1" applyNumberFormat="1" applyFont="1" applyAlignment="1">
      <alignment horizontal="center" vertical="center" wrapText="1"/>
    </xf>
    <xf numFmtId="2" fontId="10" fillId="0" borderId="2" xfId="1" applyNumberFormat="1" applyFont="1" applyBorder="1" applyAlignment="1">
      <alignment horizontal="center" vertical="center" wrapText="1"/>
    </xf>
    <xf numFmtId="10" fontId="2" fillId="0" borderId="0" xfId="2" applyNumberFormat="1" applyFont="1"/>
    <xf numFmtId="0" fontId="10" fillId="0" borderId="1" xfId="0" applyFont="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2" fillId="0" borderId="0" xfId="0" applyFont="1" applyAlignment="1">
      <alignment vertical="center"/>
    </xf>
    <xf numFmtId="0" fontId="2" fillId="0" borderId="0" xfId="1" applyFont="1" applyAlignment="1">
      <alignment horizontal="center"/>
    </xf>
    <xf numFmtId="0" fontId="3" fillId="0" borderId="0" xfId="0" applyFont="1" applyAlignment="1">
      <alignment vertical="center"/>
    </xf>
    <xf numFmtId="3" fontId="3" fillId="0" borderId="0" xfId="1" applyNumberFormat="1" applyFont="1"/>
    <xf numFmtId="0" fontId="2" fillId="3" borderId="0" xfId="1" applyFont="1" applyFill="1"/>
    <xf numFmtId="0" fontId="3" fillId="0" borderId="1" xfId="1" applyFont="1" applyBorder="1" applyAlignment="1">
      <alignment horizontal="center"/>
    </xf>
    <xf numFmtId="3" fontId="3" fillId="0" borderId="1" xfId="1" applyNumberFormat="1" applyFont="1" applyBorder="1" applyAlignment="1">
      <alignment horizontal="center"/>
    </xf>
    <xf numFmtId="0" fontId="3" fillId="0" borderId="1" xfId="1" applyFont="1" applyBorder="1" applyAlignment="1">
      <alignment horizontal="center" wrapText="1"/>
    </xf>
    <xf numFmtId="0" fontId="2" fillId="0" borderId="1" xfId="1" applyFont="1" applyBorder="1" applyAlignment="1">
      <alignment horizontal="center"/>
    </xf>
    <xf numFmtId="3" fontId="2" fillId="0" borderId="1" xfId="1" applyNumberFormat="1" applyFont="1" applyBorder="1" applyAlignment="1">
      <alignment horizontal="center"/>
    </xf>
    <xf numFmtId="0" fontId="2" fillId="3" borderId="4" xfId="1" applyFont="1" applyFill="1" applyBorder="1"/>
    <xf numFmtId="0" fontId="3" fillId="5" borderId="0" xfId="1" applyFont="1" applyFill="1" applyAlignment="1">
      <alignment wrapText="1"/>
    </xf>
    <xf numFmtId="0" fontId="3" fillId="5" borderId="0" xfId="1" applyFont="1" applyFill="1" applyAlignment="1">
      <alignment horizontal="right"/>
    </xf>
    <xf numFmtId="3" fontId="2" fillId="0" borderId="0" xfId="1" applyNumberFormat="1" applyFont="1" applyAlignment="1">
      <alignment horizontal="right"/>
    </xf>
    <xf numFmtId="0" fontId="4" fillId="0" borderId="0" xfId="1" applyFont="1" applyAlignment="1">
      <alignment horizontal="right"/>
    </xf>
    <xf numFmtId="164" fontId="2" fillId="0" borderId="0" xfId="1" applyNumberFormat="1" applyFont="1" applyAlignment="1">
      <alignment horizontal="right"/>
    </xf>
    <xf numFmtId="164" fontId="4" fillId="0" borderId="0" xfId="1" applyNumberFormat="1" applyFont="1" applyAlignment="1">
      <alignment horizontal="right"/>
    </xf>
    <xf numFmtId="0" fontId="3" fillId="5" borderId="0" xfId="1" applyFont="1" applyFill="1"/>
    <xf numFmtId="166" fontId="2" fillId="0" borderId="0" xfId="1" applyNumberFormat="1" applyFont="1" applyAlignment="1">
      <alignment horizontal="right"/>
    </xf>
    <xf numFmtId="167" fontId="4" fillId="0" borderId="0" xfId="1" applyNumberFormat="1" applyFont="1" applyAlignment="1">
      <alignment horizontal="right"/>
    </xf>
    <xf numFmtId="3" fontId="4" fillId="0" borderId="0" xfId="1" applyNumberFormat="1" applyFont="1" applyAlignment="1">
      <alignment horizontal="right"/>
    </xf>
    <xf numFmtId="168" fontId="2" fillId="0" borderId="0" xfId="1" applyNumberFormat="1" applyFont="1" applyAlignment="1">
      <alignment horizontal="right"/>
    </xf>
    <xf numFmtId="3" fontId="2" fillId="5" borderId="0" xfId="1" applyNumberFormat="1" applyFont="1" applyFill="1" applyAlignment="1">
      <alignment horizontal="right"/>
    </xf>
    <xf numFmtId="164" fontId="2" fillId="5" borderId="0" xfId="1" applyNumberFormat="1" applyFont="1" applyFill="1" applyAlignment="1">
      <alignment horizontal="right"/>
    </xf>
    <xf numFmtId="0" fontId="2" fillId="5" borderId="0" xfId="1" applyFont="1" applyFill="1" applyAlignment="1">
      <alignment horizontal="right"/>
    </xf>
    <xf numFmtId="166" fontId="4" fillId="0" borderId="0" xfId="1" applyNumberFormat="1" applyFont="1" applyAlignment="1">
      <alignment horizontal="right"/>
    </xf>
    <xf numFmtId="0" fontId="2" fillId="0" borderId="0" xfId="0" applyFont="1"/>
    <xf numFmtId="0" fontId="3" fillId="0" borderId="0" xfId="0" applyFont="1"/>
    <xf numFmtId="0" fontId="2" fillId="0" borderId="0" xfId="0" applyFont="1" applyAlignment="1">
      <alignment wrapText="1"/>
    </xf>
    <xf numFmtId="0" fontId="3" fillId="0" borderId="0" xfId="0" applyFont="1" applyAlignment="1">
      <alignment horizontal="right"/>
    </xf>
    <xf numFmtId="49" fontId="3" fillId="0" borderId="0" xfId="0" applyNumberFormat="1" applyFont="1" applyAlignment="1">
      <alignment horizontal="center"/>
    </xf>
    <xf numFmtId="3" fontId="3" fillId="0" borderId="0" xfId="0" applyNumberFormat="1" applyFont="1" applyAlignment="1">
      <alignment horizontal="center" wrapText="1"/>
    </xf>
    <xf numFmtId="3" fontId="3" fillId="0" borderId="0" xfId="0" applyNumberFormat="1" applyFont="1" applyAlignment="1">
      <alignment horizontal="center"/>
    </xf>
    <xf numFmtId="49" fontId="3" fillId="0" borderId="0" xfId="0" applyNumberFormat="1" applyFont="1"/>
    <xf numFmtId="0" fontId="6" fillId="0" borderId="5" xfId="0" applyFont="1" applyBorder="1" applyAlignment="1">
      <alignment vertical="center"/>
    </xf>
    <xf numFmtId="0" fontId="6" fillId="0" borderId="6" xfId="0" applyFont="1" applyBorder="1" applyAlignment="1">
      <alignment vertical="center"/>
    </xf>
    <xf numFmtId="164" fontId="2" fillId="0" borderId="0" xfId="0" applyNumberFormat="1" applyFont="1" applyAlignment="1">
      <alignment horizontal="center"/>
    </xf>
    <xf numFmtId="3" fontId="2" fillId="0" borderId="0" xfId="0" applyNumberFormat="1" applyFont="1" applyAlignment="1">
      <alignment horizontal="center"/>
    </xf>
    <xf numFmtId="0" fontId="2" fillId="0" borderId="0" xfId="0" applyFont="1" applyAlignment="1">
      <alignment horizontal="center"/>
    </xf>
    <xf numFmtId="0" fontId="6" fillId="0" borderId="7" xfId="0" applyFont="1" applyBorder="1" applyAlignment="1">
      <alignment vertical="center"/>
    </xf>
    <xf numFmtId="0" fontId="6" fillId="0" borderId="8" xfId="0" applyFont="1" applyBorder="1" applyAlignment="1">
      <alignment vertical="center"/>
    </xf>
    <xf numFmtId="164" fontId="4" fillId="0" borderId="0" xfId="0" applyNumberFormat="1" applyFont="1" applyAlignment="1">
      <alignment horizontal="center"/>
    </xf>
    <xf numFmtId="3" fontId="4" fillId="0" borderId="0" xfId="0" applyNumberFormat="1" applyFont="1" applyAlignment="1">
      <alignment horizontal="center"/>
    </xf>
    <xf numFmtId="0" fontId="6" fillId="0" borderId="9" xfId="0" applyFont="1" applyBorder="1" applyAlignment="1">
      <alignment vertical="center"/>
    </xf>
    <xf numFmtId="3" fontId="6" fillId="0" borderId="10" xfId="0" applyNumberFormat="1" applyFont="1" applyBorder="1" applyAlignment="1">
      <alignment horizontal="right" vertical="center"/>
    </xf>
    <xf numFmtId="0" fontId="6" fillId="0" borderId="11" xfId="0" applyFont="1" applyBorder="1" applyAlignment="1">
      <alignment vertical="center"/>
    </xf>
    <xf numFmtId="3" fontId="6" fillId="0" borderId="12" xfId="0" applyNumberFormat="1" applyFont="1" applyBorder="1" applyAlignment="1">
      <alignment horizontal="right" vertical="center"/>
    </xf>
    <xf numFmtId="0" fontId="12" fillId="0" borderId="11" xfId="0" applyFont="1" applyBorder="1" applyAlignment="1">
      <alignment vertical="center"/>
    </xf>
    <xf numFmtId="0" fontId="6" fillId="0" borderId="12" xfId="0" applyFont="1" applyBorder="1" applyAlignment="1">
      <alignment vertical="center"/>
    </xf>
    <xf numFmtId="3" fontId="12" fillId="0" borderId="12" xfId="0" applyNumberFormat="1" applyFont="1" applyBorder="1" applyAlignment="1">
      <alignment horizontal="right" vertical="center"/>
    </xf>
    <xf numFmtId="0" fontId="6" fillId="0" borderId="13" xfId="0" applyFont="1" applyBorder="1" applyAlignment="1">
      <alignment vertical="center"/>
    </xf>
    <xf numFmtId="3" fontId="6" fillId="0" borderId="8" xfId="0" applyNumberFormat="1" applyFont="1" applyBorder="1" applyAlignment="1">
      <alignment horizontal="right" vertical="center"/>
    </xf>
    <xf numFmtId="164" fontId="2" fillId="0" borderId="0" xfId="0" applyNumberFormat="1" applyFont="1"/>
    <xf numFmtId="3" fontId="2" fillId="0" borderId="0" xfId="0" applyNumberFormat="1" applyFont="1"/>
    <xf numFmtId="0" fontId="2" fillId="0" borderId="0" xfId="0" applyFont="1" applyAlignment="1">
      <alignment horizontal="left"/>
    </xf>
    <xf numFmtId="0" fontId="2" fillId="0" borderId="0" xfId="0" applyFont="1" applyAlignment="1">
      <alignment horizontal="left" vertical="center"/>
    </xf>
    <xf numFmtId="164" fontId="2" fillId="0" borderId="0" xfId="0" applyNumberFormat="1" applyFont="1" applyAlignment="1">
      <alignment horizontal="right"/>
    </xf>
    <xf numFmtId="0" fontId="2" fillId="0" borderId="0" xfId="0" applyFont="1" applyAlignment="1">
      <alignment vertical="center" wrapText="1"/>
    </xf>
    <xf numFmtId="9" fontId="2" fillId="0" borderId="0" xfId="3" applyFont="1" applyFill="1" applyBorder="1"/>
    <xf numFmtId="164" fontId="2" fillId="5" borderId="0" xfId="0" applyNumberFormat="1" applyFont="1" applyFill="1"/>
    <xf numFmtId="0" fontId="3" fillId="0" borderId="0" xfId="0" applyFont="1" applyAlignment="1">
      <alignment horizontal="center"/>
    </xf>
    <xf numFmtId="0" fontId="6" fillId="0" borderId="0" xfId="0" applyFont="1" applyAlignment="1">
      <alignment horizontal="justify" vertical="center"/>
    </xf>
    <xf numFmtId="165" fontId="2" fillId="0" borderId="0" xfId="0" applyNumberFormat="1" applyFont="1" applyAlignment="1">
      <alignment horizontal="center"/>
    </xf>
    <xf numFmtId="165" fontId="2" fillId="0" borderId="0" xfId="0" applyNumberFormat="1" applyFont="1"/>
    <xf numFmtId="0" fontId="12" fillId="0" borderId="0" xfId="0" applyFont="1" applyAlignment="1">
      <alignment horizontal="justify" vertical="center"/>
    </xf>
    <xf numFmtId="3" fontId="6" fillId="0" borderId="0" xfId="0" applyNumberFormat="1" applyFont="1" applyAlignment="1">
      <alignment horizontal="justify" vertical="center"/>
    </xf>
    <xf numFmtId="165" fontId="3" fillId="0" borderId="0" xfId="0" applyNumberFormat="1" applyFont="1" applyAlignment="1">
      <alignment horizontal="center"/>
    </xf>
    <xf numFmtId="165" fontId="2" fillId="0" borderId="0" xfId="0" applyNumberFormat="1" applyFont="1" applyAlignment="1">
      <alignment horizontal="left"/>
    </xf>
    <xf numFmtId="165" fontId="4" fillId="0" borderId="0" xfId="0" applyNumberFormat="1" applyFont="1" applyAlignment="1">
      <alignment horizontal="center"/>
    </xf>
    <xf numFmtId="165" fontId="4" fillId="0" borderId="0" xfId="0" applyNumberFormat="1" applyFont="1"/>
    <xf numFmtId="165" fontId="4" fillId="0" borderId="0" xfId="0" applyNumberFormat="1" applyFont="1" applyAlignment="1">
      <alignment horizontal="left"/>
    </xf>
    <xf numFmtId="0" fontId="15" fillId="0" borderId="1" xfId="0" applyFont="1" applyBorder="1" applyAlignment="1">
      <alignment horizontal="center"/>
    </xf>
    <xf numFmtId="165" fontId="3" fillId="0" borderId="1" xfId="0" applyNumberFormat="1" applyFont="1" applyBorder="1" applyAlignment="1">
      <alignment horizontal="center"/>
    </xf>
    <xf numFmtId="0" fontId="2" fillId="0" borderId="1" xfId="0" applyFont="1" applyBorder="1" applyAlignment="1">
      <alignment horizontal="left"/>
    </xf>
    <xf numFmtId="165" fontId="2" fillId="0" borderId="1" xfId="0" applyNumberFormat="1" applyFont="1" applyBorder="1" applyAlignment="1">
      <alignment horizontal="center"/>
    </xf>
    <xf numFmtId="0" fontId="10" fillId="0" borderId="0" xfId="0" applyFont="1" applyAlignment="1">
      <alignment horizontal="center" vertical="center" wrapText="1"/>
    </xf>
    <xf numFmtId="0" fontId="0" fillId="0" borderId="0" xfId="0" applyAlignment="1">
      <alignment horizontal="center"/>
    </xf>
    <xf numFmtId="0" fontId="6" fillId="0" borderId="0" xfId="0" applyFont="1" applyAlignment="1">
      <alignment horizontal="justify" vertical="center" wrapText="1"/>
    </xf>
    <xf numFmtId="0" fontId="2" fillId="0" borderId="0" xfId="0" applyFont="1" applyAlignment="1">
      <alignment horizontal="right" vertical="center" wrapText="1"/>
    </xf>
    <xf numFmtId="3" fontId="6" fillId="0" borderId="0" xfId="0" applyNumberFormat="1" applyFont="1" applyAlignment="1">
      <alignment horizontal="right" vertical="center" wrapText="1"/>
    </xf>
    <xf numFmtId="3" fontId="0" fillId="0" borderId="0" xfId="0" applyNumberFormat="1"/>
    <xf numFmtId="0" fontId="12" fillId="0" borderId="0" xfId="0" applyFont="1" applyAlignment="1">
      <alignment horizontal="justify" vertical="center" wrapText="1"/>
    </xf>
    <xf numFmtId="0" fontId="16" fillId="0" borderId="0" xfId="0" applyFont="1"/>
    <xf numFmtId="3" fontId="16" fillId="0" borderId="0" xfId="0" applyNumberFormat="1" applyFont="1"/>
    <xf numFmtId="3" fontId="12" fillId="0" borderId="0" xfId="0" applyNumberFormat="1" applyFont="1" applyAlignment="1">
      <alignment horizontal="right" vertical="center" wrapText="1"/>
    </xf>
    <xf numFmtId="166" fontId="0" fillId="0" borderId="0" xfId="0" applyNumberFormat="1"/>
    <xf numFmtId="0" fontId="10" fillId="0" borderId="0" xfId="0" applyFont="1" applyAlignment="1">
      <alignment horizontal="justify" vertical="center" wrapText="1"/>
    </xf>
    <xf numFmtId="3" fontId="10" fillId="0" borderId="15" xfId="0" applyNumberFormat="1" applyFont="1" applyBorder="1" applyAlignment="1">
      <alignment horizontal="right" vertical="center" wrapText="1"/>
    </xf>
    <xf numFmtId="3" fontId="3" fillId="0" borderId="0" xfId="0" applyNumberFormat="1" applyFont="1"/>
    <xf numFmtId="166" fontId="3" fillId="0" borderId="0" xfId="0" applyNumberFormat="1" applyFont="1"/>
    <xf numFmtId="0" fontId="5" fillId="0" borderId="0" xfId="0" applyFont="1"/>
    <xf numFmtId="3" fontId="5" fillId="0" borderId="0" xfId="0" applyNumberFormat="1" applyFont="1"/>
    <xf numFmtId="166" fontId="5" fillId="0" borderId="0" xfId="0" applyNumberFormat="1" applyFont="1"/>
    <xf numFmtId="0" fontId="2" fillId="0" borderId="0" xfId="1" applyFont="1" applyAlignment="1">
      <alignment wrapText="1"/>
    </xf>
    <xf numFmtId="0" fontId="2" fillId="0" borderId="0" xfId="1" applyFont="1" applyAlignment="1">
      <alignment horizontal="left" vertical="center" wrapText="1"/>
    </xf>
    <xf numFmtId="0" fontId="2" fillId="0" borderId="2" xfId="1" applyFont="1" applyBorder="1" applyAlignment="1">
      <alignment horizontal="center"/>
    </xf>
    <xf numFmtId="0" fontId="3" fillId="0" borderId="0" xfId="1" applyFont="1" applyAlignment="1">
      <alignment horizontal="center"/>
    </xf>
    <xf numFmtId="0" fontId="10" fillId="0" borderId="3" xfId="1" applyFont="1" applyBorder="1" applyAlignment="1">
      <alignment horizontal="center" vertical="center"/>
    </xf>
    <xf numFmtId="0" fontId="10" fillId="0" borderId="0" xfId="1" applyFont="1" applyAlignment="1">
      <alignment horizontal="center" vertical="center"/>
    </xf>
    <xf numFmtId="0" fontId="10" fillId="0" borderId="2" xfId="1" applyFont="1" applyBorder="1" applyAlignment="1">
      <alignment horizontal="center" vertical="center"/>
    </xf>
    <xf numFmtId="0" fontId="2" fillId="0" borderId="0" xfId="1" applyFont="1" applyAlignment="1">
      <alignment horizontal="left" vertical="center"/>
    </xf>
    <xf numFmtId="0" fontId="3" fillId="0" borderId="0" xfId="1" applyFont="1" applyAlignment="1">
      <alignment horizontal="left" vertical="center"/>
    </xf>
    <xf numFmtId="0" fontId="10" fillId="0" borderId="3" xfId="1" applyFont="1" applyBorder="1" applyAlignment="1">
      <alignment horizontal="center" vertical="center" wrapText="1"/>
    </xf>
    <xf numFmtId="0" fontId="10" fillId="0" borderId="0" xfId="1" applyFont="1" applyAlignment="1">
      <alignment horizontal="center" vertical="center" wrapText="1"/>
    </xf>
    <xf numFmtId="0" fontId="10" fillId="0" borderId="2" xfId="1" applyFont="1" applyBorder="1" applyAlignment="1">
      <alignment horizontal="center" vertical="center" wrapText="1"/>
    </xf>
    <xf numFmtId="0" fontId="2" fillId="0" borderId="0" xfId="0" applyFont="1" applyAlignment="1">
      <alignment horizontal="left" vertical="center" wrapText="1"/>
    </xf>
    <xf numFmtId="0" fontId="2" fillId="4" borderId="0" xfId="1" applyFont="1" applyFill="1" applyAlignment="1">
      <alignment wrapText="1"/>
    </xf>
    <xf numFmtId="0" fontId="3" fillId="0" borderId="0" xfId="1" applyFont="1" applyAlignment="1">
      <alignment horizontal="left"/>
    </xf>
    <xf numFmtId="0" fontId="2" fillId="4" borderId="0" xfId="1" applyFont="1" applyFill="1" applyAlignment="1">
      <alignment horizontal="center" wrapText="1"/>
    </xf>
    <xf numFmtId="0" fontId="3" fillId="0" borderId="0" xfId="1" applyFont="1" applyAlignment="1">
      <alignment wrapText="1"/>
    </xf>
    <xf numFmtId="0" fontId="2" fillId="0" borderId="0" xfId="1" applyFont="1" applyAlignment="1">
      <alignment horizontal="center"/>
    </xf>
    <xf numFmtId="0" fontId="5" fillId="0" borderId="0" xfId="1" applyFont="1" applyAlignment="1">
      <alignment horizontal="center"/>
    </xf>
    <xf numFmtId="0" fontId="3" fillId="0" borderId="0" xfId="1" applyFont="1"/>
    <xf numFmtId="0" fontId="2" fillId="4" borderId="0" xfId="1" applyFont="1" applyFill="1" applyAlignment="1">
      <alignment horizontal="left" wrapText="1"/>
    </xf>
    <xf numFmtId="0" fontId="2" fillId="4" borderId="0" xfId="1" applyFont="1" applyFill="1"/>
    <xf numFmtId="0" fontId="3" fillId="0" borderId="0" xfId="1" applyFont="1" applyAlignment="1">
      <alignment horizontal="left" wrapText="1"/>
    </xf>
    <xf numFmtId="0" fontId="3" fillId="4" borderId="0" xfId="1" applyFont="1" applyFill="1" applyAlignment="1">
      <alignment horizontal="left"/>
    </xf>
    <xf numFmtId="0" fontId="3" fillId="4" borderId="0" xfId="1" applyFont="1" applyFill="1" applyAlignment="1">
      <alignment horizontal="center"/>
    </xf>
    <xf numFmtId="3" fontId="3" fillId="4" borderId="0" xfId="1" applyNumberFormat="1" applyFont="1" applyFill="1" applyAlignment="1">
      <alignment horizontal="center"/>
    </xf>
    <xf numFmtId="0" fontId="2" fillId="0" borderId="0" xfId="0" applyFont="1" applyAlignment="1">
      <alignment horizontal="left" vertical="center"/>
    </xf>
    <xf numFmtId="0" fontId="2" fillId="0" borderId="3" xfId="0" applyFont="1" applyBorder="1" applyAlignment="1">
      <alignment horizontal="center"/>
    </xf>
    <xf numFmtId="0" fontId="2" fillId="0" borderId="4" xfId="0" applyFont="1" applyBorder="1" applyAlignment="1">
      <alignment horizontal="center" vertical="center" wrapText="1"/>
    </xf>
    <xf numFmtId="0" fontId="12" fillId="0" borderId="14" xfId="0" applyFont="1" applyBorder="1" applyAlignment="1">
      <alignment horizontal="justify" vertical="center"/>
    </xf>
    <xf numFmtId="0" fontId="3" fillId="0" borderId="0" xfId="0" applyFont="1" applyAlignment="1">
      <alignment horizontal="center"/>
    </xf>
    <xf numFmtId="165" fontId="3" fillId="0" borderId="0" xfId="0" applyNumberFormat="1" applyFont="1" applyAlignment="1">
      <alignment horizontal="center"/>
    </xf>
    <xf numFmtId="0" fontId="2" fillId="0" borderId="0" xfId="0" applyFont="1" applyAlignment="1">
      <alignment horizontal="left" wrapText="1"/>
    </xf>
    <xf numFmtId="165" fontId="2" fillId="0" borderId="0" xfId="0" applyNumberFormat="1" applyFont="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5" borderId="0" xfId="0" applyFont="1" applyFill="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right" vertical="center"/>
    </xf>
    <xf numFmtId="0" fontId="10" fillId="0" borderId="0" xfId="0" applyFont="1" applyAlignment="1">
      <alignment horizontal="center" vertical="center"/>
    </xf>
    <xf numFmtId="3" fontId="6" fillId="0" borderId="0" xfId="0" applyNumberFormat="1" applyFont="1" applyAlignment="1">
      <alignment horizontal="right" vertical="center"/>
    </xf>
    <xf numFmtId="3" fontId="6" fillId="0" borderId="0" xfId="0" applyNumberFormat="1"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right"/>
    </xf>
    <xf numFmtId="3" fontId="12" fillId="0" borderId="0" xfId="0" applyNumberFormat="1"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justify" vertical="center"/>
    </xf>
    <xf numFmtId="0" fontId="5" fillId="0" borderId="0" xfId="0" applyFont="1" applyAlignment="1">
      <alignment horizontal="left" wrapText="1"/>
    </xf>
    <xf numFmtId="0" fontId="2" fillId="0" borderId="0" xfId="0" applyFont="1" applyAlignment="1">
      <alignment horizontal="center" vertical="center"/>
    </xf>
    <xf numFmtId="0" fontId="2" fillId="0" borderId="9" xfId="0" applyFont="1" applyBorder="1"/>
    <xf numFmtId="0" fontId="2" fillId="0" borderId="14" xfId="0" applyFont="1" applyBorder="1"/>
    <xf numFmtId="0" fontId="17" fillId="0" borderId="14" xfId="0" applyFont="1" applyBorder="1" applyAlignment="1">
      <alignment horizontal="center" vertical="center"/>
    </xf>
    <xf numFmtId="0" fontId="17" fillId="0" borderId="10" xfId="0" applyFont="1" applyBorder="1" applyAlignment="1">
      <alignment horizontal="center" vertical="center"/>
    </xf>
    <xf numFmtId="0" fontId="2" fillId="0" borderId="11" xfId="0" applyFont="1" applyBorder="1"/>
    <xf numFmtId="0" fontId="17" fillId="0" borderId="0" xfId="0" applyFont="1" applyAlignment="1">
      <alignment horizontal="center" vertical="center"/>
    </xf>
    <xf numFmtId="0" fontId="17" fillId="0" borderId="12" xfId="0" applyFont="1" applyBorder="1" applyAlignment="1">
      <alignment horizontal="center" vertical="center"/>
    </xf>
    <xf numFmtId="166" fontId="2" fillId="0" borderId="0" xfId="0" applyNumberFormat="1" applyFont="1" applyAlignment="1">
      <alignment horizontal="center" vertical="center"/>
    </xf>
    <xf numFmtId="166" fontId="6" fillId="0" borderId="0" xfId="0" applyNumberFormat="1" applyFont="1" applyAlignment="1">
      <alignment horizontal="center" vertical="center"/>
    </xf>
    <xf numFmtId="166" fontId="6" fillId="0" borderId="12" xfId="0" applyNumberFormat="1" applyFont="1" applyBorder="1" applyAlignment="1">
      <alignment horizontal="center" vertical="center"/>
    </xf>
    <xf numFmtId="0" fontId="6" fillId="0" borderId="11" xfId="0" applyFont="1" applyBorder="1" applyAlignment="1">
      <alignment horizontal="justify" vertical="center"/>
    </xf>
    <xf numFmtId="166" fontId="12" fillId="0" borderId="0" xfId="0" applyNumberFormat="1" applyFont="1" applyAlignment="1">
      <alignment horizontal="center" vertical="center"/>
    </xf>
    <xf numFmtId="166" fontId="12" fillId="0" borderId="12" xfId="0" applyNumberFormat="1" applyFont="1" applyBorder="1" applyAlignment="1">
      <alignment horizontal="center" vertical="center"/>
    </xf>
    <xf numFmtId="0" fontId="2" fillId="0" borderId="13" xfId="0" applyFont="1" applyBorder="1"/>
    <xf numFmtId="0" fontId="6" fillId="0" borderId="4" xfId="0" applyFont="1" applyBorder="1" applyAlignment="1">
      <alignment horizontal="justify" vertical="center"/>
    </xf>
    <xf numFmtId="166" fontId="6" fillId="0" borderId="4" xfId="0" applyNumberFormat="1" applyFont="1" applyBorder="1" applyAlignment="1">
      <alignment horizontal="center" vertical="center"/>
    </xf>
    <xf numFmtId="166" fontId="6" fillId="0" borderId="8" xfId="0" applyNumberFormat="1" applyFont="1" applyBorder="1" applyAlignment="1">
      <alignment horizontal="center" vertical="center"/>
    </xf>
    <xf numFmtId="0" fontId="17" fillId="0" borderId="0" xfId="0" applyFont="1" applyAlignment="1">
      <alignment horizontal="left" vertical="center"/>
    </xf>
    <xf numFmtId="0" fontId="2" fillId="0" borderId="14" xfId="0" applyFont="1" applyBorder="1" applyAlignment="1">
      <alignment horizontal="center" vertical="center" wrapText="1"/>
    </xf>
    <xf numFmtId="166" fontId="0" fillId="0" borderId="0" xfId="0" applyNumberFormat="1" applyAlignment="1">
      <alignment horizontal="center"/>
    </xf>
    <xf numFmtId="3" fontId="12" fillId="0" borderId="0" xfId="0" applyNumberFormat="1" applyFont="1" applyAlignment="1">
      <alignment horizontal="right" vertical="center"/>
    </xf>
    <xf numFmtId="0" fontId="6" fillId="0" borderId="0" xfId="0" applyFont="1" applyAlignment="1">
      <alignment horizontal="left" vertical="center" wrapText="1"/>
    </xf>
    <xf numFmtId="0" fontId="3" fillId="0" borderId="0" xfId="0" applyFont="1" applyAlignment="1">
      <alignment vertical="center" wrapText="1"/>
    </xf>
    <xf numFmtId="0" fontId="12" fillId="0" borderId="0" xfId="0" applyFont="1" applyAlignment="1">
      <alignment vertical="center"/>
    </xf>
    <xf numFmtId="0" fontId="2" fillId="0" borderId="2" xfId="0" applyFont="1" applyBorder="1" applyAlignment="1">
      <alignment horizontal="left" vertical="center" wrapText="1"/>
    </xf>
    <xf numFmtId="0" fontId="6" fillId="0" borderId="0" xfId="0" applyFont="1" applyAlignment="1">
      <alignment vertical="center"/>
    </xf>
    <xf numFmtId="0" fontId="10" fillId="0" borderId="1" xfId="0" applyFont="1" applyBorder="1" applyAlignment="1">
      <alignment vertical="center"/>
    </xf>
    <xf numFmtId="0" fontId="17" fillId="0" borderId="1" xfId="0" applyFont="1" applyBorder="1" applyAlignment="1">
      <alignment vertical="center"/>
    </xf>
    <xf numFmtId="0" fontId="2" fillId="0" borderId="1" xfId="0" applyFont="1" applyBorder="1"/>
    <xf numFmtId="0" fontId="6" fillId="0" borderId="1" xfId="0" applyFont="1" applyBorder="1" applyAlignment="1">
      <alignment vertical="center"/>
    </xf>
    <xf numFmtId="0" fontId="12" fillId="0" borderId="0" xfId="0" applyFont="1" applyAlignment="1">
      <alignment horizontal="right" vertical="center"/>
    </xf>
    <xf numFmtId="0" fontId="6" fillId="0" borderId="1" xfId="0" applyFont="1" applyBorder="1" applyAlignment="1">
      <alignment vertical="center" wrapText="1"/>
    </xf>
    <xf numFmtId="0" fontId="3" fillId="0" borderId="3" xfId="0" applyFont="1" applyBorder="1" applyAlignment="1">
      <alignment horizontal="left" vertical="center"/>
    </xf>
    <xf numFmtId="3" fontId="6" fillId="0" borderId="0" xfId="0" applyNumberFormat="1" applyFont="1" applyAlignment="1">
      <alignment vertical="center"/>
    </xf>
    <xf numFmtId="0" fontId="6" fillId="0" borderId="0" xfId="0" applyFont="1" applyAlignment="1">
      <alignment horizontal="left" vertical="center"/>
    </xf>
    <xf numFmtId="0" fontId="12" fillId="5" borderId="0" xfId="0" applyFont="1" applyFill="1" applyAlignment="1">
      <alignment vertical="center" wrapText="1"/>
    </xf>
  </cellXfs>
  <cellStyles count="4">
    <cellStyle name="Normal" xfId="0" builtinId="0"/>
    <cellStyle name="Normal 2" xfId="1" xr:uid="{209BBEF9-7ADA-4AE6-BF7E-2C12064991EF}"/>
    <cellStyle name="Percent" xfId="3" builtinId="5"/>
    <cellStyle name="Percent 2" xfId="2" xr:uid="{0C229339-8F0A-4AEB-8A1D-D5FAE3D1E7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853439</xdr:colOff>
      <xdr:row>6</xdr:row>
      <xdr:rowOff>38100</xdr:rowOff>
    </xdr:from>
    <xdr:to>
      <xdr:col>2</xdr:col>
      <xdr:colOff>1150620</xdr:colOff>
      <xdr:row>7</xdr:row>
      <xdr:rowOff>152400</xdr:rowOff>
    </xdr:to>
    <xdr:pic>
      <xdr:nvPicPr>
        <xdr:cNvPr id="2" name="Picture 1">
          <a:extLst>
            <a:ext uri="{FF2B5EF4-FFF2-40B4-BE49-F238E27FC236}">
              <a16:creationId xmlns:a16="http://schemas.microsoft.com/office/drawing/2014/main" id="{C0BF10F2-0EA4-4892-AC41-5851FD4AA26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63039" y="1127760"/>
          <a:ext cx="1592581"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182880</xdr:colOff>
      <xdr:row>6</xdr:row>
      <xdr:rowOff>60960</xdr:rowOff>
    </xdr:from>
    <xdr:to>
      <xdr:col>5</xdr:col>
      <xdr:colOff>251460</xdr:colOff>
      <xdr:row>7</xdr:row>
      <xdr:rowOff>68580</xdr:rowOff>
    </xdr:to>
    <xdr:pic>
      <xdr:nvPicPr>
        <xdr:cNvPr id="3" name="Picture 2">
          <a:extLst>
            <a:ext uri="{FF2B5EF4-FFF2-40B4-BE49-F238E27FC236}">
              <a16:creationId xmlns:a16="http://schemas.microsoft.com/office/drawing/2014/main" id="{97429062-C6B1-4AC2-AC4C-34AA2473EFF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16780" y="1150620"/>
          <a:ext cx="67818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274320</xdr:colOff>
      <xdr:row>6</xdr:row>
      <xdr:rowOff>83820</xdr:rowOff>
    </xdr:from>
    <xdr:to>
      <xdr:col>5</xdr:col>
      <xdr:colOff>358140</xdr:colOff>
      <xdr:row>7</xdr:row>
      <xdr:rowOff>76200</xdr:rowOff>
    </xdr:to>
    <xdr:pic>
      <xdr:nvPicPr>
        <xdr:cNvPr id="4" name="Picture 3">
          <a:extLst>
            <a:ext uri="{FF2B5EF4-FFF2-40B4-BE49-F238E27FC236}">
              <a16:creationId xmlns:a16="http://schemas.microsoft.com/office/drawing/2014/main" id="{AF5AFE56-6A39-4752-B2D5-5D47928DBF81}"/>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17820" y="1173480"/>
          <a:ext cx="83820"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220980</xdr:colOff>
      <xdr:row>6</xdr:row>
      <xdr:rowOff>0</xdr:rowOff>
    </xdr:from>
    <xdr:to>
      <xdr:col>8</xdr:col>
      <xdr:colOff>53340</xdr:colOff>
      <xdr:row>7</xdr:row>
      <xdr:rowOff>121920</xdr:rowOff>
    </xdr:to>
    <xdr:pic>
      <xdr:nvPicPr>
        <xdr:cNvPr id="5" name="Picture 4">
          <a:extLst>
            <a:ext uri="{FF2B5EF4-FFF2-40B4-BE49-F238E27FC236}">
              <a16:creationId xmlns:a16="http://schemas.microsoft.com/office/drawing/2014/main" id="{A3B48C3F-C033-48C7-9AD8-53CE37C7A5E2}"/>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74080" y="1089660"/>
          <a:ext cx="105156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Nikos">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28A4B-DB96-498C-89D3-3ACC06973381}">
  <dimension ref="A1:L33"/>
  <sheetViews>
    <sheetView workbookViewId="0">
      <selection activeCell="C22" sqref="C22"/>
    </sheetView>
  </sheetViews>
  <sheetFormatPr defaultRowHeight="13.8" x14ac:dyDescent="0.25"/>
  <cols>
    <col min="1" max="1" width="8.88671875" style="2"/>
    <col min="2" max="2" width="37" style="2" customWidth="1"/>
    <col min="3" max="3" width="11.5546875" style="2" customWidth="1"/>
    <col min="4" max="7" width="8.88671875" style="2"/>
    <col min="8" max="8" width="25.5546875" style="2" bestFit="1" customWidth="1"/>
    <col min="9" max="9" width="8.88671875" style="2"/>
    <col min="10" max="10" width="11.88671875" style="2" customWidth="1"/>
    <col min="11" max="11" width="15.33203125" style="2" customWidth="1"/>
    <col min="12" max="16384" width="8.88671875" style="2"/>
  </cols>
  <sheetData>
    <row r="1" spans="1:12" x14ac:dyDescent="0.25">
      <c r="A1" s="143" t="s">
        <v>0</v>
      </c>
      <c r="B1" s="143"/>
      <c r="C1" s="143"/>
      <c r="D1" s="143"/>
      <c r="E1" s="143"/>
      <c r="F1" s="1"/>
      <c r="H1" s="3" t="s">
        <v>1</v>
      </c>
    </row>
    <row r="2" spans="1:12" x14ac:dyDescent="0.25">
      <c r="A2" s="143"/>
      <c r="B2" s="143"/>
      <c r="C2" s="143"/>
      <c r="D2" s="143"/>
      <c r="E2" s="143"/>
      <c r="F2" s="1"/>
      <c r="H2" s="4" t="s">
        <v>2</v>
      </c>
      <c r="I2" s="4"/>
      <c r="J2" s="5">
        <v>0.5</v>
      </c>
      <c r="K2" s="5">
        <v>0.3</v>
      </c>
      <c r="L2" s="5">
        <v>0.2</v>
      </c>
    </row>
    <row r="3" spans="1:12" x14ac:dyDescent="0.25">
      <c r="C3" s="2" t="s">
        <v>3</v>
      </c>
      <c r="H3" s="4" t="s">
        <v>4</v>
      </c>
      <c r="I3" s="4"/>
      <c r="J3" s="6" t="s">
        <v>5</v>
      </c>
      <c r="K3" s="6" t="s">
        <v>6</v>
      </c>
      <c r="L3" s="6" t="s">
        <v>7</v>
      </c>
    </row>
    <row r="4" spans="1:12" x14ac:dyDescent="0.25">
      <c r="B4" s="7" t="s">
        <v>8</v>
      </c>
      <c r="H4" s="4" t="s">
        <v>9</v>
      </c>
      <c r="I4" s="6" t="s">
        <v>10</v>
      </c>
      <c r="J4" s="4"/>
      <c r="K4" s="4"/>
      <c r="L4" s="4"/>
    </row>
    <row r="5" spans="1:12" x14ac:dyDescent="0.25">
      <c r="B5" s="2" t="s">
        <v>11</v>
      </c>
      <c r="C5" s="8">
        <v>220000</v>
      </c>
      <c r="H5" s="4" t="str">
        <f t="shared" ref="H5:I11" si="0">B9</f>
        <v>Vessel repair expense</v>
      </c>
      <c r="I5" s="9">
        <f t="shared" si="0"/>
        <v>13000</v>
      </c>
      <c r="J5" s="9">
        <f>I5</f>
        <v>13000</v>
      </c>
      <c r="K5" s="9"/>
      <c r="L5" s="9"/>
    </row>
    <row r="6" spans="1:12" x14ac:dyDescent="0.25">
      <c r="B6" s="2" t="s">
        <v>12</v>
      </c>
      <c r="C6" s="8">
        <v>100000</v>
      </c>
      <c r="H6" s="4" t="str">
        <f t="shared" si="0"/>
        <v>Vessel depreciation</v>
      </c>
      <c r="I6" s="9">
        <f t="shared" si="0"/>
        <v>48000</v>
      </c>
      <c r="J6" s="9">
        <f t="shared" ref="J6:J8" si="1">I6</f>
        <v>48000</v>
      </c>
      <c r="K6" s="9"/>
      <c r="L6" s="9"/>
    </row>
    <row r="7" spans="1:12" x14ac:dyDescent="0.25">
      <c r="B7" s="2" t="s">
        <v>13</v>
      </c>
      <c r="C7" s="8">
        <v>3000</v>
      </c>
      <c r="H7" s="4" t="str">
        <f t="shared" si="0"/>
        <v>Vessel fuel expense</v>
      </c>
      <c r="I7" s="9">
        <f t="shared" si="0"/>
        <v>18000</v>
      </c>
      <c r="J7" s="9">
        <f t="shared" si="1"/>
        <v>18000</v>
      </c>
      <c r="K7" s="9"/>
      <c r="L7" s="9"/>
    </row>
    <row r="8" spans="1:12" x14ac:dyDescent="0.25">
      <c r="B8" s="7" t="s">
        <v>14</v>
      </c>
      <c r="H8" s="4" t="str">
        <f t="shared" si="0"/>
        <v>Crew salaries</v>
      </c>
      <c r="I8" s="9">
        <f t="shared" si="0"/>
        <v>39000</v>
      </c>
      <c r="J8" s="9">
        <f t="shared" si="1"/>
        <v>39000</v>
      </c>
      <c r="K8" s="9"/>
      <c r="L8" s="9"/>
    </row>
    <row r="9" spans="1:12" x14ac:dyDescent="0.25">
      <c r="B9" s="2" t="s">
        <v>15</v>
      </c>
      <c r="C9" s="8">
        <v>13000</v>
      </c>
      <c r="H9" s="4" t="str">
        <f t="shared" si="0"/>
        <v>Insurance expense</v>
      </c>
      <c r="I9" s="9">
        <f t="shared" si="0"/>
        <v>8000</v>
      </c>
      <c r="J9" s="9">
        <f>$I$9*J2</f>
        <v>4000</v>
      </c>
      <c r="K9" s="9">
        <f>$I$9*K2</f>
        <v>2400</v>
      </c>
      <c r="L9" s="9">
        <f>$I$9*L2</f>
        <v>1600</v>
      </c>
    </row>
    <row r="10" spans="1:12" x14ac:dyDescent="0.25">
      <c r="B10" s="2" t="s">
        <v>16</v>
      </c>
      <c r="C10" s="8">
        <v>48000</v>
      </c>
      <c r="H10" s="4" t="str">
        <f t="shared" si="0"/>
        <v>Salaries of administrative staff</v>
      </c>
      <c r="I10" s="9">
        <f t="shared" si="0"/>
        <v>16000</v>
      </c>
      <c r="J10" s="9"/>
      <c r="K10" s="9">
        <f>I10</f>
        <v>16000</v>
      </c>
      <c r="L10" s="9"/>
    </row>
    <row r="11" spans="1:12" x14ac:dyDescent="0.25">
      <c r="B11" s="2" t="s">
        <v>17</v>
      </c>
      <c r="C11" s="8">
        <v>18000</v>
      </c>
      <c r="H11" s="4" t="str">
        <f t="shared" si="0"/>
        <v>Salaries of selling staff</v>
      </c>
      <c r="I11" s="9">
        <f t="shared" si="0"/>
        <v>12000</v>
      </c>
      <c r="J11" s="9"/>
      <c r="K11" s="9"/>
      <c r="L11" s="9">
        <f>I11</f>
        <v>12000</v>
      </c>
    </row>
    <row r="12" spans="1:12" x14ac:dyDescent="0.25">
      <c r="B12" s="2" t="s">
        <v>18</v>
      </c>
      <c r="C12" s="8">
        <v>39000</v>
      </c>
      <c r="H12" s="4" t="str">
        <f t="shared" ref="H12:I14" si="2">B17</f>
        <v>Management fees</v>
      </c>
      <c r="I12" s="9">
        <f t="shared" si="2"/>
        <v>3000</v>
      </c>
      <c r="J12" s="9"/>
      <c r="K12" s="9">
        <f>I12</f>
        <v>3000</v>
      </c>
      <c r="L12" s="9"/>
    </row>
    <row r="13" spans="1:12" x14ac:dyDescent="0.25">
      <c r="B13" s="2" t="s">
        <v>19</v>
      </c>
      <c r="C13" s="8">
        <v>8000</v>
      </c>
      <c r="H13" s="4" t="str">
        <f t="shared" si="2"/>
        <v>Electricity expense</v>
      </c>
      <c r="I13" s="9">
        <f t="shared" si="2"/>
        <v>2000</v>
      </c>
      <c r="J13" s="9">
        <f>$I$13*J2</f>
        <v>1000</v>
      </c>
      <c r="K13" s="9">
        <f>$I$13*K2</f>
        <v>600</v>
      </c>
      <c r="L13" s="9">
        <f>$I$13*L2</f>
        <v>400</v>
      </c>
    </row>
    <row r="14" spans="1:12" x14ac:dyDescent="0.25">
      <c r="B14" s="2" t="s">
        <v>20</v>
      </c>
      <c r="C14" s="8">
        <v>16000</v>
      </c>
      <c r="H14" s="4" t="str">
        <f t="shared" si="2"/>
        <v>Telecommunication expense</v>
      </c>
      <c r="I14" s="9">
        <f t="shared" si="2"/>
        <v>1000</v>
      </c>
      <c r="J14" s="9">
        <f>$I$14*J2</f>
        <v>500</v>
      </c>
      <c r="K14" s="9">
        <f>$I$14*K2</f>
        <v>300</v>
      </c>
      <c r="L14" s="9">
        <f>$I$14*L2</f>
        <v>200</v>
      </c>
    </row>
    <row r="15" spans="1:12" x14ac:dyDescent="0.25">
      <c r="B15" s="2" t="s">
        <v>21</v>
      </c>
      <c r="C15" s="8">
        <v>12000</v>
      </c>
      <c r="H15" s="4" t="s">
        <v>10</v>
      </c>
      <c r="I15" s="9">
        <f>SUM(I5:I14)</f>
        <v>160000</v>
      </c>
      <c r="J15" s="9">
        <f t="shared" ref="J15:L15" si="3">SUM(J5:J14)</f>
        <v>123500</v>
      </c>
      <c r="K15" s="9">
        <f t="shared" si="3"/>
        <v>22300</v>
      </c>
      <c r="L15" s="9">
        <f t="shared" si="3"/>
        <v>14200</v>
      </c>
    </row>
    <row r="16" spans="1:12" x14ac:dyDescent="0.25">
      <c r="B16" s="2" t="s">
        <v>22</v>
      </c>
      <c r="C16" s="8">
        <v>6000</v>
      </c>
    </row>
    <row r="17" spans="1:10" x14ac:dyDescent="0.25">
      <c r="B17" s="2" t="s">
        <v>23</v>
      </c>
      <c r="C17" s="8">
        <v>3000</v>
      </c>
      <c r="H17" s="3" t="s">
        <v>24</v>
      </c>
      <c r="I17" s="3"/>
      <c r="J17" s="3"/>
    </row>
    <row r="18" spans="1:10" x14ac:dyDescent="0.25">
      <c r="B18" s="2" t="s">
        <v>25</v>
      </c>
      <c r="C18" s="8">
        <v>2000</v>
      </c>
      <c r="H18" s="3" t="s">
        <v>26</v>
      </c>
      <c r="I18" s="3"/>
      <c r="J18" s="3"/>
    </row>
    <row r="19" spans="1:10" x14ac:dyDescent="0.25">
      <c r="B19" s="2" t="s">
        <v>27</v>
      </c>
      <c r="C19" s="8">
        <v>1000</v>
      </c>
      <c r="H19" s="2" t="str">
        <f>B5</f>
        <v>Transportation revenues</v>
      </c>
      <c r="J19" s="10">
        <f>C5</f>
        <v>220000</v>
      </c>
    </row>
    <row r="20" spans="1:10" x14ac:dyDescent="0.25">
      <c r="B20" s="2" t="s">
        <v>28</v>
      </c>
      <c r="C20" s="8">
        <v>28000</v>
      </c>
      <c r="H20" s="2" t="str">
        <f>B6</f>
        <v>Charter revenues</v>
      </c>
      <c r="J20" s="10">
        <f>C6</f>
        <v>100000</v>
      </c>
    </row>
    <row r="21" spans="1:10" x14ac:dyDescent="0.25">
      <c r="B21" s="2" t="s">
        <v>29</v>
      </c>
      <c r="C21" s="8">
        <v>5000</v>
      </c>
      <c r="G21" s="2" t="s">
        <v>30</v>
      </c>
      <c r="H21" s="2" t="s">
        <v>31</v>
      </c>
      <c r="J21" s="11">
        <f>-J15</f>
        <v>-123500</v>
      </c>
    </row>
    <row r="22" spans="1:10" x14ac:dyDescent="0.25">
      <c r="A22" s="2" t="s">
        <v>32</v>
      </c>
      <c r="H22" s="3" t="s">
        <v>33</v>
      </c>
      <c r="I22" s="3"/>
      <c r="J22" s="12">
        <f>SUM(J19:J21)</f>
        <v>196500</v>
      </c>
    </row>
    <row r="23" spans="1:10" x14ac:dyDescent="0.25">
      <c r="A23" s="143" t="s">
        <v>34</v>
      </c>
      <c r="B23" s="143"/>
      <c r="C23" s="143"/>
      <c r="D23" s="143"/>
      <c r="E23" s="143"/>
      <c r="F23" s="1"/>
      <c r="G23" s="2" t="s">
        <v>30</v>
      </c>
      <c r="H23" s="2" t="s">
        <v>35</v>
      </c>
      <c r="I23" s="10">
        <f>-K15</f>
        <v>-22300</v>
      </c>
    </row>
    <row r="24" spans="1:10" x14ac:dyDescent="0.25">
      <c r="A24" s="143"/>
      <c r="B24" s="143"/>
      <c r="C24" s="143"/>
      <c r="D24" s="143"/>
      <c r="E24" s="143"/>
      <c r="F24" s="1"/>
      <c r="H24" s="2" t="s">
        <v>36</v>
      </c>
      <c r="I24" s="11">
        <f>-L15</f>
        <v>-14200</v>
      </c>
      <c r="J24" s="11">
        <f>SUM(I23:I24)</f>
        <v>-36500</v>
      </c>
    </row>
    <row r="25" spans="1:10" x14ac:dyDescent="0.25">
      <c r="A25" s="143"/>
      <c r="B25" s="143"/>
      <c r="C25" s="143"/>
      <c r="D25" s="143"/>
      <c r="E25" s="143"/>
      <c r="F25" s="1"/>
      <c r="H25" s="3" t="s">
        <v>37</v>
      </c>
      <c r="I25" s="3"/>
      <c r="J25" s="12">
        <f>J22+J24</f>
        <v>160000</v>
      </c>
    </row>
    <row r="26" spans="1:10" x14ac:dyDescent="0.25">
      <c r="A26" s="143"/>
      <c r="B26" s="143"/>
      <c r="C26" s="143"/>
      <c r="D26" s="143"/>
      <c r="E26" s="143"/>
      <c r="F26" s="1"/>
      <c r="G26" s="2" t="s">
        <v>38</v>
      </c>
      <c r="H26" s="7" t="s">
        <v>39</v>
      </c>
      <c r="I26" s="10"/>
    </row>
    <row r="27" spans="1:10" x14ac:dyDescent="0.25">
      <c r="A27" s="143"/>
      <c r="B27" s="143"/>
      <c r="C27" s="143"/>
      <c r="D27" s="143"/>
      <c r="E27" s="143"/>
      <c r="F27" s="1"/>
      <c r="H27" s="2" t="str">
        <f>B7</f>
        <v>Interest revenue</v>
      </c>
      <c r="I27" s="10">
        <f>C7</f>
        <v>3000</v>
      </c>
    </row>
    <row r="28" spans="1:10" x14ac:dyDescent="0.25">
      <c r="A28" s="2" t="s">
        <v>40</v>
      </c>
      <c r="H28" s="2" t="str">
        <f>B20</f>
        <v>Interest expense</v>
      </c>
      <c r="I28" s="11">
        <f>-C20</f>
        <v>-28000</v>
      </c>
      <c r="J28" s="10">
        <f>SUM(I27:I28)</f>
        <v>-25000</v>
      </c>
    </row>
    <row r="29" spans="1:10" x14ac:dyDescent="0.25">
      <c r="G29" s="2" t="s">
        <v>38</v>
      </c>
      <c r="H29" s="7" t="s">
        <v>41</v>
      </c>
      <c r="I29" s="10"/>
    </row>
    <row r="30" spans="1:10" x14ac:dyDescent="0.25">
      <c r="H30" s="2" t="str">
        <f>B16</f>
        <v>Loss from sale of vessels</v>
      </c>
      <c r="J30" s="11">
        <f>-C16</f>
        <v>-6000</v>
      </c>
    </row>
    <row r="31" spans="1:10" x14ac:dyDescent="0.25">
      <c r="H31" s="3" t="s">
        <v>42</v>
      </c>
      <c r="I31" s="3"/>
      <c r="J31" s="12">
        <f>J25+J28+J30</f>
        <v>129000</v>
      </c>
    </row>
    <row r="32" spans="1:10" x14ac:dyDescent="0.25">
      <c r="G32" s="2" t="s">
        <v>30</v>
      </c>
      <c r="H32" s="2" t="str">
        <f>B21</f>
        <v>Tax expense</v>
      </c>
      <c r="J32" s="11">
        <f>-C21</f>
        <v>-5000</v>
      </c>
    </row>
    <row r="33" spans="8:10" x14ac:dyDescent="0.25">
      <c r="H33" s="3" t="s">
        <v>43</v>
      </c>
      <c r="I33" s="3"/>
      <c r="J33" s="12">
        <f>J31+J32</f>
        <v>124000</v>
      </c>
    </row>
  </sheetData>
  <mergeCells count="2">
    <mergeCell ref="A1:E2"/>
    <mergeCell ref="A23:E2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2D0B4-AABB-48CC-B9C2-435AD1977953}">
  <dimension ref="A1:K21"/>
  <sheetViews>
    <sheetView workbookViewId="0">
      <selection activeCell="A25" sqref="A25:E27"/>
    </sheetView>
  </sheetViews>
  <sheetFormatPr defaultRowHeight="13.8" x14ac:dyDescent="0.25"/>
  <cols>
    <col min="1" max="1" width="22.21875" customWidth="1"/>
    <col min="2" max="2" width="13.5546875" customWidth="1"/>
    <col min="3" max="3" width="17.44140625" customWidth="1"/>
    <col min="4" max="4" width="16.109375" customWidth="1"/>
    <col min="5" max="5" width="16.6640625" customWidth="1"/>
    <col min="7" max="7" width="33.6640625" customWidth="1"/>
    <col min="8" max="8" width="11.77734375" customWidth="1"/>
    <col min="9" max="9" width="9.77734375" customWidth="1"/>
    <col min="10" max="10" width="11.33203125" customWidth="1"/>
  </cols>
  <sheetData>
    <row r="1" spans="1:11" x14ac:dyDescent="0.25">
      <c r="A1" s="177" t="s">
        <v>373</v>
      </c>
      <c r="B1" s="177"/>
      <c r="C1" s="177"/>
      <c r="D1" s="177"/>
      <c r="E1" s="177"/>
      <c r="F1" s="50"/>
      <c r="G1" s="52" t="s">
        <v>1</v>
      </c>
      <c r="H1" s="50"/>
      <c r="I1" s="50"/>
      <c r="J1" s="50"/>
    </row>
    <row r="2" spans="1:11" x14ac:dyDescent="0.25">
      <c r="A2" s="177"/>
      <c r="B2" s="177"/>
      <c r="C2" s="177"/>
      <c r="D2" s="177"/>
      <c r="E2" s="177"/>
      <c r="F2" s="192"/>
      <c r="G2" s="192" t="s">
        <v>374</v>
      </c>
      <c r="H2" s="192">
        <f>138000/3</f>
        <v>46000</v>
      </c>
      <c r="I2" s="192"/>
      <c r="J2" s="192"/>
    </row>
    <row r="3" spans="1:11" ht="14.4" thickBot="1" x14ac:dyDescent="0.3">
      <c r="A3" s="171"/>
      <c r="B3" s="171"/>
      <c r="C3" s="171"/>
      <c r="D3" s="171"/>
      <c r="E3" s="171"/>
      <c r="F3" s="192"/>
      <c r="G3" t="s">
        <v>375</v>
      </c>
      <c r="H3" s="126">
        <f>B14*20%+B15*10%</f>
        <v>5800</v>
      </c>
      <c r="I3" s="192"/>
      <c r="J3" s="192"/>
    </row>
    <row r="4" spans="1:11" x14ac:dyDescent="0.25">
      <c r="A4" s="193"/>
      <c r="B4" s="194"/>
      <c r="C4" s="195" t="s">
        <v>376</v>
      </c>
      <c r="D4" s="195"/>
      <c r="E4" s="196"/>
      <c r="G4" t="s">
        <v>377</v>
      </c>
      <c r="H4" s="126">
        <f>H2-H3</f>
        <v>40200</v>
      </c>
    </row>
    <row r="5" spans="1:11" x14ac:dyDescent="0.25">
      <c r="A5" s="197"/>
      <c r="B5" s="76"/>
      <c r="C5" s="198" t="s">
        <v>378</v>
      </c>
      <c r="D5" s="198" t="s">
        <v>379</v>
      </c>
      <c r="E5" s="199" t="s">
        <v>380</v>
      </c>
      <c r="G5" s="105" t="s">
        <v>381</v>
      </c>
      <c r="H5" s="200">
        <f>-E7-H2</f>
        <v>60000</v>
      </c>
    </row>
    <row r="6" spans="1:11" x14ac:dyDescent="0.25">
      <c r="A6" s="197"/>
      <c r="B6" s="111" t="s">
        <v>382</v>
      </c>
      <c r="C6" s="201">
        <v>254000</v>
      </c>
      <c r="D6" s="201">
        <v>183000</v>
      </c>
      <c r="E6" s="202">
        <v>97000</v>
      </c>
    </row>
    <row r="7" spans="1:11" x14ac:dyDescent="0.25">
      <c r="A7" s="203" t="s">
        <v>30</v>
      </c>
      <c r="B7" s="111" t="s">
        <v>383</v>
      </c>
      <c r="C7" s="204">
        <v>-213000</v>
      </c>
      <c r="D7" s="204">
        <v>-163000</v>
      </c>
      <c r="E7" s="205">
        <v>-106000</v>
      </c>
    </row>
    <row r="8" spans="1:11" ht="14.4" thickBot="1" x14ac:dyDescent="0.3">
      <c r="A8" s="206"/>
      <c r="B8" s="207" t="s">
        <v>384</v>
      </c>
      <c r="C8" s="208">
        <v>41000</v>
      </c>
      <c r="D8" s="208">
        <v>20000</v>
      </c>
      <c r="E8" s="209">
        <v>-9000</v>
      </c>
      <c r="G8" s="210" t="s">
        <v>385</v>
      </c>
    </row>
    <row r="9" spans="1:11" x14ac:dyDescent="0.25">
      <c r="A9" s="211" t="s">
        <v>386</v>
      </c>
      <c r="B9" s="211"/>
      <c r="C9" s="211"/>
      <c r="D9" s="211"/>
      <c r="E9" s="211"/>
      <c r="G9" t="s">
        <v>387</v>
      </c>
      <c r="H9" t="s">
        <v>388</v>
      </c>
      <c r="I9" t="s">
        <v>389</v>
      </c>
      <c r="J9" t="s">
        <v>354</v>
      </c>
    </row>
    <row r="10" spans="1:11" x14ac:dyDescent="0.25">
      <c r="A10" s="177"/>
      <c r="B10" s="177"/>
      <c r="C10" s="177"/>
      <c r="D10" s="177"/>
      <c r="E10" s="177"/>
      <c r="G10" t="s">
        <v>144</v>
      </c>
      <c r="H10" s="212">
        <v>0</v>
      </c>
      <c r="I10" s="212">
        <f>E6</f>
        <v>97000</v>
      </c>
      <c r="J10" s="212">
        <f>ABS(H10-I10)</f>
        <v>97000</v>
      </c>
      <c r="K10" s="126" t="s">
        <v>261</v>
      </c>
    </row>
    <row r="11" spans="1:11" x14ac:dyDescent="0.25">
      <c r="A11" s="114" t="s">
        <v>99</v>
      </c>
      <c r="B11" s="76"/>
      <c r="G11" t="s">
        <v>128</v>
      </c>
      <c r="H11" s="212">
        <v>0</v>
      </c>
      <c r="I11" s="212">
        <v>60000</v>
      </c>
      <c r="J11" s="212">
        <f t="shared" ref="J11:J14" si="0">ABS(H11-I11)</f>
        <v>60000</v>
      </c>
      <c r="K11" s="126" t="s">
        <v>257</v>
      </c>
    </row>
    <row r="12" spans="1:11" x14ac:dyDescent="0.25">
      <c r="A12" s="111" t="s">
        <v>390</v>
      </c>
      <c r="B12" s="184">
        <v>40000</v>
      </c>
      <c r="G12" t="s">
        <v>306</v>
      </c>
      <c r="H12" s="212">
        <f>H10-H11</f>
        <v>0</v>
      </c>
      <c r="I12" s="212">
        <f>I10-I11</f>
        <v>37000</v>
      </c>
      <c r="J12" s="212">
        <f t="shared" si="0"/>
        <v>37000</v>
      </c>
      <c r="K12" s="126" t="s">
        <v>261</v>
      </c>
    </row>
    <row r="13" spans="1:11" x14ac:dyDescent="0.25">
      <c r="A13" s="111" t="s">
        <v>391</v>
      </c>
      <c r="B13" s="184">
        <v>60000</v>
      </c>
      <c r="G13" t="s">
        <v>99</v>
      </c>
      <c r="H13" s="212">
        <f>H4</f>
        <v>40200</v>
      </c>
      <c r="I13" s="212">
        <v>46000</v>
      </c>
      <c r="J13" s="212">
        <f t="shared" si="0"/>
        <v>5800</v>
      </c>
      <c r="K13" s="126" t="s">
        <v>257</v>
      </c>
    </row>
    <row r="14" spans="1:11" x14ac:dyDescent="0.25">
      <c r="A14" s="111" t="s">
        <v>392</v>
      </c>
      <c r="B14" s="184">
        <v>20000</v>
      </c>
      <c r="G14" s="111" t="s">
        <v>346</v>
      </c>
      <c r="H14" s="212">
        <f>H12-H13</f>
        <v>-40200</v>
      </c>
      <c r="I14" s="212">
        <f>I12-I13</f>
        <v>-9000</v>
      </c>
      <c r="J14" s="212">
        <f t="shared" si="0"/>
        <v>31200</v>
      </c>
      <c r="K14" s="126" t="s">
        <v>261</v>
      </c>
    </row>
    <row r="15" spans="1:11" x14ac:dyDescent="0.25">
      <c r="A15" s="111" t="s">
        <v>393</v>
      </c>
      <c r="B15" s="213">
        <v>18000</v>
      </c>
      <c r="G15" s="111"/>
    </row>
    <row r="16" spans="1:11" x14ac:dyDescent="0.25">
      <c r="A16" s="111" t="s">
        <v>10</v>
      </c>
      <c r="B16" s="184">
        <v>138000</v>
      </c>
      <c r="G16" s="214" t="s">
        <v>394</v>
      </c>
      <c r="H16" s="214"/>
      <c r="I16" s="214"/>
      <c r="J16" s="214"/>
      <c r="K16" s="214"/>
    </row>
    <row r="17" spans="1:11" x14ac:dyDescent="0.25">
      <c r="A17" s="155" t="s">
        <v>395</v>
      </c>
      <c r="B17" s="155"/>
      <c r="C17" s="155"/>
      <c r="D17" s="155"/>
      <c r="E17" s="155"/>
      <c r="G17" s="214"/>
      <c r="H17" s="214"/>
      <c r="I17" s="214"/>
      <c r="J17" s="214"/>
      <c r="K17" s="214"/>
    </row>
    <row r="18" spans="1:11" x14ac:dyDescent="0.25">
      <c r="A18" s="155"/>
      <c r="B18" s="155"/>
      <c r="C18" s="155"/>
      <c r="D18" s="155"/>
      <c r="E18" s="155"/>
    </row>
    <row r="19" spans="1:11" x14ac:dyDescent="0.25">
      <c r="A19" s="179" t="s">
        <v>396</v>
      </c>
      <c r="B19" s="179"/>
      <c r="C19" s="179"/>
      <c r="D19" s="179"/>
      <c r="E19" s="179"/>
      <c r="G19" s="191" t="s">
        <v>370</v>
      </c>
      <c r="H19" s="191"/>
      <c r="I19" s="191"/>
      <c r="J19" s="191"/>
    </row>
    <row r="20" spans="1:11" x14ac:dyDescent="0.25">
      <c r="G20" s="191"/>
      <c r="H20" s="191"/>
      <c r="I20" s="191"/>
      <c r="J20" s="191"/>
    </row>
    <row r="21" spans="1:11" x14ac:dyDescent="0.25">
      <c r="G21" s="191"/>
      <c r="H21" s="191"/>
      <c r="I21" s="191"/>
      <c r="J21" s="191"/>
    </row>
  </sheetData>
  <mergeCells count="7">
    <mergeCell ref="A1:E3"/>
    <mergeCell ref="C4:E4"/>
    <mergeCell ref="A9:E10"/>
    <mergeCell ref="G16:K17"/>
    <mergeCell ref="A17:E18"/>
    <mergeCell ref="A19:E19"/>
    <mergeCell ref="G19:J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74DD-C774-4744-BB03-6242A3152BBF}">
  <dimension ref="A1:K33"/>
  <sheetViews>
    <sheetView tabSelected="1" workbookViewId="0">
      <selection activeCell="A25" sqref="A25:E27"/>
    </sheetView>
  </sheetViews>
  <sheetFormatPr defaultRowHeight="13.8" x14ac:dyDescent="0.25"/>
  <cols>
    <col min="1" max="1" width="60.5546875" customWidth="1"/>
    <col min="7" max="7" width="25.33203125" customWidth="1"/>
    <col min="9" max="9" width="34.33203125" customWidth="1"/>
    <col min="10" max="10" width="9.109375" bestFit="1" customWidth="1"/>
  </cols>
  <sheetData>
    <row r="1" spans="1:11" x14ac:dyDescent="0.25">
      <c r="A1" s="155" t="s">
        <v>397</v>
      </c>
      <c r="B1" s="155"/>
      <c r="C1" s="155"/>
      <c r="D1" s="155"/>
      <c r="E1" s="155"/>
      <c r="F1" s="107"/>
      <c r="G1" s="215" t="s">
        <v>1</v>
      </c>
      <c r="H1" s="107"/>
      <c r="I1" s="107"/>
      <c r="J1" s="107"/>
      <c r="K1" s="107"/>
    </row>
    <row r="2" spans="1:11" x14ac:dyDescent="0.25">
      <c r="A2" s="155"/>
      <c r="B2" s="155"/>
      <c r="C2" s="155"/>
      <c r="D2" s="155"/>
      <c r="E2" s="155"/>
      <c r="F2" s="107"/>
      <c r="G2" s="216" t="s">
        <v>398</v>
      </c>
      <c r="H2" s="76"/>
      <c r="I2" s="216" t="s">
        <v>399</v>
      </c>
      <c r="J2" s="76"/>
      <c r="K2" s="107"/>
    </row>
    <row r="3" spans="1:11" x14ac:dyDescent="0.25">
      <c r="A3" s="217"/>
      <c r="B3" s="217"/>
      <c r="C3" s="217"/>
      <c r="D3" s="217"/>
      <c r="E3" s="217"/>
      <c r="F3" s="107"/>
      <c r="G3" s="218" t="s">
        <v>400</v>
      </c>
      <c r="H3" s="182">
        <f>B9</f>
        <v>63</v>
      </c>
      <c r="I3" s="218" t="s">
        <v>400</v>
      </c>
      <c r="J3" s="182">
        <f>C9</f>
        <v>63</v>
      </c>
      <c r="K3" s="107"/>
    </row>
    <row r="4" spans="1:11" x14ac:dyDescent="0.25">
      <c r="A4" s="219" t="s">
        <v>401</v>
      </c>
      <c r="B4" s="45">
        <v>1</v>
      </c>
      <c r="C4" s="45">
        <v>2</v>
      </c>
      <c r="D4" s="45">
        <v>3</v>
      </c>
      <c r="E4" s="45">
        <v>4</v>
      </c>
      <c r="G4" s="218" t="s">
        <v>402</v>
      </c>
      <c r="H4" s="182">
        <v>0</v>
      </c>
      <c r="I4" s="218" t="s">
        <v>402</v>
      </c>
      <c r="J4" s="182">
        <v>0</v>
      </c>
    </row>
    <row r="5" spans="1:11" x14ac:dyDescent="0.25">
      <c r="A5" s="220" t="s">
        <v>403</v>
      </c>
      <c r="B5" s="221"/>
      <c r="C5" s="221"/>
      <c r="D5" s="221"/>
      <c r="E5" s="221"/>
      <c r="G5" s="218" t="s">
        <v>404</v>
      </c>
      <c r="H5" s="182">
        <v>0</v>
      </c>
      <c r="I5" s="216" t="s">
        <v>405</v>
      </c>
      <c r="J5" s="76"/>
    </row>
    <row r="6" spans="1:11" x14ac:dyDescent="0.25">
      <c r="A6" s="222" t="s">
        <v>406</v>
      </c>
      <c r="B6" s="49">
        <v>50000</v>
      </c>
      <c r="C6" s="49">
        <v>50000</v>
      </c>
      <c r="D6" s="49">
        <v>50000</v>
      </c>
      <c r="E6" s="49">
        <v>50000</v>
      </c>
      <c r="G6" s="218" t="s">
        <v>407</v>
      </c>
      <c r="H6" s="182">
        <f>H3+H4+H5</f>
        <v>63</v>
      </c>
      <c r="I6" s="218" t="s">
        <v>408</v>
      </c>
      <c r="J6" s="182">
        <f>C8</f>
        <v>104</v>
      </c>
    </row>
    <row r="7" spans="1:11" x14ac:dyDescent="0.25">
      <c r="A7" s="222" t="s">
        <v>409</v>
      </c>
      <c r="B7" s="49">
        <v>40000</v>
      </c>
      <c r="C7" s="49">
        <v>40000</v>
      </c>
      <c r="D7" s="49">
        <v>45000</v>
      </c>
      <c r="E7" s="49">
        <v>50000</v>
      </c>
      <c r="G7" s="218" t="s">
        <v>410</v>
      </c>
      <c r="H7" s="182">
        <f>MIN(B15,B18-B16)</f>
        <v>93</v>
      </c>
      <c r="I7" s="218" t="s">
        <v>411</v>
      </c>
      <c r="J7" s="223">
        <f>C9+C10</f>
        <v>68</v>
      </c>
    </row>
    <row r="8" spans="1:11" x14ac:dyDescent="0.25">
      <c r="A8" s="222" t="s">
        <v>412</v>
      </c>
      <c r="B8" s="48">
        <v>104</v>
      </c>
      <c r="C8" s="48">
        <v>104</v>
      </c>
      <c r="D8" s="48">
        <v>104</v>
      </c>
      <c r="E8" s="48">
        <v>104</v>
      </c>
      <c r="G8" s="218" t="s">
        <v>413</v>
      </c>
      <c r="H8" s="76"/>
      <c r="I8" s="218" t="s">
        <v>338</v>
      </c>
      <c r="J8" s="182">
        <f>J6-J7</f>
        <v>36</v>
      </c>
    </row>
    <row r="9" spans="1:11" x14ac:dyDescent="0.25">
      <c r="A9" s="222" t="s">
        <v>414</v>
      </c>
      <c r="B9" s="48">
        <v>63</v>
      </c>
      <c r="C9" s="48">
        <v>63</v>
      </c>
      <c r="D9" s="48">
        <v>63</v>
      </c>
      <c r="E9" s="48">
        <v>63</v>
      </c>
      <c r="G9" s="218" t="s">
        <v>415</v>
      </c>
      <c r="H9" s="182">
        <f>H7-H6</f>
        <v>30</v>
      </c>
      <c r="I9" s="218" t="s">
        <v>416</v>
      </c>
      <c r="J9" s="184">
        <f>C14-(C6-C7)</f>
        <v>5000</v>
      </c>
    </row>
    <row r="10" spans="1:11" x14ac:dyDescent="0.25">
      <c r="A10" s="222" t="s">
        <v>417</v>
      </c>
      <c r="B10" s="48">
        <v>5</v>
      </c>
      <c r="C10" s="48">
        <v>5</v>
      </c>
      <c r="D10" s="48">
        <v>5</v>
      </c>
      <c r="E10" s="48">
        <v>5</v>
      </c>
      <c r="G10" s="218" t="s">
        <v>418</v>
      </c>
      <c r="H10" s="184">
        <v>10000</v>
      </c>
      <c r="I10" s="218" t="s">
        <v>419</v>
      </c>
      <c r="J10" s="184">
        <f>J8*J9</f>
        <v>180000</v>
      </c>
    </row>
    <row r="11" spans="1:11" ht="27.6" x14ac:dyDescent="0.25">
      <c r="A11" s="224" t="s">
        <v>420</v>
      </c>
      <c r="B11" s="48">
        <v>25</v>
      </c>
      <c r="C11" s="48">
        <v>25</v>
      </c>
      <c r="D11" s="48">
        <v>25</v>
      </c>
      <c r="E11" s="48">
        <v>25</v>
      </c>
      <c r="G11" s="218" t="s">
        <v>413</v>
      </c>
      <c r="H11" s="184">
        <f>H9*H10</f>
        <v>300000</v>
      </c>
      <c r="I11" s="218" t="s">
        <v>418</v>
      </c>
      <c r="J11" s="184">
        <f>C14</f>
        <v>15000</v>
      </c>
    </row>
    <row r="12" spans="1:11" x14ac:dyDescent="0.25">
      <c r="A12" s="222" t="s">
        <v>421</v>
      </c>
      <c r="B12" s="48" t="s">
        <v>133</v>
      </c>
      <c r="C12" s="48" t="s">
        <v>133</v>
      </c>
      <c r="D12" s="49">
        <v>18000</v>
      </c>
      <c r="E12" s="48" t="s">
        <v>133</v>
      </c>
      <c r="G12" s="76"/>
      <c r="H12" s="76"/>
      <c r="I12" s="218" t="s">
        <v>422</v>
      </c>
      <c r="J12" s="182">
        <f>J10/J11</f>
        <v>12</v>
      </c>
    </row>
    <row r="13" spans="1:11" x14ac:dyDescent="0.25">
      <c r="A13" s="220" t="s">
        <v>423</v>
      </c>
      <c r="B13" s="221"/>
      <c r="C13" s="221"/>
      <c r="D13" s="221"/>
      <c r="E13" s="221"/>
      <c r="G13" s="76"/>
      <c r="H13" s="76"/>
      <c r="I13" s="218" t="s">
        <v>407</v>
      </c>
      <c r="J13" s="182">
        <f>J3+J4+J12</f>
        <v>75</v>
      </c>
    </row>
    <row r="14" spans="1:11" x14ac:dyDescent="0.25">
      <c r="A14" s="222" t="s">
        <v>424</v>
      </c>
      <c r="B14" s="49">
        <v>10000</v>
      </c>
      <c r="C14" s="49">
        <v>15000</v>
      </c>
      <c r="D14" s="49">
        <v>15000</v>
      </c>
      <c r="E14" s="49">
        <v>10000</v>
      </c>
      <c r="G14" s="76"/>
      <c r="H14" s="76"/>
      <c r="I14" s="218" t="s">
        <v>410</v>
      </c>
      <c r="J14" s="182">
        <f>MIN(C15,C18-C16)</f>
        <v>95</v>
      </c>
    </row>
    <row r="15" spans="1:11" x14ac:dyDescent="0.25">
      <c r="A15" s="222" t="s">
        <v>425</v>
      </c>
      <c r="B15" s="48">
        <v>93</v>
      </c>
      <c r="C15" s="48">
        <v>95</v>
      </c>
      <c r="D15" s="48">
        <v>100</v>
      </c>
      <c r="E15" s="48" t="s">
        <v>426</v>
      </c>
    </row>
    <row r="16" spans="1:11" ht="55.2" x14ac:dyDescent="0.25">
      <c r="A16" s="222" t="s">
        <v>427</v>
      </c>
      <c r="B16" s="48">
        <v>4</v>
      </c>
      <c r="C16" s="48">
        <v>4</v>
      </c>
      <c r="D16" s="48">
        <v>4</v>
      </c>
      <c r="E16" s="48">
        <v>4</v>
      </c>
      <c r="G16" s="216" t="s">
        <v>428</v>
      </c>
      <c r="H16" s="76"/>
      <c r="I16" s="228" t="s">
        <v>443</v>
      </c>
      <c r="J16" s="76"/>
    </row>
    <row r="17" spans="1:10" x14ac:dyDescent="0.25">
      <c r="A17" s="222" t="s">
        <v>429</v>
      </c>
      <c r="B17" s="48">
        <v>10</v>
      </c>
      <c r="C17" s="48">
        <v>10</v>
      </c>
      <c r="D17" s="48">
        <v>10</v>
      </c>
      <c r="E17" s="48">
        <v>10</v>
      </c>
      <c r="G17" s="218" t="s">
        <v>430</v>
      </c>
      <c r="H17" s="182">
        <f>D9</f>
        <v>63</v>
      </c>
      <c r="I17" s="218" t="s">
        <v>430</v>
      </c>
      <c r="J17" s="182">
        <v>80</v>
      </c>
    </row>
    <row r="18" spans="1:10" x14ac:dyDescent="0.25">
      <c r="A18" s="222" t="s">
        <v>412</v>
      </c>
      <c r="B18" s="48">
        <v>150</v>
      </c>
      <c r="C18" s="48">
        <v>150</v>
      </c>
      <c r="D18" s="48">
        <v>150</v>
      </c>
      <c r="E18" s="48">
        <v>150</v>
      </c>
      <c r="G18" s="216" t="s">
        <v>402</v>
      </c>
      <c r="H18" s="76"/>
      <c r="I18" s="216" t="s">
        <v>402</v>
      </c>
      <c r="J18" s="76"/>
    </row>
    <row r="19" spans="1:10" x14ac:dyDescent="0.25">
      <c r="A19" s="225" t="s">
        <v>431</v>
      </c>
      <c r="B19" s="225"/>
      <c r="C19" s="225"/>
      <c r="D19" s="225"/>
      <c r="E19" s="225"/>
      <c r="G19" s="218" t="s">
        <v>402</v>
      </c>
      <c r="H19" s="184">
        <v>18000</v>
      </c>
      <c r="I19" s="218" t="s">
        <v>432</v>
      </c>
      <c r="J19" s="226">
        <f>E11*E7</f>
        <v>1250000</v>
      </c>
    </row>
    <row r="20" spans="1:10" ht="13.8" customHeight="1" x14ac:dyDescent="0.25">
      <c r="A20" s="214" t="s">
        <v>433</v>
      </c>
      <c r="B20" s="214"/>
      <c r="C20" s="214"/>
      <c r="D20" s="214"/>
      <c r="E20" s="214"/>
      <c r="G20" s="218" t="s">
        <v>418</v>
      </c>
      <c r="H20" s="184">
        <f>D14</f>
        <v>15000</v>
      </c>
      <c r="I20" s="218" t="s">
        <v>434</v>
      </c>
      <c r="J20" s="184">
        <f>J19*20%</f>
        <v>250000</v>
      </c>
    </row>
    <row r="21" spans="1:10" x14ac:dyDescent="0.25">
      <c r="A21" s="214"/>
      <c r="B21" s="214"/>
      <c r="C21" s="214"/>
      <c r="D21" s="214"/>
      <c r="E21" s="214"/>
      <c r="G21" s="218" t="s">
        <v>435</v>
      </c>
      <c r="H21" s="182">
        <f>H19/H20</f>
        <v>1.2</v>
      </c>
      <c r="I21" s="218" t="s">
        <v>418</v>
      </c>
      <c r="J21" s="184">
        <f>E14</f>
        <v>10000</v>
      </c>
    </row>
    <row r="22" spans="1:10" ht="13.8" customHeight="1" x14ac:dyDescent="0.25">
      <c r="A22" s="227" t="s">
        <v>436</v>
      </c>
      <c r="B22" s="227"/>
      <c r="C22" s="227"/>
      <c r="D22" s="227"/>
      <c r="E22" s="227"/>
      <c r="G22" s="216" t="s">
        <v>437</v>
      </c>
      <c r="H22" s="76"/>
      <c r="I22" s="218" t="s">
        <v>438</v>
      </c>
      <c r="J22" s="182">
        <f>J20/J21</f>
        <v>25</v>
      </c>
    </row>
    <row r="23" spans="1:10" ht="13.8" customHeight="1" x14ac:dyDescent="0.25">
      <c r="A23" s="214" t="s">
        <v>439</v>
      </c>
      <c r="B23" s="214"/>
      <c r="C23" s="214"/>
      <c r="D23" s="214"/>
      <c r="E23" s="214"/>
      <c r="G23" s="218" t="s">
        <v>408</v>
      </c>
      <c r="H23" s="182">
        <f>D8</f>
        <v>104</v>
      </c>
      <c r="I23" s="216" t="s">
        <v>405</v>
      </c>
      <c r="J23" s="76"/>
    </row>
    <row r="24" spans="1:10" x14ac:dyDescent="0.25">
      <c r="A24" s="214"/>
      <c r="B24" s="214"/>
      <c r="C24" s="214"/>
      <c r="D24" s="214"/>
      <c r="E24" s="214"/>
      <c r="G24" s="218" t="s">
        <v>411</v>
      </c>
      <c r="H24" s="223">
        <f>D9+D10</f>
        <v>68</v>
      </c>
      <c r="I24" s="218" t="s">
        <v>408</v>
      </c>
      <c r="J24" s="182">
        <f>E8</f>
        <v>104</v>
      </c>
    </row>
    <row r="25" spans="1:10" ht="16.8" customHeight="1" x14ac:dyDescent="0.25">
      <c r="A25" s="214" t="s">
        <v>440</v>
      </c>
      <c r="B25" s="214"/>
      <c r="C25" s="214"/>
      <c r="D25" s="214"/>
      <c r="E25" s="214"/>
      <c r="G25" s="218" t="s">
        <v>441</v>
      </c>
      <c r="H25" s="182">
        <f>H23-H24</f>
        <v>36</v>
      </c>
      <c r="I25" s="218" t="s">
        <v>411</v>
      </c>
      <c r="J25" s="182">
        <f>E9+E10</f>
        <v>68</v>
      </c>
    </row>
    <row r="26" spans="1:10" x14ac:dyDescent="0.25">
      <c r="A26" s="214"/>
      <c r="B26" s="214"/>
      <c r="C26" s="214"/>
      <c r="D26" s="214"/>
      <c r="E26" s="214"/>
      <c r="G26" s="218" t="s">
        <v>416</v>
      </c>
      <c r="H26" s="184">
        <f>D14-(D6-D7)</f>
        <v>10000</v>
      </c>
      <c r="I26" s="218" t="s">
        <v>441</v>
      </c>
      <c r="J26" s="182">
        <f>J24-J25</f>
        <v>36</v>
      </c>
    </row>
    <row r="27" spans="1:10" x14ac:dyDescent="0.25">
      <c r="A27" s="214"/>
      <c r="B27" s="214"/>
      <c r="C27" s="214"/>
      <c r="D27" s="214"/>
      <c r="E27" s="214"/>
      <c r="G27" s="218" t="s">
        <v>419</v>
      </c>
      <c r="H27" s="184">
        <f>H25*H26</f>
        <v>360000</v>
      </c>
      <c r="I27" s="218" t="s">
        <v>416</v>
      </c>
      <c r="J27" s="184">
        <f>E7*15%</f>
        <v>7500</v>
      </c>
    </row>
    <row r="28" spans="1:10" x14ac:dyDescent="0.25">
      <c r="G28" s="218" t="s">
        <v>418</v>
      </c>
      <c r="H28" s="184">
        <f>D14</f>
        <v>15000</v>
      </c>
      <c r="I28" s="218" t="s">
        <v>419</v>
      </c>
      <c r="J28" s="184">
        <f>J26*J27</f>
        <v>270000</v>
      </c>
    </row>
    <row r="29" spans="1:10" x14ac:dyDescent="0.25">
      <c r="G29" s="218" t="s">
        <v>442</v>
      </c>
      <c r="H29" s="182">
        <f>H27/H28</f>
        <v>24</v>
      </c>
      <c r="I29" s="218" t="s">
        <v>418</v>
      </c>
      <c r="J29" s="184">
        <f>E14</f>
        <v>10000</v>
      </c>
    </row>
    <row r="30" spans="1:10" x14ac:dyDescent="0.25">
      <c r="G30" s="218" t="s">
        <v>407</v>
      </c>
      <c r="H30" s="182">
        <f>H17+H21+H29</f>
        <v>88.2</v>
      </c>
      <c r="I30" s="218" t="s">
        <v>442</v>
      </c>
      <c r="J30" s="182">
        <f>J28/J29</f>
        <v>27</v>
      </c>
    </row>
    <row r="31" spans="1:10" x14ac:dyDescent="0.25">
      <c r="G31" s="76"/>
      <c r="H31" s="76"/>
      <c r="I31" s="218" t="s">
        <v>407</v>
      </c>
      <c r="J31" s="182">
        <f>J17+J22+J30</f>
        <v>132</v>
      </c>
    </row>
    <row r="32" spans="1:10" x14ac:dyDescent="0.25">
      <c r="G32" s="76"/>
      <c r="H32" s="76"/>
      <c r="I32" s="218" t="s">
        <v>410</v>
      </c>
      <c r="J32" s="182">
        <f>E18-E16</f>
        <v>146</v>
      </c>
    </row>
    <row r="33" spans="7:10" x14ac:dyDescent="0.25">
      <c r="G33" s="76"/>
      <c r="H33" s="76"/>
      <c r="I33" s="218"/>
      <c r="J33" s="182"/>
    </row>
  </sheetData>
  <mergeCells count="6">
    <mergeCell ref="A1:E3"/>
    <mergeCell ref="A19:E19"/>
    <mergeCell ref="A20:E21"/>
    <mergeCell ref="A22:E22"/>
    <mergeCell ref="A23:E24"/>
    <mergeCell ref="A25:E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8F89-6063-4EB0-AEF7-04114DC6795D}">
  <dimension ref="A1:I40"/>
  <sheetViews>
    <sheetView workbookViewId="0">
      <selection activeCell="C22" sqref="C22"/>
    </sheetView>
  </sheetViews>
  <sheetFormatPr defaultColWidth="8.88671875" defaultRowHeight="13.8" x14ac:dyDescent="0.25"/>
  <cols>
    <col min="1" max="1" width="60.88671875" style="2" customWidth="1"/>
    <col min="2" max="3" width="8.88671875" style="2"/>
    <col min="4" max="4" width="3.33203125" style="2" customWidth="1"/>
    <col min="5" max="5" width="11.109375" style="2" customWidth="1"/>
    <col min="6" max="6" width="51.44140625" style="2" customWidth="1"/>
    <col min="7" max="9" width="8.88671875" style="13"/>
    <col min="10" max="16384" width="8.88671875" style="2"/>
  </cols>
  <sheetData>
    <row r="1" spans="1:9" ht="13.8" customHeight="1" x14ac:dyDescent="0.25">
      <c r="A1" s="144" t="s">
        <v>44</v>
      </c>
      <c r="B1" s="144"/>
      <c r="E1" s="3" t="s">
        <v>1</v>
      </c>
    </row>
    <row r="2" spans="1:9" x14ac:dyDescent="0.25">
      <c r="A2" s="144"/>
      <c r="B2" s="144"/>
      <c r="E2" s="145" t="s">
        <v>45</v>
      </c>
      <c r="F2" s="145"/>
      <c r="G2" s="145"/>
      <c r="H2" s="145"/>
      <c r="I2" s="145"/>
    </row>
    <row r="3" spans="1:9" x14ac:dyDescent="0.25">
      <c r="A3" s="14" t="s">
        <v>46</v>
      </c>
      <c r="B3" s="15">
        <v>200</v>
      </c>
      <c r="F3" s="2" t="str">
        <f>A3</f>
        <v xml:space="preserve">Raw materials – Beginning Inventory: </v>
      </c>
      <c r="G3" s="13">
        <v>200</v>
      </c>
    </row>
    <row r="4" spans="1:9" x14ac:dyDescent="0.25">
      <c r="A4" s="14" t="s">
        <v>47</v>
      </c>
      <c r="B4" s="16">
        <v>1200</v>
      </c>
      <c r="E4" s="17" t="s">
        <v>48</v>
      </c>
      <c r="F4" s="2" t="str">
        <f>A4</f>
        <v xml:space="preserve">Raw materials – Purchases: </v>
      </c>
      <c r="G4" s="13">
        <v>1200</v>
      </c>
    </row>
    <row r="5" spans="1:9" x14ac:dyDescent="0.25">
      <c r="A5" s="14" t="s">
        <v>49</v>
      </c>
      <c r="B5" s="15">
        <v>300</v>
      </c>
      <c r="E5" s="17" t="s">
        <v>30</v>
      </c>
      <c r="F5" s="2" t="str">
        <f>A5</f>
        <v>Raw materials – Ending Inventory:</v>
      </c>
      <c r="G5" s="18">
        <v>-300</v>
      </c>
    </row>
    <row r="6" spans="1:9" x14ac:dyDescent="0.25">
      <c r="A6" s="14" t="s">
        <v>50</v>
      </c>
      <c r="B6" s="15">
        <v>700</v>
      </c>
      <c r="F6" s="2" t="s">
        <v>51</v>
      </c>
      <c r="G6" s="13">
        <f>SUM(G3:G5)</f>
        <v>1100</v>
      </c>
    </row>
    <row r="7" spans="1:9" x14ac:dyDescent="0.25">
      <c r="A7" s="14" t="s">
        <v>52</v>
      </c>
      <c r="B7" s="15">
        <v>100</v>
      </c>
    </row>
    <row r="8" spans="1:9" ht="14.4" customHeight="1" x14ac:dyDescent="0.25">
      <c r="A8" s="14" t="s">
        <v>53</v>
      </c>
      <c r="B8" s="15">
        <v>400</v>
      </c>
      <c r="E8" s="145" t="s">
        <v>54</v>
      </c>
      <c r="F8" s="145"/>
      <c r="G8" s="145"/>
      <c r="H8" s="145"/>
      <c r="I8" s="145"/>
    </row>
    <row r="9" spans="1:9" ht="27.6" x14ac:dyDescent="0.25">
      <c r="A9" s="14" t="s">
        <v>55</v>
      </c>
      <c r="B9" s="15">
        <v>500</v>
      </c>
      <c r="F9" s="14" t="str">
        <f>A6</f>
        <v>Semi-finished goods (work-in-progress) – Beginning Inventory:</v>
      </c>
      <c r="I9" s="19">
        <v>700</v>
      </c>
    </row>
    <row r="10" spans="1:9" x14ac:dyDescent="0.25">
      <c r="A10" s="14" t="s">
        <v>56</v>
      </c>
      <c r="B10" s="15">
        <v>800</v>
      </c>
      <c r="E10" s="2" t="s">
        <v>48</v>
      </c>
      <c r="F10" s="7" t="s">
        <v>57</v>
      </c>
    </row>
    <row r="11" spans="1:9" x14ac:dyDescent="0.25">
      <c r="A11" s="14" t="s">
        <v>58</v>
      </c>
      <c r="B11" s="15">
        <v>250</v>
      </c>
      <c r="F11" s="2" t="str">
        <f>F6</f>
        <v>Direct Materials</v>
      </c>
      <c r="H11" s="13">
        <f>G6</f>
        <v>1100</v>
      </c>
    </row>
    <row r="12" spans="1:9" x14ac:dyDescent="0.25">
      <c r="A12" s="14" t="s">
        <v>59</v>
      </c>
      <c r="B12" s="15">
        <v>450</v>
      </c>
      <c r="F12" s="2" t="str">
        <f>A10</f>
        <v>Direct labor for production:</v>
      </c>
      <c r="H12" s="13">
        <f>B10</f>
        <v>800</v>
      </c>
    </row>
    <row r="13" spans="1:9" x14ac:dyDescent="0.25">
      <c r="A13" s="14" t="s">
        <v>60</v>
      </c>
      <c r="B13" s="15">
        <v>50</v>
      </c>
      <c r="F13" s="2" t="s">
        <v>61</v>
      </c>
      <c r="H13" s="18"/>
    </row>
    <row r="14" spans="1:9" x14ac:dyDescent="0.25">
      <c r="A14" s="14" t="s">
        <v>62</v>
      </c>
      <c r="B14" s="15">
        <v>350</v>
      </c>
      <c r="F14" s="20" t="str">
        <f t="shared" ref="F14:G16" si="0">A11</f>
        <v>Indirect labor for production:</v>
      </c>
      <c r="G14" s="21">
        <f t="shared" si="0"/>
        <v>250</v>
      </c>
    </row>
    <row r="15" spans="1:9" x14ac:dyDescent="0.25">
      <c r="A15" s="14" t="s">
        <v>63</v>
      </c>
      <c r="B15" s="15">
        <v>200</v>
      </c>
      <c r="F15" s="20" t="str">
        <f t="shared" si="0"/>
        <v>Indirect raw materials for production:</v>
      </c>
      <c r="G15" s="21">
        <f t="shared" si="0"/>
        <v>450</v>
      </c>
    </row>
    <row r="16" spans="1:9" x14ac:dyDescent="0.25">
      <c r="A16" s="14" t="s">
        <v>64</v>
      </c>
      <c r="B16" s="15">
        <v>150</v>
      </c>
      <c r="F16" s="20" t="str">
        <f t="shared" si="0"/>
        <v>Electricity for the production process:</v>
      </c>
      <c r="G16" s="21">
        <f t="shared" si="0"/>
        <v>50</v>
      </c>
    </row>
    <row r="17" spans="1:9" x14ac:dyDescent="0.25">
      <c r="A17" s="14" t="s">
        <v>65</v>
      </c>
      <c r="B17" s="15">
        <v>550</v>
      </c>
      <c r="F17" s="20" t="str">
        <f>A15</f>
        <v>Rent costs for the production department:</v>
      </c>
      <c r="G17" s="21">
        <f>B15</f>
        <v>200</v>
      </c>
    </row>
    <row r="18" spans="1:9" x14ac:dyDescent="0.25">
      <c r="A18" s="14" t="s">
        <v>66</v>
      </c>
      <c r="B18" s="15">
        <v>150</v>
      </c>
      <c r="F18" s="20" t="str">
        <f>A16</f>
        <v>Maintenance costs for production machines:</v>
      </c>
      <c r="G18" s="21">
        <f>B16</f>
        <v>150</v>
      </c>
    </row>
    <row r="19" spans="1:9" x14ac:dyDescent="0.25">
      <c r="A19" s="14" t="s">
        <v>67</v>
      </c>
      <c r="B19" s="15">
        <v>50</v>
      </c>
      <c r="F19" s="20" t="str">
        <f>A18</f>
        <v>Depreciation for production machines:</v>
      </c>
      <c r="G19" s="21">
        <f>B18</f>
        <v>150</v>
      </c>
    </row>
    <row r="20" spans="1:9" x14ac:dyDescent="0.25">
      <c r="A20" s="14" t="s">
        <v>28</v>
      </c>
      <c r="B20" s="15">
        <v>10</v>
      </c>
      <c r="F20" s="20" t="str">
        <f>A19</f>
        <v>Fuel costs for production machines:</v>
      </c>
      <c r="G20" s="22">
        <f>B19</f>
        <v>50</v>
      </c>
      <c r="H20" s="18">
        <f>SUM(G14:G20)</f>
        <v>1300</v>
      </c>
      <c r="I20" s="13">
        <f>H11+H12+H20</f>
        <v>3200</v>
      </c>
    </row>
    <row r="21" spans="1:9" x14ac:dyDescent="0.25">
      <c r="A21" s="14" t="s">
        <v>29</v>
      </c>
      <c r="B21" s="15">
        <v>390</v>
      </c>
      <c r="E21" s="2" t="s">
        <v>68</v>
      </c>
      <c r="F21" s="2" t="str">
        <f>A7</f>
        <v>Semi-finished goods (work-in-progress) – Ending Inventory:</v>
      </c>
      <c r="I21" s="18">
        <f>-B7</f>
        <v>-100</v>
      </c>
    </row>
    <row r="22" spans="1:9" x14ac:dyDescent="0.25">
      <c r="A22" s="14" t="s">
        <v>69</v>
      </c>
      <c r="B22" s="16">
        <v>6000</v>
      </c>
      <c r="F22" s="2" t="s">
        <v>70</v>
      </c>
      <c r="I22" s="13">
        <f>SUM(I9:I21)</f>
        <v>3800</v>
      </c>
    </row>
    <row r="23" spans="1:9" x14ac:dyDescent="0.25">
      <c r="A23" s="23" t="s">
        <v>71</v>
      </c>
    </row>
    <row r="24" spans="1:9" x14ac:dyDescent="0.25">
      <c r="A24" s="24"/>
      <c r="E24" s="145" t="s">
        <v>72</v>
      </c>
      <c r="F24" s="145"/>
      <c r="G24" s="145"/>
      <c r="H24" s="145"/>
      <c r="I24" s="145"/>
    </row>
    <row r="25" spans="1:9" x14ac:dyDescent="0.25">
      <c r="A25" s="24"/>
      <c r="F25" s="2" t="str">
        <f>A8</f>
        <v>Finished goods – Beginning Inventory:</v>
      </c>
      <c r="G25" s="13">
        <f>B8</f>
        <v>400</v>
      </c>
    </row>
    <row r="26" spans="1:9" x14ac:dyDescent="0.25">
      <c r="E26" s="2" t="s">
        <v>73</v>
      </c>
      <c r="F26" s="2" t="str">
        <f>F22</f>
        <v>Cost of Goods Produced</v>
      </c>
      <c r="G26" s="13">
        <f>I22</f>
        <v>3800</v>
      </c>
    </row>
    <row r="27" spans="1:9" x14ac:dyDescent="0.25">
      <c r="E27" s="2" t="s">
        <v>68</v>
      </c>
      <c r="F27" s="2" t="str">
        <f>A9</f>
        <v>Finished goods – Ending Inventory:</v>
      </c>
      <c r="G27" s="18">
        <f>-B9</f>
        <v>-500</v>
      </c>
    </row>
    <row r="28" spans="1:9" x14ac:dyDescent="0.25">
      <c r="F28" s="2" t="s">
        <v>74</v>
      </c>
      <c r="G28" s="13">
        <f>SUM(G25:G27)</f>
        <v>3700</v>
      </c>
    </row>
    <row r="30" spans="1:9" ht="14.4" customHeight="1" x14ac:dyDescent="0.25">
      <c r="E30" s="146" t="s">
        <v>75</v>
      </c>
      <c r="F30" s="146"/>
      <c r="G30" s="146"/>
    </row>
    <row r="31" spans="1:9" x14ac:dyDescent="0.25">
      <c r="F31" s="2" t="str">
        <f>A22</f>
        <v>Sales revenue:</v>
      </c>
      <c r="G31" s="2">
        <f>B22</f>
        <v>6000</v>
      </c>
    </row>
    <row r="32" spans="1:9" x14ac:dyDescent="0.25">
      <c r="E32" s="2" t="s">
        <v>30</v>
      </c>
      <c r="F32" s="2" t="str">
        <f>F28</f>
        <v>Cost of Goods Sold</v>
      </c>
      <c r="G32" s="18">
        <f>-G28</f>
        <v>-3700</v>
      </c>
    </row>
    <row r="33" spans="5:7" x14ac:dyDescent="0.25">
      <c r="F33" s="2" t="s">
        <v>33</v>
      </c>
      <c r="G33" s="13">
        <f>SUM(G31:G32)</f>
        <v>2300</v>
      </c>
    </row>
    <row r="34" spans="5:7" x14ac:dyDescent="0.25">
      <c r="E34" s="2" t="s">
        <v>30</v>
      </c>
      <c r="F34" s="2" t="str">
        <f>A14</f>
        <v>Administration expenses:</v>
      </c>
      <c r="G34" s="13">
        <f>-B14</f>
        <v>-350</v>
      </c>
    </row>
    <row r="35" spans="5:7" x14ac:dyDescent="0.25">
      <c r="F35" s="2" t="str">
        <f>A17</f>
        <v>Selling expenses:</v>
      </c>
      <c r="G35" s="18">
        <f>-B17</f>
        <v>-550</v>
      </c>
    </row>
    <row r="36" spans="5:7" x14ac:dyDescent="0.25">
      <c r="F36" s="2" t="s">
        <v>76</v>
      </c>
      <c r="G36" s="13">
        <f>SUM(G33:G35)</f>
        <v>1400</v>
      </c>
    </row>
    <row r="37" spans="5:7" x14ac:dyDescent="0.25">
      <c r="E37" s="2" t="s">
        <v>30</v>
      </c>
      <c r="F37" s="2" t="str">
        <f>A20</f>
        <v>Interest expense</v>
      </c>
      <c r="G37" s="18">
        <f>-B20</f>
        <v>-10</v>
      </c>
    </row>
    <row r="38" spans="5:7" x14ac:dyDescent="0.25">
      <c r="F38" s="2" t="s">
        <v>77</v>
      </c>
      <c r="G38" s="13">
        <f>G36+G37</f>
        <v>1390</v>
      </c>
    </row>
    <row r="39" spans="5:7" x14ac:dyDescent="0.25">
      <c r="E39" s="2" t="s">
        <v>30</v>
      </c>
      <c r="F39" s="2" t="str">
        <f>A21</f>
        <v>Tax expense</v>
      </c>
      <c r="G39" s="18">
        <f>-B21</f>
        <v>-390</v>
      </c>
    </row>
    <row r="40" spans="5:7" x14ac:dyDescent="0.25">
      <c r="F40" s="2" t="s">
        <v>78</v>
      </c>
      <c r="G40" s="13">
        <f>G38+G39</f>
        <v>1000</v>
      </c>
    </row>
  </sheetData>
  <mergeCells count="5">
    <mergeCell ref="A1:B2"/>
    <mergeCell ref="E2:I2"/>
    <mergeCell ref="E8:I8"/>
    <mergeCell ref="E24:I24"/>
    <mergeCell ref="E30:G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9208-AE6E-4E21-BA27-EECC7ACECA42}">
  <dimension ref="A1:Q33"/>
  <sheetViews>
    <sheetView workbookViewId="0">
      <selection activeCell="A5" sqref="A5:P5"/>
    </sheetView>
  </sheetViews>
  <sheetFormatPr defaultColWidth="8.88671875" defaultRowHeight="13.8" x14ac:dyDescent="0.25"/>
  <cols>
    <col min="1" max="1" width="8.88671875" style="2"/>
    <col min="2" max="2" width="18.88671875" style="2" customWidth="1"/>
    <col min="3" max="3" width="18.109375" style="2" customWidth="1"/>
    <col min="4" max="4" width="20.21875" style="2" customWidth="1"/>
    <col min="5" max="8" width="8.88671875" style="2"/>
    <col min="9" max="9" width="11" style="2" customWidth="1"/>
    <col min="10" max="10" width="17.77734375" style="2" customWidth="1"/>
    <col min="11" max="11" width="6.77734375" style="2" customWidth="1"/>
    <col min="12" max="12" width="8.88671875" style="2"/>
    <col min="13" max="13" width="25.44140625" style="2" customWidth="1"/>
    <col min="14" max="16384" width="8.88671875" style="2"/>
  </cols>
  <sheetData>
    <row r="1" spans="1:16" x14ac:dyDescent="0.25">
      <c r="A1" s="150" t="s">
        <v>79</v>
      </c>
      <c r="B1" s="150"/>
      <c r="C1" s="150"/>
      <c r="D1" s="150"/>
      <c r="E1" s="150"/>
      <c r="F1" s="150"/>
      <c r="G1" s="150"/>
      <c r="H1" s="150"/>
      <c r="I1" s="150"/>
      <c r="J1" s="150"/>
      <c r="K1" s="150"/>
      <c r="L1" s="150"/>
      <c r="M1" s="150"/>
      <c r="N1" s="150"/>
      <c r="O1" s="150"/>
      <c r="P1" s="150"/>
    </row>
    <row r="2" spans="1:16" x14ac:dyDescent="0.25">
      <c r="A2" s="151" t="s">
        <v>80</v>
      </c>
      <c r="B2" s="151"/>
      <c r="C2" s="151"/>
      <c r="D2" s="151"/>
      <c r="E2" s="151"/>
      <c r="F2" s="151"/>
      <c r="G2" s="151"/>
      <c r="H2" s="151"/>
      <c r="I2" s="151"/>
      <c r="J2" s="151"/>
      <c r="K2" s="151"/>
      <c r="L2" s="151"/>
      <c r="M2" s="151"/>
      <c r="N2" s="151"/>
      <c r="O2" s="151"/>
      <c r="P2" s="151"/>
    </row>
    <row r="3" spans="1:16" x14ac:dyDescent="0.25">
      <c r="A3" s="150" t="s">
        <v>81</v>
      </c>
      <c r="B3" s="150"/>
      <c r="C3" s="150"/>
      <c r="D3" s="150"/>
      <c r="E3" s="150"/>
      <c r="F3" s="150"/>
      <c r="G3" s="150"/>
      <c r="H3" s="150"/>
      <c r="I3" s="150"/>
      <c r="J3" s="150"/>
      <c r="K3" s="150"/>
      <c r="L3" s="150"/>
      <c r="M3" s="150"/>
      <c r="N3" s="150"/>
      <c r="O3" s="150"/>
      <c r="P3" s="150"/>
    </row>
    <row r="4" spans="1:16" x14ac:dyDescent="0.25">
      <c r="A4" s="150" t="s">
        <v>82</v>
      </c>
      <c r="B4" s="150"/>
      <c r="C4" s="150"/>
      <c r="D4" s="150"/>
      <c r="E4" s="150"/>
      <c r="F4" s="150"/>
      <c r="G4" s="150"/>
      <c r="H4" s="150"/>
      <c r="I4" s="150"/>
      <c r="J4" s="150"/>
      <c r="K4" s="150"/>
      <c r="L4" s="150"/>
      <c r="M4" s="150"/>
      <c r="N4" s="150"/>
      <c r="O4" s="150"/>
      <c r="P4" s="150"/>
    </row>
    <row r="5" spans="1:16" ht="16.8" x14ac:dyDescent="0.25">
      <c r="A5" s="150" t="s">
        <v>83</v>
      </c>
      <c r="B5" s="150"/>
      <c r="C5" s="150"/>
      <c r="D5" s="150"/>
      <c r="E5" s="150"/>
      <c r="F5" s="150"/>
      <c r="G5" s="150"/>
      <c r="H5" s="150"/>
      <c r="I5" s="150"/>
      <c r="J5" s="150"/>
      <c r="K5" s="150"/>
      <c r="L5" s="150"/>
      <c r="M5" s="150"/>
      <c r="N5" s="150"/>
      <c r="O5" s="150"/>
      <c r="P5" s="150"/>
    </row>
    <row r="6" spans="1:16" x14ac:dyDescent="0.25">
      <c r="A6" s="150" t="s">
        <v>84</v>
      </c>
      <c r="B6" s="150"/>
      <c r="C6" s="150"/>
      <c r="D6" s="150"/>
      <c r="E6" s="150"/>
      <c r="F6" s="150"/>
      <c r="G6" s="150"/>
      <c r="H6" s="150"/>
      <c r="I6" s="150"/>
      <c r="J6" s="150"/>
      <c r="K6" s="150"/>
      <c r="L6" s="150"/>
      <c r="M6" s="150"/>
      <c r="N6" s="150"/>
      <c r="O6" s="150"/>
      <c r="P6" s="150"/>
    </row>
    <row r="7" spans="1:16" x14ac:dyDescent="0.25">
      <c r="A7" s="2" t="s">
        <v>85</v>
      </c>
    </row>
    <row r="8" spans="1:16" x14ac:dyDescent="0.25">
      <c r="A8" s="2" t="s">
        <v>86</v>
      </c>
      <c r="M8" s="3" t="s">
        <v>87</v>
      </c>
    </row>
    <row r="9" spans="1:16" ht="25.2" customHeight="1" x14ac:dyDescent="0.25">
      <c r="A9" s="152"/>
      <c r="B9" s="147" t="s">
        <v>88</v>
      </c>
      <c r="C9" s="152" t="s">
        <v>89</v>
      </c>
      <c r="D9" s="152" t="s">
        <v>90</v>
      </c>
      <c r="E9" s="147" t="s">
        <v>91</v>
      </c>
      <c r="F9" s="147" t="s">
        <v>92</v>
      </c>
      <c r="G9" s="147" t="s">
        <v>93</v>
      </c>
      <c r="H9" s="147" t="s">
        <v>94</v>
      </c>
      <c r="I9" s="147" t="s">
        <v>95</v>
      </c>
      <c r="J9" s="147" t="s">
        <v>96</v>
      </c>
      <c r="K9" s="25"/>
      <c r="M9" s="3" t="s">
        <v>97</v>
      </c>
    </row>
    <row r="10" spans="1:16" x14ac:dyDescent="0.25">
      <c r="A10" s="153"/>
      <c r="B10" s="148"/>
      <c r="C10" s="153"/>
      <c r="D10" s="153"/>
      <c r="E10" s="148"/>
      <c r="F10" s="148"/>
      <c r="G10" s="148"/>
      <c r="H10" s="148"/>
      <c r="I10" s="148"/>
      <c r="J10" s="148"/>
      <c r="K10" s="25"/>
      <c r="M10" s="2" t="s">
        <v>98</v>
      </c>
      <c r="N10" s="2">
        <f>(D17-D14)/(C17-C14)</f>
        <v>0.8</v>
      </c>
    </row>
    <row r="11" spans="1:16" x14ac:dyDescent="0.25">
      <c r="A11" s="154"/>
      <c r="B11" s="149"/>
      <c r="C11" s="154"/>
      <c r="D11" s="154"/>
      <c r="E11" s="149"/>
      <c r="F11" s="149"/>
      <c r="G11" s="149"/>
      <c r="H11" s="149"/>
      <c r="I11" s="149"/>
      <c r="J11" s="149"/>
      <c r="K11" s="25"/>
      <c r="M11" s="2" t="s">
        <v>99</v>
      </c>
      <c r="N11" s="2">
        <f>D17-N10*C17</f>
        <v>34</v>
      </c>
    </row>
    <row r="12" spans="1:16" x14ac:dyDescent="0.25">
      <c r="A12" s="29">
        <v>1</v>
      </c>
      <c r="B12" s="30" t="s">
        <v>100</v>
      </c>
      <c r="C12" s="30">
        <v>56</v>
      </c>
      <c r="D12" s="30">
        <v>79</v>
      </c>
      <c r="E12" s="31">
        <f>C12^2</f>
        <v>3136</v>
      </c>
      <c r="F12" s="31">
        <f>D12^2</f>
        <v>6241</v>
      </c>
      <c r="G12" s="30">
        <f>C12*D12</f>
        <v>4424</v>
      </c>
      <c r="H12" s="32">
        <f>D12-$N$17-$N$16*C12</f>
        <v>2.1901251117068838</v>
      </c>
      <c r="I12" s="32">
        <f>H12^2</f>
        <v>4.7966480049290903</v>
      </c>
      <c r="J12" s="33">
        <f>(D12-$D$20)^2</f>
        <v>23.591836734693917</v>
      </c>
      <c r="K12" s="30"/>
      <c r="M12" s="2" t="s">
        <v>101</v>
      </c>
    </row>
    <row r="13" spans="1:16" x14ac:dyDescent="0.25">
      <c r="A13" s="29">
        <v>2</v>
      </c>
      <c r="B13" s="30" t="s">
        <v>102</v>
      </c>
      <c r="C13" s="30">
        <v>71</v>
      </c>
      <c r="D13" s="30">
        <v>85</v>
      </c>
      <c r="E13" s="31">
        <f t="shared" ref="E13:F18" si="0">C13^2</f>
        <v>5041</v>
      </c>
      <c r="F13" s="31">
        <f t="shared" si="0"/>
        <v>7225</v>
      </c>
      <c r="G13" s="30">
        <f t="shared" ref="G13:G18" si="1">C13*D13</f>
        <v>6035</v>
      </c>
      <c r="H13" s="32">
        <f t="shared" ref="H13:H18" si="2">D13-$N$17-$N$16*C13</f>
        <v>-3.1939231456657708</v>
      </c>
      <c r="I13" s="32">
        <f t="shared" ref="I13:I18" si="3">H13^2</f>
        <v>10.201145060419533</v>
      </c>
      <c r="J13" s="33">
        <f t="shared" ref="J13:J18" si="4">(D13-$D$20)^2</f>
        <v>1.3061224489795826</v>
      </c>
      <c r="K13" s="30"/>
    </row>
    <row r="14" spans="1:16" x14ac:dyDescent="0.25">
      <c r="A14" s="29">
        <v>3</v>
      </c>
      <c r="B14" s="30" t="s">
        <v>103</v>
      </c>
      <c r="C14" s="30">
        <v>50</v>
      </c>
      <c r="D14" s="30">
        <v>74</v>
      </c>
      <c r="E14" s="31">
        <f t="shared" si="0"/>
        <v>2500</v>
      </c>
      <c r="F14" s="31">
        <f t="shared" si="0"/>
        <v>5476</v>
      </c>
      <c r="G14" s="30">
        <f t="shared" si="1"/>
        <v>3700</v>
      </c>
      <c r="H14" s="32">
        <f t="shared" si="2"/>
        <v>1.7437444146559429</v>
      </c>
      <c r="I14" s="32">
        <f t="shared" si="3"/>
        <v>3.0406445836437968</v>
      </c>
      <c r="J14" s="33">
        <f t="shared" si="4"/>
        <v>97.163265306122526</v>
      </c>
      <c r="K14" s="30"/>
      <c r="M14" s="3" t="s">
        <v>104</v>
      </c>
    </row>
    <row r="15" spans="1:16" x14ac:dyDescent="0.25">
      <c r="A15" s="29">
        <v>4</v>
      </c>
      <c r="B15" s="30" t="s">
        <v>105</v>
      </c>
      <c r="C15" s="30">
        <v>65</v>
      </c>
      <c r="D15" s="30">
        <v>82</v>
      </c>
      <c r="E15" s="31">
        <f t="shared" si="0"/>
        <v>4225</v>
      </c>
      <c r="F15" s="31">
        <f t="shared" si="0"/>
        <v>6724</v>
      </c>
      <c r="G15" s="30">
        <f t="shared" si="1"/>
        <v>5330</v>
      </c>
      <c r="H15" s="32">
        <f t="shared" si="2"/>
        <v>-1.6403038427167118</v>
      </c>
      <c r="I15" s="32">
        <f t="shared" si="3"/>
        <v>2.6905966964312111</v>
      </c>
      <c r="J15" s="33">
        <f t="shared" si="4"/>
        <v>3.4489795918367498</v>
      </c>
      <c r="K15" s="30"/>
    </row>
    <row r="16" spans="1:16" x14ac:dyDescent="0.25">
      <c r="A16" s="29">
        <v>5</v>
      </c>
      <c r="B16" s="30" t="s">
        <v>106</v>
      </c>
      <c r="C16" s="30">
        <v>73</v>
      </c>
      <c r="D16" s="30">
        <v>91</v>
      </c>
      <c r="E16" s="31">
        <f t="shared" si="0"/>
        <v>5329</v>
      </c>
      <c r="F16" s="31">
        <f t="shared" si="0"/>
        <v>8281</v>
      </c>
      <c r="G16" s="30">
        <f t="shared" si="1"/>
        <v>6643</v>
      </c>
      <c r="H16" s="32">
        <f t="shared" si="2"/>
        <v>1.2882037533512047</v>
      </c>
      <c r="I16" s="32">
        <f t="shared" si="3"/>
        <v>1.6594689101481315</v>
      </c>
      <c r="J16" s="33">
        <f t="shared" si="4"/>
        <v>51.020408163265245</v>
      </c>
      <c r="K16" s="30"/>
      <c r="M16" s="2" t="s">
        <v>107</v>
      </c>
      <c r="N16" s="34">
        <f>(A18*G19-C19*D19)/(A18*E19-C19^2)</f>
        <v>0.75893655049151032</v>
      </c>
    </row>
    <row r="17" spans="1:17" x14ac:dyDescent="0.25">
      <c r="A17" s="29">
        <v>6</v>
      </c>
      <c r="B17" s="30" t="s">
        <v>108</v>
      </c>
      <c r="C17" s="30">
        <v>80</v>
      </c>
      <c r="D17" s="30">
        <v>98</v>
      </c>
      <c r="E17" s="31">
        <f t="shared" si="0"/>
        <v>6400</v>
      </c>
      <c r="F17" s="31">
        <f t="shared" si="0"/>
        <v>9604</v>
      </c>
      <c r="G17" s="30">
        <f t="shared" si="1"/>
        <v>7840</v>
      </c>
      <c r="H17" s="32">
        <f t="shared" si="2"/>
        <v>2.9756478999106335</v>
      </c>
      <c r="I17" s="32">
        <f t="shared" si="3"/>
        <v>8.8544804242425634</v>
      </c>
      <c r="J17" s="33">
        <f t="shared" si="4"/>
        <v>200.02040816326519</v>
      </c>
      <c r="K17" s="30"/>
      <c r="M17" s="2" t="s">
        <v>109</v>
      </c>
      <c r="N17" s="34">
        <f>(D19/A18)-N16*(C19/A18)</f>
        <v>34.309428060768539</v>
      </c>
    </row>
    <row r="18" spans="1:17" x14ac:dyDescent="0.25">
      <c r="A18" s="29">
        <v>7</v>
      </c>
      <c r="B18" s="30" t="s">
        <v>110</v>
      </c>
      <c r="C18" s="35">
        <v>62</v>
      </c>
      <c r="D18" s="35">
        <v>78</v>
      </c>
      <c r="E18" s="36">
        <f t="shared" si="0"/>
        <v>3844</v>
      </c>
      <c r="F18" s="36">
        <f t="shared" si="0"/>
        <v>6084</v>
      </c>
      <c r="G18" s="35">
        <f t="shared" si="1"/>
        <v>4836</v>
      </c>
      <c r="H18" s="37">
        <f t="shared" si="2"/>
        <v>-3.3634941912421823</v>
      </c>
      <c r="I18" s="37">
        <f t="shared" si="3"/>
        <v>11.313093174519903</v>
      </c>
      <c r="J18" s="38">
        <f t="shared" si="4"/>
        <v>34.306122448979636</v>
      </c>
      <c r="K18" s="35"/>
      <c r="M18" s="2" t="s">
        <v>111</v>
      </c>
    </row>
    <row r="19" spans="1:17" x14ac:dyDescent="0.25">
      <c r="A19" s="26"/>
      <c r="B19" s="25" t="s">
        <v>10</v>
      </c>
      <c r="C19" s="26">
        <f t="shared" ref="C19:J19" si="5">SUM(C12:C18)</f>
        <v>457</v>
      </c>
      <c r="D19" s="26">
        <f t="shared" si="5"/>
        <v>587</v>
      </c>
      <c r="E19" s="39">
        <f t="shared" si="5"/>
        <v>30475</v>
      </c>
      <c r="F19" s="39">
        <f t="shared" si="5"/>
        <v>49635</v>
      </c>
      <c r="G19" s="39">
        <f t="shared" si="5"/>
        <v>38808</v>
      </c>
      <c r="H19" s="40">
        <f t="shared" si="5"/>
        <v>0</v>
      </c>
      <c r="I19" s="41">
        <f t="shared" si="5"/>
        <v>42.556076854334229</v>
      </c>
      <c r="J19" s="42">
        <f t="shared" si="5"/>
        <v>410.85714285714283</v>
      </c>
      <c r="K19" s="26"/>
    </row>
    <row r="20" spans="1:17" ht="16.8" x14ac:dyDescent="0.25">
      <c r="A20" s="27"/>
      <c r="B20" s="28" t="s">
        <v>112</v>
      </c>
      <c r="C20" s="43">
        <f>C19/A18</f>
        <v>65.285714285714292</v>
      </c>
      <c r="D20" s="43">
        <f>D19/A18</f>
        <v>83.857142857142861</v>
      </c>
      <c r="E20" s="27"/>
      <c r="F20" s="27"/>
      <c r="G20" s="27"/>
      <c r="H20" s="28"/>
      <c r="I20" s="27"/>
      <c r="J20" s="27"/>
      <c r="K20" s="26"/>
      <c r="M20" s="3" t="s">
        <v>113</v>
      </c>
      <c r="N20" s="44">
        <f>1-(I19/J19)</f>
        <v>0.89642123157846332</v>
      </c>
    </row>
    <row r="21" spans="1:17" x14ac:dyDescent="0.25">
      <c r="A21" s="26"/>
      <c r="B21" s="25"/>
      <c r="C21" s="41"/>
      <c r="D21" s="41"/>
      <c r="E21" s="26"/>
      <c r="F21" s="26"/>
      <c r="G21" s="26"/>
      <c r="H21" s="25"/>
      <c r="I21" s="26"/>
      <c r="J21" s="26"/>
      <c r="K21" s="26"/>
      <c r="M21" s="3"/>
      <c r="N21" s="44"/>
    </row>
    <row r="22" spans="1:17" x14ac:dyDescent="0.25">
      <c r="M22" s="3" t="s">
        <v>114</v>
      </c>
    </row>
    <row r="23" spans="1:17" x14ac:dyDescent="0.25">
      <c r="M23" s="7" t="s">
        <v>115</v>
      </c>
    </row>
    <row r="24" spans="1:17" x14ac:dyDescent="0.25">
      <c r="M24" s="2" t="s">
        <v>116</v>
      </c>
      <c r="N24" s="2">
        <f>N11+N10*90</f>
        <v>106</v>
      </c>
    </row>
    <row r="26" spans="1:17" x14ac:dyDescent="0.25">
      <c r="M26" s="7" t="s">
        <v>117</v>
      </c>
    </row>
    <row r="27" spans="1:17" x14ac:dyDescent="0.25">
      <c r="M27" s="2" t="str">
        <f>M24</f>
        <v>Forecasted cost:</v>
      </c>
      <c r="N27" s="34">
        <f>N17+N16*90</f>
        <v>102.61371760500447</v>
      </c>
    </row>
    <row r="28" spans="1:17" x14ac:dyDescent="0.25">
      <c r="M28" s="2" t="s">
        <v>118</v>
      </c>
    </row>
    <row r="29" spans="1:17" ht="13.8" customHeight="1" x14ac:dyDescent="0.25">
      <c r="M29" s="144" t="s">
        <v>119</v>
      </c>
      <c r="N29" s="144"/>
      <c r="O29" s="144"/>
      <c r="P29" s="144"/>
      <c r="Q29" s="144"/>
    </row>
    <row r="30" spans="1:17" x14ac:dyDescent="0.25">
      <c r="M30" s="144"/>
      <c r="N30" s="144"/>
      <c r="O30" s="144"/>
      <c r="P30" s="144"/>
      <c r="Q30" s="144"/>
    </row>
    <row r="31" spans="1:17" x14ac:dyDescent="0.25">
      <c r="M31" s="144"/>
      <c r="N31" s="144"/>
      <c r="O31" s="144"/>
      <c r="P31" s="144"/>
      <c r="Q31" s="144"/>
    </row>
    <row r="33" spans="12:12" x14ac:dyDescent="0.25">
      <c r="L33" s="2" t="s">
        <v>120</v>
      </c>
    </row>
  </sheetData>
  <mergeCells count="17">
    <mergeCell ref="J9:J11"/>
    <mergeCell ref="M29:Q31"/>
    <mergeCell ref="F9:F11"/>
    <mergeCell ref="A1:P1"/>
    <mergeCell ref="A2:P2"/>
    <mergeCell ref="A3:P3"/>
    <mergeCell ref="A4:P4"/>
    <mergeCell ref="A5:P5"/>
    <mergeCell ref="A6:P6"/>
    <mergeCell ref="A9:A11"/>
    <mergeCell ref="B9:B11"/>
    <mergeCell ref="C9:C11"/>
    <mergeCell ref="D9:D11"/>
    <mergeCell ref="E9:E11"/>
    <mergeCell ref="G9:G11"/>
    <mergeCell ref="H9:H11"/>
    <mergeCell ref="I9:I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F01B6-0BB7-41CC-9AD1-E33684FC0E9C}">
  <dimension ref="A1:AC23"/>
  <sheetViews>
    <sheetView workbookViewId="0">
      <selection activeCell="A21" sqref="A21:F22"/>
    </sheetView>
  </sheetViews>
  <sheetFormatPr defaultColWidth="8.88671875" defaultRowHeight="13.8" x14ac:dyDescent="0.25"/>
  <cols>
    <col min="1" max="1" width="9" style="2" bestFit="1" customWidth="1"/>
    <col min="2" max="2" width="11.109375" style="51" customWidth="1"/>
    <col min="3" max="3" width="10.88671875" style="2" customWidth="1"/>
    <col min="4" max="4" width="12.88671875" style="2" customWidth="1"/>
    <col min="5" max="5" width="16.33203125" style="2" customWidth="1"/>
    <col min="6" max="6" width="19.44140625" style="2" customWidth="1"/>
    <col min="7" max="7" width="20.88671875" style="2" customWidth="1"/>
    <col min="8" max="8" width="17.33203125" style="2" customWidth="1"/>
    <col min="9" max="10" width="9" style="2" bestFit="1" customWidth="1"/>
    <col min="11" max="13" width="8.88671875" style="2"/>
    <col min="14" max="14" width="12.6640625" style="2" customWidth="1"/>
    <col min="15" max="15" width="8.88671875" style="2"/>
    <col min="16" max="16" width="8.6640625" style="2" customWidth="1"/>
    <col min="17" max="21" width="8.88671875" style="2"/>
    <col min="22" max="23" width="9" style="2" bestFit="1" customWidth="1"/>
    <col min="24" max="24" width="13.109375" style="2" bestFit="1" customWidth="1"/>
    <col min="25" max="25" width="12.33203125" style="2" bestFit="1" customWidth="1"/>
    <col min="26" max="29" width="9" style="2" bestFit="1" customWidth="1"/>
    <col min="30" max="16384" width="8.88671875" style="2"/>
  </cols>
  <sheetData>
    <row r="1" spans="1:29" x14ac:dyDescent="0.25">
      <c r="A1" s="155" t="s">
        <v>121</v>
      </c>
      <c r="B1" s="155"/>
      <c r="C1" s="155"/>
      <c r="D1" s="155"/>
      <c r="E1" s="155"/>
      <c r="F1" s="155"/>
      <c r="G1" s="155"/>
      <c r="H1" s="155"/>
      <c r="I1" s="155"/>
      <c r="J1" s="155"/>
      <c r="K1" s="155"/>
      <c r="L1" s="155"/>
      <c r="M1" s="155"/>
      <c r="N1" s="155"/>
    </row>
    <row r="2" spans="1:29" x14ac:dyDescent="0.25">
      <c r="A2" s="155"/>
      <c r="B2" s="155"/>
      <c r="C2" s="155"/>
      <c r="D2" s="155"/>
      <c r="E2" s="155"/>
      <c r="F2" s="155"/>
      <c r="G2" s="155"/>
      <c r="H2" s="155"/>
      <c r="I2" s="155"/>
      <c r="J2" s="155"/>
      <c r="K2" s="155"/>
      <c r="L2" s="155"/>
      <c r="M2" s="155"/>
      <c r="N2" s="155"/>
    </row>
    <row r="3" spans="1:29" x14ac:dyDescent="0.25">
      <c r="B3" s="2"/>
      <c r="D3" s="45" t="s">
        <v>122</v>
      </c>
      <c r="E3" s="45" t="s">
        <v>123</v>
      </c>
    </row>
    <row r="4" spans="1:29" x14ac:dyDescent="0.25">
      <c r="B4" s="2"/>
      <c r="D4" s="46" t="s">
        <v>124</v>
      </c>
      <c r="E4" s="47">
        <v>2200</v>
      </c>
    </row>
    <row r="5" spans="1:29" x14ac:dyDescent="0.25">
      <c r="B5" s="2"/>
      <c r="D5" s="48">
        <v>2</v>
      </c>
      <c r="E5" s="49">
        <v>3000</v>
      </c>
    </row>
    <row r="6" spans="1:29" x14ac:dyDescent="0.25">
      <c r="B6" s="2"/>
      <c r="D6" s="46">
        <v>3</v>
      </c>
      <c r="E6" s="47">
        <v>2800</v>
      </c>
    </row>
    <row r="7" spans="1:29" x14ac:dyDescent="0.25">
      <c r="A7" s="50" t="s">
        <v>125</v>
      </c>
    </row>
    <row r="8" spans="1:29" x14ac:dyDescent="0.25">
      <c r="A8" s="52" t="s">
        <v>126</v>
      </c>
    </row>
    <row r="9" spans="1:29" x14ac:dyDescent="0.25">
      <c r="A9" s="53" t="s">
        <v>1</v>
      </c>
      <c r="C9" s="8"/>
      <c r="H9" s="8"/>
      <c r="U9" s="54"/>
      <c r="V9" s="54"/>
      <c r="W9" s="54"/>
      <c r="X9" s="54"/>
      <c r="Y9" s="54"/>
      <c r="Z9" s="54"/>
      <c r="AA9" s="54"/>
      <c r="AB9" s="54"/>
      <c r="AC9" s="54"/>
    </row>
    <row r="10" spans="1:29" ht="41.4" x14ac:dyDescent="0.25">
      <c r="A10" s="55" t="s">
        <v>127</v>
      </c>
      <c r="B10" s="56" t="s">
        <v>123</v>
      </c>
      <c r="C10" s="56" t="s">
        <v>99</v>
      </c>
      <c r="D10" s="56" t="s">
        <v>128</v>
      </c>
      <c r="E10" s="57" t="s">
        <v>129</v>
      </c>
      <c r="F10" s="57" t="s">
        <v>130</v>
      </c>
      <c r="G10" s="57" t="s">
        <v>131</v>
      </c>
      <c r="H10" s="55" t="s">
        <v>132</v>
      </c>
      <c r="U10" s="54"/>
      <c r="V10" s="54"/>
      <c r="W10" s="54"/>
      <c r="X10" s="54"/>
      <c r="Y10" s="54"/>
      <c r="Z10" s="54"/>
      <c r="AA10" s="54"/>
      <c r="AB10" s="54"/>
      <c r="AC10" s="54"/>
    </row>
    <row r="11" spans="1:29" x14ac:dyDescent="0.25">
      <c r="A11" s="58">
        <v>1</v>
      </c>
      <c r="B11" s="59">
        <v>2200</v>
      </c>
      <c r="C11" s="59">
        <v>10000</v>
      </c>
      <c r="D11" s="59">
        <f>5*B11</f>
        <v>11000</v>
      </c>
      <c r="E11" s="59">
        <f>C11+D11</f>
        <v>21000</v>
      </c>
      <c r="F11" s="58" t="s">
        <v>133</v>
      </c>
      <c r="G11" s="58" t="s">
        <v>133</v>
      </c>
      <c r="H11" s="59">
        <f>C11+D11</f>
        <v>21000</v>
      </c>
      <c r="U11" s="54"/>
      <c r="V11" s="54"/>
      <c r="W11" s="54"/>
      <c r="X11" s="54"/>
      <c r="Y11" s="54"/>
      <c r="Z11" s="54"/>
      <c r="AA11" s="54"/>
      <c r="AB11" s="54"/>
      <c r="AC11" s="54"/>
    </row>
    <row r="12" spans="1:29" x14ac:dyDescent="0.25">
      <c r="A12" s="58">
        <v>2</v>
      </c>
      <c r="B12" s="59">
        <v>3000</v>
      </c>
      <c r="C12" s="59">
        <v>10000</v>
      </c>
      <c r="D12" s="59">
        <f>5*B12</f>
        <v>15000</v>
      </c>
      <c r="E12" s="59">
        <f>C12+D12</f>
        <v>25000</v>
      </c>
      <c r="F12" s="59">
        <f>E12-E11</f>
        <v>4000</v>
      </c>
      <c r="G12" s="58">
        <f>IF(F12&gt;0,0,F12*0.2)</f>
        <v>0</v>
      </c>
      <c r="H12" s="59">
        <f>E11+F12-G12</f>
        <v>25000</v>
      </c>
      <c r="U12" s="54"/>
      <c r="V12" s="54"/>
      <c r="W12" s="54"/>
      <c r="X12" s="54"/>
      <c r="Y12" s="54"/>
      <c r="Z12" s="54"/>
      <c r="AA12" s="54"/>
      <c r="AB12" s="54"/>
      <c r="AC12" s="54"/>
    </row>
    <row r="13" spans="1:29" x14ac:dyDescent="0.25">
      <c r="A13" s="58">
        <v>3</v>
      </c>
      <c r="B13" s="59">
        <v>2800</v>
      </c>
      <c r="C13" s="59">
        <v>10000</v>
      </c>
      <c r="D13" s="59">
        <f>5*B13</f>
        <v>14000</v>
      </c>
      <c r="E13" s="59">
        <f>C13+D13</f>
        <v>24000</v>
      </c>
      <c r="F13" s="59">
        <f>E13-E12</f>
        <v>-1000</v>
      </c>
      <c r="G13" s="58">
        <f>IF(F13&gt;0,0,-F13*0.2)</f>
        <v>200</v>
      </c>
      <c r="H13" s="59">
        <f>E12+F13+G13</f>
        <v>24200</v>
      </c>
      <c r="U13" s="54" t="s">
        <v>134</v>
      </c>
      <c r="V13" s="54">
        <v>7</v>
      </c>
      <c r="W13" s="54">
        <v>2.4301964590600578E-25</v>
      </c>
      <c r="X13" s="54">
        <v>3.4717092272286538E-26</v>
      </c>
      <c r="Y13" s="54"/>
      <c r="Z13" s="54"/>
      <c r="AA13" s="54"/>
      <c r="AB13" s="54"/>
      <c r="AC13" s="54"/>
    </row>
    <row r="14" spans="1:29" x14ac:dyDescent="0.25">
      <c r="U14" s="54"/>
      <c r="V14" s="54"/>
      <c r="W14" s="54"/>
      <c r="X14" s="54"/>
      <c r="Y14" s="54"/>
      <c r="Z14" s="54"/>
      <c r="AA14" s="54"/>
      <c r="AB14" s="54"/>
      <c r="AC14" s="54"/>
    </row>
    <row r="15" spans="1:29" ht="14.4" thickBot="1" x14ac:dyDescent="0.3">
      <c r="U15" s="60" t="s">
        <v>135</v>
      </c>
      <c r="V15" s="60">
        <v>9</v>
      </c>
      <c r="W15" s="60">
        <v>28364000</v>
      </c>
      <c r="X15" s="60"/>
      <c r="Y15" s="60"/>
      <c r="Z15" s="60"/>
      <c r="AA15" s="54"/>
      <c r="AB15" s="54"/>
      <c r="AC15" s="54"/>
    </row>
    <row r="16" spans="1:29" x14ac:dyDescent="0.25">
      <c r="B16"/>
      <c r="U16" s="54"/>
      <c r="V16" s="54"/>
      <c r="W16" s="54"/>
      <c r="X16" s="54"/>
      <c r="Y16" s="54"/>
      <c r="Z16" s="54"/>
      <c r="AA16" s="54"/>
      <c r="AB16" s="54"/>
      <c r="AC16" s="54"/>
    </row>
    <row r="17" spans="1:2" x14ac:dyDescent="0.25">
      <c r="A17" s="50"/>
      <c r="B17"/>
    </row>
    <row r="18" spans="1:2" x14ac:dyDescent="0.25">
      <c r="B18" s="2"/>
    </row>
    <row r="19" spans="1:2" x14ac:dyDescent="0.25">
      <c r="B19" s="2"/>
    </row>
    <row r="20" spans="1:2" x14ac:dyDescent="0.25">
      <c r="B20" s="2"/>
    </row>
    <row r="21" spans="1:2" x14ac:dyDescent="0.25">
      <c r="B21" s="2"/>
    </row>
    <row r="22" spans="1:2" x14ac:dyDescent="0.25">
      <c r="B22"/>
    </row>
    <row r="23" spans="1:2" x14ac:dyDescent="0.25">
      <c r="B23"/>
    </row>
  </sheetData>
  <mergeCells count="1">
    <mergeCell ref="A1:N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EA2D-76F9-4FD2-AC33-08A1FAFC239B}">
  <dimension ref="A1:I110"/>
  <sheetViews>
    <sheetView topLeftCell="A12" zoomScaleNormal="100" workbookViewId="0">
      <selection activeCell="L32" sqref="L32"/>
    </sheetView>
  </sheetViews>
  <sheetFormatPr defaultColWidth="8.88671875" defaultRowHeight="13.2" customHeight="1" x14ac:dyDescent="0.25"/>
  <cols>
    <col min="1" max="1" width="9" style="2" customWidth="1"/>
    <col min="2" max="4" width="8.88671875" style="2"/>
    <col min="5" max="5" width="10.33203125" style="2" customWidth="1"/>
    <col min="6" max="6" width="10.6640625" style="2" customWidth="1"/>
    <col min="7" max="7" width="1.6640625" style="2" customWidth="1"/>
    <col min="8" max="8" width="42.5546875" style="2" customWidth="1"/>
    <col min="9" max="9" width="10.6640625" style="17" customWidth="1"/>
    <col min="10" max="16384" width="8.88671875" style="2"/>
  </cols>
  <sheetData>
    <row r="1" spans="1:9" ht="13.2" customHeight="1" x14ac:dyDescent="0.25">
      <c r="A1" s="163" t="s">
        <v>136</v>
      </c>
      <c r="B1" s="163"/>
      <c r="C1" s="163"/>
      <c r="D1" s="163"/>
      <c r="E1" s="163"/>
      <c r="F1" s="163"/>
      <c r="H1" s="61" t="s">
        <v>137</v>
      </c>
      <c r="I1" s="62"/>
    </row>
    <row r="2" spans="1:9" ht="13.2" customHeight="1" x14ac:dyDescent="0.25">
      <c r="A2" s="166" t="s">
        <v>138</v>
      </c>
      <c r="B2" s="166"/>
      <c r="C2" s="166"/>
      <c r="D2" s="167" t="s">
        <v>139</v>
      </c>
      <c r="E2" s="167"/>
      <c r="F2" s="167"/>
      <c r="H2" s="1" t="s">
        <v>140</v>
      </c>
      <c r="I2" s="63">
        <v>120000</v>
      </c>
    </row>
    <row r="3" spans="1:9" ht="13.2" customHeight="1" x14ac:dyDescent="0.25">
      <c r="A3" s="166" t="s">
        <v>141</v>
      </c>
      <c r="B3" s="166"/>
      <c r="C3" s="166"/>
      <c r="D3" s="168">
        <v>120000</v>
      </c>
      <c r="E3" s="168"/>
      <c r="F3" s="168"/>
      <c r="H3" s="2" t="s">
        <v>142</v>
      </c>
      <c r="I3" s="64">
        <v>40</v>
      </c>
    </row>
    <row r="4" spans="1:9" ht="13.2" customHeight="1" x14ac:dyDescent="0.25">
      <c r="A4" s="163" t="s">
        <v>143</v>
      </c>
      <c r="B4" s="163"/>
      <c r="C4" s="163"/>
      <c r="D4" s="163"/>
      <c r="E4" s="163"/>
      <c r="F4" s="163"/>
      <c r="H4" s="2" t="s">
        <v>144</v>
      </c>
      <c r="I4" s="65">
        <f>I2*I3</f>
        <v>4800000</v>
      </c>
    </row>
    <row r="5" spans="1:9" ht="13.2" customHeight="1" x14ac:dyDescent="0.25">
      <c r="A5" s="163"/>
      <c r="B5" s="163"/>
      <c r="C5" s="163"/>
      <c r="D5" s="163"/>
      <c r="E5" s="163"/>
      <c r="F5" s="163"/>
      <c r="H5" s="61" t="s">
        <v>145</v>
      </c>
      <c r="I5" s="62"/>
    </row>
    <row r="6" spans="1:9" ht="13.2" customHeight="1" x14ac:dyDescent="0.25">
      <c r="A6" s="163"/>
      <c r="B6" s="163"/>
      <c r="C6" s="163"/>
      <c r="D6" s="163"/>
      <c r="E6" s="163"/>
      <c r="F6" s="163"/>
      <c r="H6" s="2" t="s">
        <v>146</v>
      </c>
      <c r="I6" s="65">
        <v>1800000</v>
      </c>
    </row>
    <row r="7" spans="1:9" ht="13.2" customHeight="1" x14ac:dyDescent="0.25">
      <c r="A7" s="163"/>
      <c r="B7" s="163"/>
      <c r="C7" s="163"/>
      <c r="D7" s="163"/>
      <c r="E7" s="163"/>
      <c r="F7" s="163"/>
      <c r="H7" s="2" t="s">
        <v>147</v>
      </c>
      <c r="I7" s="66">
        <f>I4*60%</f>
        <v>2880000</v>
      </c>
    </row>
    <row r="8" spans="1:9" ht="13.2" customHeight="1" x14ac:dyDescent="0.25">
      <c r="A8" s="165" t="s">
        <v>148</v>
      </c>
      <c r="B8" s="165"/>
      <c r="C8" s="165"/>
      <c r="D8" s="165"/>
      <c r="E8" s="165"/>
      <c r="F8" s="165"/>
      <c r="H8" s="2" t="s">
        <v>149</v>
      </c>
      <c r="I8" s="65">
        <f>SUM(I6:I7)</f>
        <v>4680000</v>
      </c>
    </row>
    <row r="9" spans="1:9" ht="13.2" customHeight="1" x14ac:dyDescent="0.25">
      <c r="A9" s="163" t="s">
        <v>150</v>
      </c>
      <c r="B9" s="163"/>
      <c r="C9" s="163"/>
      <c r="D9" s="163"/>
      <c r="E9" s="163"/>
      <c r="F9" s="163"/>
      <c r="H9" s="2" t="s">
        <v>151</v>
      </c>
      <c r="I9" s="63">
        <f>I4*40%</f>
        <v>1920000</v>
      </c>
    </row>
    <row r="10" spans="1:9" ht="13.2" customHeight="1" x14ac:dyDescent="0.25">
      <c r="A10" s="163"/>
      <c r="B10" s="163"/>
      <c r="C10" s="163"/>
      <c r="D10" s="163"/>
      <c r="E10" s="163"/>
      <c r="F10" s="163"/>
      <c r="H10" s="61" t="s">
        <v>152</v>
      </c>
      <c r="I10" s="62"/>
    </row>
    <row r="11" spans="1:9" ht="13.2" customHeight="1" x14ac:dyDescent="0.25">
      <c r="A11" s="163"/>
      <c r="B11" s="163"/>
      <c r="C11" s="163"/>
      <c r="D11" s="163"/>
      <c r="E11" s="163"/>
      <c r="F11" s="163"/>
      <c r="H11" s="1" t="str">
        <f>H2</f>
        <v>Forecasted Sales in units</v>
      </c>
      <c r="I11" s="65">
        <f>I2</f>
        <v>120000</v>
      </c>
    </row>
    <row r="12" spans="1:9" ht="13.2" customHeight="1" x14ac:dyDescent="0.25">
      <c r="A12" s="163"/>
      <c r="B12" s="163"/>
      <c r="C12" s="163"/>
      <c r="D12" s="163"/>
      <c r="E12" s="163"/>
      <c r="F12" s="163"/>
      <c r="H12" s="2" t="s">
        <v>153</v>
      </c>
      <c r="I12" s="65">
        <f>150000*20%</f>
        <v>30000</v>
      </c>
    </row>
    <row r="13" spans="1:9" ht="13.2" customHeight="1" x14ac:dyDescent="0.25">
      <c r="A13" s="162" t="s">
        <v>154</v>
      </c>
      <c r="B13" s="162"/>
      <c r="C13" s="162"/>
      <c r="D13" s="162"/>
      <c r="E13" s="162"/>
      <c r="F13" s="162"/>
      <c r="H13" s="2" t="s">
        <v>155</v>
      </c>
      <c r="I13" s="66">
        <v>-24000</v>
      </c>
    </row>
    <row r="14" spans="1:9" ht="14.4" customHeight="1" x14ac:dyDescent="0.25">
      <c r="A14" s="163" t="s">
        <v>156</v>
      </c>
      <c r="B14" s="163"/>
      <c r="C14" s="163"/>
      <c r="D14" s="163"/>
      <c r="E14" s="163"/>
      <c r="F14" s="163"/>
      <c r="H14" s="2" t="s">
        <v>157</v>
      </c>
      <c r="I14" s="65">
        <f>SUM(I11:I13)</f>
        <v>126000</v>
      </c>
    </row>
    <row r="15" spans="1:9" ht="13.2" customHeight="1" x14ac:dyDescent="0.25">
      <c r="A15" s="163"/>
      <c r="B15" s="163"/>
      <c r="C15" s="163"/>
      <c r="D15" s="163"/>
      <c r="E15" s="163"/>
      <c r="F15" s="163"/>
      <c r="H15" s="67" t="s">
        <v>158</v>
      </c>
      <c r="I15" s="62"/>
    </row>
    <row r="16" spans="1:9" ht="13.2" customHeight="1" x14ac:dyDescent="0.25">
      <c r="A16" s="163"/>
      <c r="B16" s="163"/>
      <c r="C16" s="163"/>
      <c r="D16" s="163"/>
      <c r="E16" s="163"/>
      <c r="F16" s="163"/>
      <c r="H16" s="2" t="str">
        <f>H14</f>
        <v>Units to be produced</v>
      </c>
      <c r="I16" s="65">
        <f>I14</f>
        <v>126000</v>
      </c>
    </row>
    <row r="17" spans="1:9" ht="13.2" customHeight="1" x14ac:dyDescent="0.25">
      <c r="A17" s="163"/>
      <c r="B17" s="163"/>
      <c r="C17" s="163"/>
      <c r="D17" s="163"/>
      <c r="E17" s="163"/>
      <c r="F17" s="163"/>
      <c r="H17" s="2" t="s">
        <v>159</v>
      </c>
      <c r="I17" s="66">
        <v>5</v>
      </c>
    </row>
    <row r="18" spans="1:9" ht="13.2" customHeight="1" x14ac:dyDescent="0.25">
      <c r="A18" s="163"/>
      <c r="B18" s="163"/>
      <c r="C18" s="163"/>
      <c r="D18" s="163"/>
      <c r="E18" s="163"/>
      <c r="F18" s="163"/>
      <c r="H18" s="1" t="s">
        <v>160</v>
      </c>
      <c r="I18" s="65">
        <f>I16*I17</f>
        <v>630000</v>
      </c>
    </row>
    <row r="19" spans="1:9" ht="13.2" customHeight="1" x14ac:dyDescent="0.25">
      <c r="A19" s="163"/>
      <c r="B19" s="163"/>
      <c r="C19" s="163"/>
      <c r="D19" s="163"/>
      <c r="E19" s="163"/>
      <c r="F19" s="163"/>
      <c r="H19" s="1" t="s">
        <v>153</v>
      </c>
      <c r="I19" s="68">
        <v>50000</v>
      </c>
    </row>
    <row r="20" spans="1:9" ht="13.2" customHeight="1" x14ac:dyDescent="0.25">
      <c r="A20" s="163"/>
      <c r="B20" s="163"/>
      <c r="C20" s="163"/>
      <c r="D20" s="163"/>
      <c r="E20" s="163"/>
      <c r="F20" s="163"/>
      <c r="H20" s="2" t="s">
        <v>155</v>
      </c>
      <c r="I20" s="66">
        <v>-20000</v>
      </c>
    </row>
    <row r="21" spans="1:9" ht="13.2" customHeight="1" x14ac:dyDescent="0.25">
      <c r="A21" s="165" t="s">
        <v>161</v>
      </c>
      <c r="B21" s="165"/>
      <c r="C21" s="165"/>
      <c r="D21" s="165"/>
      <c r="E21" s="165"/>
      <c r="F21" s="165"/>
      <c r="H21" s="2" t="s">
        <v>162</v>
      </c>
      <c r="I21" s="65">
        <f>SUM(I18:I20)</f>
        <v>660000</v>
      </c>
    </row>
    <row r="22" spans="1:9" ht="13.8" x14ac:dyDescent="0.25">
      <c r="A22" s="165"/>
      <c r="B22" s="165"/>
      <c r="C22" s="165"/>
      <c r="D22" s="165"/>
      <c r="E22" s="165"/>
      <c r="F22" s="165"/>
      <c r="H22" s="2" t="s">
        <v>163</v>
      </c>
      <c r="I22" s="69">
        <v>2</v>
      </c>
    </row>
    <row r="23" spans="1:9" ht="13.2" customHeight="1" x14ac:dyDescent="0.25">
      <c r="A23" s="160"/>
      <c r="B23" s="160"/>
      <c r="C23" s="160"/>
      <c r="D23" s="160"/>
      <c r="E23" s="160"/>
      <c r="F23" s="160"/>
      <c r="H23" s="2" t="s">
        <v>164</v>
      </c>
      <c r="I23" s="68">
        <f>I21*I22</f>
        <v>1320000</v>
      </c>
    </row>
    <row r="24" spans="1:9" ht="13.2" customHeight="1" x14ac:dyDescent="0.25">
      <c r="A24" s="160"/>
      <c r="B24" s="160"/>
      <c r="C24" s="160"/>
      <c r="D24" s="160"/>
      <c r="E24" s="160"/>
      <c r="F24" s="160"/>
      <c r="H24" s="67" t="s">
        <v>165</v>
      </c>
      <c r="I24" s="62"/>
    </row>
    <row r="25" spans="1:9" ht="13.2" customHeight="1" x14ac:dyDescent="0.25">
      <c r="A25" s="160"/>
      <c r="B25" s="160"/>
      <c r="C25" s="160"/>
      <c r="D25" s="160"/>
      <c r="E25" s="160"/>
      <c r="F25" s="160"/>
      <c r="H25" s="2" t="s">
        <v>166</v>
      </c>
      <c r="I25" s="65">
        <v>500000</v>
      </c>
    </row>
    <row r="26" spans="1:9" ht="13.2" customHeight="1" x14ac:dyDescent="0.25">
      <c r="A26" s="160"/>
      <c r="B26" s="160"/>
      <c r="C26" s="160"/>
      <c r="D26" s="160"/>
      <c r="E26" s="160"/>
      <c r="F26" s="160"/>
      <c r="H26" s="2" t="s">
        <v>167</v>
      </c>
      <c r="I26" s="66">
        <f>I23*50%</f>
        <v>660000</v>
      </c>
    </row>
    <row r="27" spans="1:9" ht="13.2" customHeight="1" x14ac:dyDescent="0.25">
      <c r="A27" s="160"/>
      <c r="B27" s="160"/>
      <c r="C27" s="160"/>
      <c r="D27" s="160"/>
      <c r="E27" s="160"/>
      <c r="F27" s="160"/>
      <c r="H27" s="2" t="s">
        <v>10</v>
      </c>
      <c r="I27" s="65">
        <f>SUM(I25:I26)</f>
        <v>1160000</v>
      </c>
    </row>
    <row r="28" spans="1:9" ht="13.2" customHeight="1" x14ac:dyDescent="0.25">
      <c r="A28" s="156" t="s">
        <v>168</v>
      </c>
      <c r="B28" s="156"/>
      <c r="C28" s="156"/>
      <c r="D28" s="156"/>
      <c r="E28" s="156"/>
      <c r="F28" s="156"/>
      <c r="H28" s="2" t="s">
        <v>169</v>
      </c>
      <c r="I28" s="68">
        <f>I23*50%</f>
        <v>660000</v>
      </c>
    </row>
    <row r="29" spans="1:9" ht="13.2" customHeight="1" x14ac:dyDescent="0.25">
      <c r="A29" s="156"/>
      <c r="B29" s="156"/>
      <c r="C29" s="156"/>
      <c r="D29" s="156"/>
      <c r="E29" s="156"/>
      <c r="F29" s="156"/>
      <c r="H29" s="67" t="s">
        <v>170</v>
      </c>
      <c r="I29" s="62"/>
    </row>
    <row r="30" spans="1:9" ht="13.2" customHeight="1" x14ac:dyDescent="0.25">
      <c r="A30" s="162" t="s">
        <v>171</v>
      </c>
      <c r="B30" s="162"/>
      <c r="C30" s="162"/>
      <c r="D30" s="162"/>
      <c r="E30" s="162"/>
      <c r="F30" s="162"/>
      <c r="H30" s="2" t="str">
        <f>H14</f>
        <v>Units to be produced</v>
      </c>
      <c r="I30" s="68">
        <f>I14</f>
        <v>126000</v>
      </c>
    </row>
    <row r="31" spans="1:9" ht="13.2" customHeight="1" x14ac:dyDescent="0.25">
      <c r="A31" s="160"/>
      <c r="B31" s="160"/>
      <c r="C31" s="160"/>
      <c r="D31" s="160"/>
      <c r="E31" s="160"/>
      <c r="F31" s="160"/>
      <c r="H31" s="2" t="s">
        <v>172</v>
      </c>
      <c r="I31" s="64">
        <v>0.5</v>
      </c>
    </row>
    <row r="32" spans="1:9" ht="13.2" customHeight="1" x14ac:dyDescent="0.25">
      <c r="A32" s="160"/>
      <c r="B32" s="160"/>
      <c r="C32" s="160"/>
      <c r="D32" s="160"/>
      <c r="E32" s="160"/>
      <c r="F32" s="160"/>
      <c r="H32" s="2" t="s">
        <v>173</v>
      </c>
      <c r="I32" s="65">
        <f>I30*I31</f>
        <v>63000</v>
      </c>
    </row>
    <row r="33" spans="1:9" ht="13.2" customHeight="1" x14ac:dyDescent="0.25">
      <c r="A33" s="160"/>
      <c r="B33" s="160"/>
      <c r="C33" s="160"/>
      <c r="D33" s="160"/>
      <c r="E33" s="160"/>
      <c r="F33" s="160"/>
      <c r="H33" s="2" t="s">
        <v>174</v>
      </c>
      <c r="I33" s="66">
        <v>16</v>
      </c>
    </row>
    <row r="34" spans="1:9" ht="13.2" customHeight="1" x14ac:dyDescent="0.25">
      <c r="A34" s="163" t="s">
        <v>175</v>
      </c>
      <c r="B34" s="163"/>
      <c r="C34" s="163"/>
      <c r="D34" s="163"/>
      <c r="E34" s="163"/>
      <c r="F34" s="163"/>
      <c r="H34" s="2" t="s">
        <v>176</v>
      </c>
      <c r="I34" s="65">
        <f>I32*I33</f>
        <v>1008000</v>
      </c>
    </row>
    <row r="35" spans="1:9" ht="13.2" customHeight="1" x14ac:dyDescent="0.25">
      <c r="A35" s="163"/>
      <c r="B35" s="163"/>
      <c r="C35" s="163"/>
      <c r="D35" s="163"/>
      <c r="E35" s="163"/>
      <c r="F35" s="163"/>
      <c r="H35" s="67" t="s">
        <v>177</v>
      </c>
      <c r="I35" s="62"/>
    </row>
    <row r="36" spans="1:9" ht="13.2" customHeight="1" x14ac:dyDescent="0.25">
      <c r="A36" s="163"/>
      <c r="B36" s="163"/>
      <c r="C36" s="163"/>
      <c r="D36" s="163"/>
      <c r="E36" s="163"/>
      <c r="F36" s="163"/>
      <c r="H36" s="2" t="str">
        <f>H32</f>
        <v>Total required DLH</v>
      </c>
      <c r="I36" s="65">
        <f>I32</f>
        <v>63000</v>
      </c>
    </row>
    <row r="37" spans="1:9" ht="13.2" customHeight="1" x14ac:dyDescent="0.25">
      <c r="A37" s="159" t="s">
        <v>178</v>
      </c>
      <c r="B37" s="159"/>
      <c r="C37" s="159"/>
      <c r="D37" s="159"/>
      <c r="E37" s="159"/>
      <c r="F37" s="159"/>
      <c r="H37" s="2" t="s">
        <v>179</v>
      </c>
      <c r="I37" s="64">
        <v>5</v>
      </c>
    </row>
    <row r="38" spans="1:9" ht="13.2" customHeight="1" x14ac:dyDescent="0.25">
      <c r="A38" s="159"/>
      <c r="B38" s="159"/>
      <c r="C38" s="159"/>
      <c r="D38" s="159"/>
      <c r="E38" s="159"/>
      <c r="F38" s="159"/>
      <c r="H38" s="2" t="s">
        <v>180</v>
      </c>
      <c r="I38" s="65">
        <f>I36*I37</f>
        <v>315000</v>
      </c>
    </row>
    <row r="39" spans="1:9" ht="13.2" customHeight="1" x14ac:dyDescent="0.25">
      <c r="A39" s="160"/>
      <c r="B39" s="160"/>
      <c r="C39" s="160"/>
      <c r="D39" s="160"/>
      <c r="E39" s="160"/>
      <c r="F39" s="160"/>
      <c r="H39" s="2" t="s">
        <v>181</v>
      </c>
      <c r="I39" s="70">
        <v>819000</v>
      </c>
    </row>
    <row r="40" spans="1:9" ht="13.2" customHeight="1" x14ac:dyDescent="0.25">
      <c r="A40" s="160"/>
      <c r="B40" s="160"/>
      <c r="C40" s="160"/>
      <c r="D40" s="160"/>
      <c r="E40" s="160"/>
      <c r="F40" s="160"/>
      <c r="H40" s="2" t="s">
        <v>182</v>
      </c>
      <c r="I40" s="65">
        <f>I38+I39</f>
        <v>1134000</v>
      </c>
    </row>
    <row r="41" spans="1:9" ht="13.2" customHeight="1" x14ac:dyDescent="0.25">
      <c r="A41" s="160"/>
      <c r="B41" s="160"/>
      <c r="C41" s="160"/>
      <c r="D41" s="160"/>
      <c r="E41" s="160"/>
      <c r="F41" s="160"/>
      <c r="H41" s="2" t="s">
        <v>183</v>
      </c>
      <c r="I41" s="65">
        <f>I36</f>
        <v>63000</v>
      </c>
    </row>
    <row r="42" spans="1:9" ht="13.2" customHeight="1" x14ac:dyDescent="0.25">
      <c r="A42" s="163" t="s">
        <v>184</v>
      </c>
      <c r="B42" s="163"/>
      <c r="C42" s="163"/>
      <c r="D42" s="163"/>
      <c r="E42" s="163"/>
      <c r="F42" s="163"/>
      <c r="H42" s="2" t="s">
        <v>185</v>
      </c>
      <c r="I42" s="71">
        <f>I40/I41</f>
        <v>18</v>
      </c>
    </row>
    <row r="43" spans="1:9" ht="13.2" customHeight="1" x14ac:dyDescent="0.25">
      <c r="A43" s="163"/>
      <c r="B43" s="163"/>
      <c r="C43" s="163"/>
      <c r="D43" s="163"/>
      <c r="E43" s="163"/>
      <c r="F43" s="163"/>
      <c r="H43" s="67" t="s">
        <v>186</v>
      </c>
      <c r="I43" s="72"/>
    </row>
    <row r="44" spans="1:9" ht="13.2" customHeight="1" x14ac:dyDescent="0.25">
      <c r="A44" s="157" t="s">
        <v>187</v>
      </c>
      <c r="B44" s="157"/>
      <c r="C44" s="157"/>
      <c r="D44" s="157"/>
      <c r="E44" s="157"/>
      <c r="F44" s="157"/>
      <c r="H44" s="7" t="s">
        <v>188</v>
      </c>
      <c r="I44" s="64"/>
    </row>
    <row r="45" spans="1:9" ht="13.2" customHeight="1" x14ac:dyDescent="0.25">
      <c r="A45" s="160"/>
      <c r="B45" s="160"/>
      <c r="C45" s="160"/>
      <c r="D45" s="160"/>
      <c r="E45" s="160"/>
      <c r="F45" s="160"/>
      <c r="H45" s="2" t="s">
        <v>189</v>
      </c>
      <c r="I45" s="17">
        <f>I17*I22</f>
        <v>10</v>
      </c>
    </row>
    <row r="46" spans="1:9" ht="13.2" customHeight="1" x14ac:dyDescent="0.25">
      <c r="A46" s="160"/>
      <c r="B46" s="160"/>
      <c r="C46" s="160"/>
      <c r="D46" s="160"/>
      <c r="E46" s="160"/>
      <c r="F46" s="160"/>
      <c r="H46" s="2" t="s">
        <v>190</v>
      </c>
      <c r="I46" s="17">
        <f>I31*I33</f>
        <v>8</v>
      </c>
    </row>
    <row r="47" spans="1:9" ht="13.2" customHeight="1" x14ac:dyDescent="0.25">
      <c r="A47" s="160"/>
      <c r="B47" s="160"/>
      <c r="C47" s="160"/>
      <c r="D47" s="160"/>
      <c r="E47" s="160"/>
      <c r="F47" s="160"/>
      <c r="H47" s="2" t="s">
        <v>191</v>
      </c>
      <c r="I47" s="64">
        <f>I31*I42</f>
        <v>9</v>
      </c>
    </row>
    <row r="48" spans="1:9" ht="13.2" customHeight="1" x14ac:dyDescent="0.25">
      <c r="A48" s="160"/>
      <c r="B48" s="160"/>
      <c r="C48" s="160"/>
      <c r="D48" s="160"/>
      <c r="E48" s="160"/>
      <c r="F48" s="160"/>
      <c r="H48" s="2" t="s">
        <v>192</v>
      </c>
      <c r="I48" s="17">
        <f>SUM(I45:I47)</f>
        <v>27</v>
      </c>
    </row>
    <row r="49" spans="1:9" ht="13.2" customHeight="1" x14ac:dyDescent="0.25">
      <c r="A49" s="160"/>
      <c r="B49" s="160"/>
      <c r="C49" s="160"/>
      <c r="D49" s="160"/>
      <c r="E49" s="160"/>
      <c r="F49" s="160"/>
    </row>
    <row r="50" spans="1:9" ht="13.2" customHeight="1" x14ac:dyDescent="0.25">
      <c r="A50" s="160"/>
      <c r="B50" s="160"/>
      <c r="C50" s="160"/>
      <c r="D50" s="160"/>
      <c r="E50" s="160"/>
      <c r="F50" s="160"/>
      <c r="H50" s="2" t="s">
        <v>193</v>
      </c>
      <c r="I50" s="65">
        <f>I12*I48</f>
        <v>810000</v>
      </c>
    </row>
    <row r="51" spans="1:9" ht="13.2" customHeight="1" x14ac:dyDescent="0.25">
      <c r="A51" s="160"/>
      <c r="B51" s="160"/>
      <c r="C51" s="160"/>
      <c r="D51" s="160"/>
      <c r="E51" s="160"/>
      <c r="F51" s="160"/>
      <c r="H51" s="2" t="s">
        <v>194</v>
      </c>
      <c r="I51" s="65">
        <f>I19*I22</f>
        <v>100000</v>
      </c>
    </row>
    <row r="52" spans="1:9" ht="13.2" customHeight="1" x14ac:dyDescent="0.25">
      <c r="A52" s="160"/>
      <c r="B52" s="160"/>
      <c r="C52" s="160"/>
      <c r="D52" s="160"/>
      <c r="E52" s="160"/>
      <c r="F52" s="160"/>
      <c r="H52" s="2" t="s">
        <v>195</v>
      </c>
      <c r="I52" s="65">
        <v>0</v>
      </c>
    </row>
    <row r="53" spans="1:9" ht="13.2" customHeight="1" x14ac:dyDescent="0.25">
      <c r="A53" s="160"/>
      <c r="B53" s="160"/>
      <c r="C53" s="160"/>
      <c r="D53" s="160"/>
      <c r="E53" s="160"/>
      <c r="F53" s="160"/>
      <c r="H53" s="67" t="s">
        <v>196</v>
      </c>
      <c r="I53" s="73"/>
    </row>
    <row r="54" spans="1:9" ht="13.2" customHeight="1" x14ac:dyDescent="0.25">
      <c r="A54" s="164" t="s">
        <v>197</v>
      </c>
      <c r="B54" s="164"/>
      <c r="C54" s="164"/>
      <c r="D54" s="164"/>
      <c r="E54" s="164"/>
      <c r="F54" s="164"/>
      <c r="H54" s="2" t="s">
        <v>198</v>
      </c>
      <c r="I54" s="17">
        <v>0</v>
      </c>
    </row>
    <row r="55" spans="1:9" ht="13.2" customHeight="1" x14ac:dyDescent="0.25">
      <c r="A55" s="165" t="s">
        <v>199</v>
      </c>
      <c r="B55" s="165"/>
      <c r="C55" s="165"/>
      <c r="D55" s="165"/>
      <c r="E55" s="165"/>
      <c r="F55" s="165"/>
      <c r="H55" s="7" t="s">
        <v>200</v>
      </c>
    </row>
    <row r="56" spans="1:9" ht="13.2" customHeight="1" x14ac:dyDescent="0.25">
      <c r="A56" s="165"/>
      <c r="B56" s="165"/>
      <c r="C56" s="165"/>
      <c r="D56" s="165"/>
      <c r="E56" s="165"/>
      <c r="F56" s="165"/>
      <c r="H56" s="2" t="s">
        <v>201</v>
      </c>
      <c r="I56" s="68">
        <f>I18*I22</f>
        <v>1260000</v>
      </c>
    </row>
    <row r="57" spans="1:9" ht="13.2" customHeight="1" x14ac:dyDescent="0.25">
      <c r="A57" s="161"/>
      <c r="B57" s="161"/>
      <c r="C57" s="161"/>
      <c r="D57" s="161"/>
      <c r="E57" s="161"/>
      <c r="F57" s="161"/>
      <c r="H57" s="2" t="s">
        <v>202</v>
      </c>
      <c r="I57" s="65">
        <f>I34</f>
        <v>1008000</v>
      </c>
    </row>
    <row r="58" spans="1:9" ht="13.2" customHeight="1" x14ac:dyDescent="0.25">
      <c r="A58" s="161"/>
      <c r="B58" s="161"/>
      <c r="C58" s="161"/>
      <c r="D58" s="161"/>
      <c r="E58" s="161"/>
      <c r="F58" s="161"/>
      <c r="H58" s="2" t="s">
        <v>61</v>
      </c>
      <c r="I58" s="65">
        <f>I40</f>
        <v>1134000</v>
      </c>
    </row>
    <row r="59" spans="1:9" ht="13.2" customHeight="1" x14ac:dyDescent="0.25">
      <c r="A59" s="161"/>
      <c r="B59" s="161"/>
      <c r="C59" s="161"/>
      <c r="D59" s="161"/>
      <c r="E59" s="161"/>
      <c r="F59" s="161"/>
      <c r="H59" s="2" t="s">
        <v>203</v>
      </c>
      <c r="I59" s="66">
        <v>0</v>
      </c>
    </row>
    <row r="60" spans="1:9" ht="13.2" customHeight="1" x14ac:dyDescent="0.25">
      <c r="A60" s="161"/>
      <c r="B60" s="161"/>
      <c r="C60" s="161"/>
      <c r="D60" s="161"/>
      <c r="E60" s="161"/>
      <c r="F60" s="161"/>
      <c r="H60" s="2" t="s">
        <v>70</v>
      </c>
      <c r="I60" s="68">
        <f>SUM(I54:I59)</f>
        <v>3402000</v>
      </c>
    </row>
    <row r="61" spans="1:9" ht="13.2" customHeight="1" x14ac:dyDescent="0.25">
      <c r="A61" s="161"/>
      <c r="B61" s="161"/>
      <c r="C61" s="161"/>
      <c r="D61" s="161"/>
      <c r="E61" s="161"/>
      <c r="F61" s="161"/>
      <c r="H61" s="67" t="s">
        <v>204</v>
      </c>
      <c r="I61" s="74"/>
    </row>
    <row r="62" spans="1:9" ht="13.2" customHeight="1" x14ac:dyDescent="0.25">
      <c r="A62" s="161"/>
      <c r="B62" s="161"/>
      <c r="C62" s="161"/>
      <c r="D62" s="161"/>
      <c r="E62" s="161"/>
      <c r="F62" s="161"/>
      <c r="H62" s="2" t="s">
        <v>205</v>
      </c>
      <c r="I62" s="63">
        <v>592000</v>
      </c>
    </row>
    <row r="63" spans="1:9" ht="13.2" customHeight="1" x14ac:dyDescent="0.25">
      <c r="A63" s="161"/>
      <c r="B63" s="161"/>
      <c r="C63" s="161"/>
      <c r="D63" s="161"/>
      <c r="E63" s="161"/>
      <c r="F63" s="161"/>
      <c r="H63" s="2" t="s">
        <v>206</v>
      </c>
      <c r="I63" s="68">
        <f>I60</f>
        <v>3402000</v>
      </c>
    </row>
    <row r="64" spans="1:9" ht="13.2" customHeight="1" x14ac:dyDescent="0.25">
      <c r="A64" s="161"/>
      <c r="B64" s="161"/>
      <c r="C64" s="161"/>
      <c r="D64" s="161"/>
      <c r="E64" s="161"/>
      <c r="F64" s="161"/>
      <c r="H64" s="2" t="s">
        <v>207</v>
      </c>
      <c r="I64" s="75">
        <f>-I50</f>
        <v>-810000</v>
      </c>
    </row>
    <row r="65" spans="1:9" ht="13.2" customHeight="1" x14ac:dyDescent="0.25">
      <c r="A65" s="161"/>
      <c r="B65" s="161"/>
      <c r="C65" s="161"/>
      <c r="D65" s="161"/>
      <c r="E65" s="161"/>
      <c r="F65" s="161"/>
      <c r="H65" s="2" t="s">
        <v>208</v>
      </c>
      <c r="I65" s="63">
        <f>SUM(I62:I64)</f>
        <v>3184000</v>
      </c>
    </row>
    <row r="66" spans="1:9" ht="13.2" customHeight="1" x14ac:dyDescent="0.25">
      <c r="A66" s="161"/>
      <c r="B66" s="161"/>
      <c r="C66" s="161"/>
      <c r="D66" s="161"/>
      <c r="E66" s="161"/>
      <c r="F66" s="161"/>
      <c r="H66" s="67" t="s">
        <v>209</v>
      </c>
      <c r="I66" s="62"/>
    </row>
    <row r="67" spans="1:9" ht="13.2" customHeight="1" x14ac:dyDescent="0.25">
      <c r="A67" s="161"/>
      <c r="B67" s="161"/>
      <c r="C67" s="161"/>
      <c r="D67" s="161"/>
      <c r="E67" s="161"/>
      <c r="F67" s="161"/>
      <c r="H67" s="2" t="str">
        <f>H2</f>
        <v>Forecasted Sales in units</v>
      </c>
      <c r="I67" s="63">
        <f>I2</f>
        <v>120000</v>
      </c>
    </row>
    <row r="68" spans="1:9" ht="13.2" customHeight="1" x14ac:dyDescent="0.25">
      <c r="A68" s="156" t="s">
        <v>210</v>
      </c>
      <c r="B68" s="156"/>
      <c r="C68" s="156"/>
      <c r="D68" s="156"/>
      <c r="E68" s="156"/>
      <c r="F68" s="156"/>
      <c r="H68" s="2" t="s">
        <v>211</v>
      </c>
      <c r="I68" s="17">
        <v>1.8</v>
      </c>
    </row>
    <row r="69" spans="1:9" ht="13.2" customHeight="1" x14ac:dyDescent="0.25">
      <c r="A69" s="156"/>
      <c r="B69" s="156"/>
      <c r="C69" s="156"/>
      <c r="D69" s="156"/>
      <c r="E69" s="156"/>
      <c r="F69" s="156"/>
      <c r="H69" s="2" t="s">
        <v>212</v>
      </c>
      <c r="I69" s="68">
        <f>I67*I68</f>
        <v>216000</v>
      </c>
    </row>
    <row r="70" spans="1:9" ht="13.2" customHeight="1" x14ac:dyDescent="0.25">
      <c r="A70" s="157" t="s">
        <v>213</v>
      </c>
      <c r="B70" s="157"/>
      <c r="C70" s="157"/>
      <c r="D70" s="157"/>
      <c r="E70" s="157"/>
      <c r="F70" s="157"/>
      <c r="H70" s="2" t="s">
        <v>214</v>
      </c>
      <c r="I70" s="70">
        <v>400000</v>
      </c>
    </row>
    <row r="71" spans="1:9" ht="13.2" customHeight="1" x14ac:dyDescent="0.25">
      <c r="H71" s="2" t="s">
        <v>215</v>
      </c>
      <c r="I71" s="63">
        <f>I69+I70</f>
        <v>616000</v>
      </c>
    </row>
    <row r="72" spans="1:9" ht="13.2" customHeight="1" x14ac:dyDescent="0.25">
      <c r="A72" s="158" t="s">
        <v>216</v>
      </c>
      <c r="B72" s="158"/>
      <c r="C72" s="158"/>
      <c r="D72" s="158"/>
      <c r="E72" s="158"/>
      <c r="F72" s="158"/>
      <c r="H72" s="67" t="s">
        <v>217</v>
      </c>
      <c r="I72" s="62"/>
    </row>
    <row r="73" spans="1:9" ht="13.2" customHeight="1" x14ac:dyDescent="0.25">
      <c r="A73" s="158"/>
      <c r="B73" s="158"/>
      <c r="C73" s="158"/>
      <c r="D73" s="158"/>
      <c r="E73" s="158"/>
      <c r="F73" s="158"/>
      <c r="H73" s="2" t="s">
        <v>218</v>
      </c>
      <c r="I73" s="65">
        <v>770000</v>
      </c>
    </row>
    <row r="74" spans="1:9" ht="13.2" customHeight="1" x14ac:dyDescent="0.25">
      <c r="A74" s="158"/>
      <c r="B74" s="158"/>
      <c r="C74" s="158"/>
      <c r="D74" s="158"/>
      <c r="E74" s="158"/>
      <c r="F74" s="158"/>
      <c r="H74" s="2" t="s">
        <v>219</v>
      </c>
      <c r="I74" s="65">
        <f>I8</f>
        <v>4680000</v>
      </c>
    </row>
    <row r="75" spans="1:9" ht="13.2" customHeight="1" x14ac:dyDescent="0.25">
      <c r="A75" s="158"/>
      <c r="B75" s="158"/>
      <c r="C75" s="158"/>
      <c r="D75" s="158"/>
      <c r="E75" s="158"/>
      <c r="F75" s="158"/>
      <c r="H75" s="7" t="s">
        <v>220</v>
      </c>
      <c r="I75" s="65"/>
    </row>
    <row r="76" spans="1:9" ht="13.2" customHeight="1" x14ac:dyDescent="0.25">
      <c r="A76" s="158"/>
      <c r="B76" s="158"/>
      <c r="C76" s="158"/>
      <c r="D76" s="158"/>
      <c r="E76" s="158"/>
      <c r="F76" s="158"/>
      <c r="H76" s="2" t="s">
        <v>51</v>
      </c>
      <c r="I76" s="65">
        <f>I27</f>
        <v>1160000</v>
      </c>
    </row>
    <row r="77" spans="1:9" ht="13.2" customHeight="1" x14ac:dyDescent="0.25">
      <c r="A77" s="158"/>
      <c r="B77" s="158"/>
      <c r="C77" s="158"/>
      <c r="D77" s="158"/>
      <c r="E77" s="158"/>
      <c r="F77" s="158"/>
      <c r="H77" s="2" t="s">
        <v>202</v>
      </c>
      <c r="I77" s="63">
        <f>I34</f>
        <v>1008000</v>
      </c>
    </row>
    <row r="78" spans="1:9" ht="13.2" customHeight="1" x14ac:dyDescent="0.25">
      <c r="A78" s="158"/>
      <c r="B78" s="158"/>
      <c r="C78" s="158"/>
      <c r="D78" s="158"/>
      <c r="E78" s="158"/>
      <c r="F78" s="158"/>
      <c r="H78" s="2" t="s">
        <v>61</v>
      </c>
      <c r="I78" s="63">
        <f>I40-80000</f>
        <v>1054000</v>
      </c>
    </row>
    <row r="79" spans="1:9" ht="13.2" customHeight="1" x14ac:dyDescent="0.25">
      <c r="A79" s="158"/>
      <c r="B79" s="158"/>
      <c r="C79" s="158"/>
      <c r="D79" s="158"/>
      <c r="E79" s="158"/>
      <c r="F79" s="158"/>
      <c r="H79" s="2" t="s">
        <v>221</v>
      </c>
      <c r="I79" s="63">
        <f>I71-60000</f>
        <v>556000</v>
      </c>
    </row>
    <row r="80" spans="1:9" ht="13.2" customHeight="1" x14ac:dyDescent="0.25">
      <c r="A80" s="158"/>
      <c r="B80" s="158"/>
      <c r="C80" s="158"/>
      <c r="D80" s="158"/>
      <c r="E80" s="158"/>
      <c r="F80" s="158"/>
      <c r="H80" s="2" t="s">
        <v>222</v>
      </c>
      <c r="I80" s="63">
        <v>140000</v>
      </c>
    </row>
    <row r="81" spans="1:9" ht="13.2" customHeight="1" x14ac:dyDescent="0.25">
      <c r="A81" s="158"/>
      <c r="B81" s="158"/>
      <c r="C81" s="158"/>
      <c r="D81" s="158"/>
      <c r="E81" s="158"/>
      <c r="F81" s="158"/>
      <c r="H81" s="2" t="s">
        <v>223</v>
      </c>
      <c r="I81" s="70">
        <v>32000</v>
      </c>
    </row>
    <row r="82" spans="1:9" ht="13.2" customHeight="1" x14ac:dyDescent="0.25">
      <c r="A82" s="158"/>
      <c r="B82" s="158"/>
      <c r="C82" s="158"/>
      <c r="D82" s="158"/>
      <c r="E82" s="158"/>
      <c r="F82" s="158"/>
      <c r="H82" s="2" t="s">
        <v>224</v>
      </c>
      <c r="I82" s="66">
        <f>SUM(I76:I81)</f>
        <v>3950000</v>
      </c>
    </row>
    <row r="83" spans="1:9" ht="13.2" customHeight="1" x14ac:dyDescent="0.25">
      <c r="A83" s="158"/>
      <c r="B83" s="158"/>
      <c r="C83" s="158"/>
      <c r="D83" s="158"/>
      <c r="E83" s="158"/>
      <c r="F83" s="158"/>
      <c r="H83" s="2" t="s">
        <v>225</v>
      </c>
      <c r="I83" s="63">
        <f>I73+I74-I82</f>
        <v>1500000</v>
      </c>
    </row>
    <row r="84" spans="1:9" ht="13.2" customHeight="1" x14ac:dyDescent="0.25">
      <c r="A84" s="158"/>
      <c r="B84" s="158"/>
      <c r="C84" s="158"/>
      <c r="D84" s="158"/>
      <c r="E84" s="158"/>
      <c r="F84" s="158"/>
      <c r="H84" s="7" t="s">
        <v>226</v>
      </c>
    </row>
    <row r="85" spans="1:9" ht="13.2" customHeight="1" x14ac:dyDescent="0.25">
      <c r="A85" s="158"/>
      <c r="B85" s="158"/>
      <c r="C85" s="158"/>
      <c r="D85" s="158"/>
      <c r="E85" s="158"/>
      <c r="F85" s="158"/>
      <c r="H85" s="2" t="s">
        <v>227</v>
      </c>
      <c r="I85" s="63">
        <v>500000</v>
      </c>
    </row>
    <row r="86" spans="1:9" ht="13.2" customHeight="1" x14ac:dyDescent="0.25">
      <c r="A86" s="158"/>
      <c r="B86" s="158"/>
      <c r="C86" s="158"/>
      <c r="D86" s="158"/>
      <c r="E86" s="158"/>
      <c r="F86" s="158"/>
      <c r="H86" s="2" t="s">
        <v>228</v>
      </c>
      <c r="I86" s="17">
        <v>0</v>
      </c>
    </row>
    <row r="87" spans="1:9" ht="13.2" customHeight="1" x14ac:dyDescent="0.25">
      <c r="A87" s="158"/>
      <c r="B87" s="158"/>
      <c r="C87" s="158"/>
      <c r="D87" s="158"/>
      <c r="E87" s="158"/>
      <c r="F87" s="158"/>
      <c r="H87" s="2" t="s">
        <v>229</v>
      </c>
      <c r="I87" s="17">
        <v>0</v>
      </c>
    </row>
    <row r="88" spans="1:9" ht="13.2" customHeight="1" x14ac:dyDescent="0.25">
      <c r="A88" s="158"/>
      <c r="B88" s="158"/>
      <c r="C88" s="158"/>
      <c r="D88" s="158"/>
      <c r="E88" s="158"/>
      <c r="F88" s="158"/>
      <c r="H88" s="2" t="s">
        <v>230</v>
      </c>
      <c r="I88" s="70">
        <f>SUM(I85:I87)</f>
        <v>500000</v>
      </c>
    </row>
    <row r="89" spans="1:9" ht="13.2" customHeight="1" x14ac:dyDescent="0.25">
      <c r="A89" s="159" t="s">
        <v>231</v>
      </c>
      <c r="B89" s="159"/>
      <c r="C89" s="159"/>
      <c r="D89" s="159"/>
      <c r="E89" s="159"/>
      <c r="F89" s="159"/>
      <c r="H89" s="2" t="s">
        <v>232</v>
      </c>
      <c r="I89" s="63">
        <f>I83+I88</f>
        <v>2000000</v>
      </c>
    </row>
    <row r="90" spans="1:9" ht="13.2" customHeight="1" x14ac:dyDescent="0.25">
      <c r="A90" s="159"/>
      <c r="B90" s="159"/>
      <c r="C90" s="159"/>
      <c r="D90" s="159"/>
      <c r="E90" s="159"/>
      <c r="F90" s="159"/>
      <c r="H90" s="67" t="s">
        <v>233</v>
      </c>
      <c r="I90" s="62"/>
    </row>
    <row r="91" spans="1:9" ht="13.2" customHeight="1" x14ac:dyDescent="0.25">
      <c r="A91" s="160"/>
      <c r="B91" s="160"/>
      <c r="C91" s="160"/>
      <c r="D91" s="160"/>
      <c r="E91" s="160"/>
      <c r="F91" s="160"/>
      <c r="H91" s="2" t="s">
        <v>144</v>
      </c>
      <c r="I91" s="65">
        <f>I4</f>
        <v>4800000</v>
      </c>
    </row>
    <row r="92" spans="1:9" ht="13.2" customHeight="1" x14ac:dyDescent="0.25">
      <c r="A92" s="160"/>
      <c r="B92" s="160"/>
      <c r="C92" s="160"/>
      <c r="D92" s="160"/>
      <c r="E92" s="160"/>
      <c r="F92" s="160"/>
      <c r="H92" s="2" t="s">
        <v>234</v>
      </c>
      <c r="I92" s="66">
        <f>-I65</f>
        <v>-3184000</v>
      </c>
    </row>
    <row r="93" spans="1:9" ht="13.2" customHeight="1" x14ac:dyDescent="0.25">
      <c r="A93" s="160"/>
      <c r="B93" s="160"/>
      <c r="C93" s="160"/>
      <c r="D93" s="160"/>
      <c r="E93" s="160"/>
      <c r="F93" s="160"/>
      <c r="H93" s="2" t="s">
        <v>33</v>
      </c>
      <c r="I93" s="65">
        <f>SUM(I91:I92)</f>
        <v>1616000</v>
      </c>
    </row>
    <row r="94" spans="1:9" ht="13.2" customHeight="1" x14ac:dyDescent="0.25">
      <c r="A94" s="160"/>
      <c r="B94" s="160"/>
      <c r="C94" s="160"/>
      <c r="D94" s="160"/>
      <c r="E94" s="160"/>
      <c r="F94" s="160"/>
      <c r="H94" s="2" t="s">
        <v>235</v>
      </c>
      <c r="I94" s="66">
        <f>-I71</f>
        <v>-616000</v>
      </c>
    </row>
    <row r="95" spans="1:9" ht="13.2" customHeight="1" x14ac:dyDescent="0.25">
      <c r="A95" s="160"/>
      <c r="B95" s="160"/>
      <c r="C95" s="160"/>
      <c r="D95" s="160"/>
      <c r="E95" s="160"/>
      <c r="F95" s="160"/>
      <c r="H95" s="2" t="s">
        <v>236</v>
      </c>
      <c r="I95" s="65">
        <f>SUM(I93:I94)</f>
        <v>1000000</v>
      </c>
    </row>
    <row r="96" spans="1:9" ht="13.2" customHeight="1" x14ac:dyDescent="0.25">
      <c r="A96" s="160"/>
      <c r="B96" s="160"/>
      <c r="C96" s="160"/>
      <c r="D96" s="160"/>
      <c r="E96" s="160"/>
      <c r="F96" s="160"/>
      <c r="H96" s="2" t="s">
        <v>237</v>
      </c>
      <c r="I96" s="66">
        <f>-I85*10%</f>
        <v>-50000</v>
      </c>
    </row>
    <row r="97" spans="1:9" ht="13.2" customHeight="1" x14ac:dyDescent="0.25">
      <c r="A97" s="160"/>
      <c r="B97" s="160"/>
      <c r="C97" s="160"/>
      <c r="D97" s="160"/>
      <c r="E97" s="160"/>
      <c r="F97" s="160"/>
      <c r="H97" s="2" t="s">
        <v>238</v>
      </c>
      <c r="I97" s="65">
        <f>SUM(I95:I96)</f>
        <v>950000</v>
      </c>
    </row>
    <row r="100" spans="1:9" ht="17.399999999999999" customHeight="1" x14ac:dyDescent="0.25"/>
    <row r="101" spans="1:9" ht="17.399999999999999" customHeight="1" x14ac:dyDescent="0.25"/>
    <row r="104" spans="1:9" ht="20.399999999999999" customHeight="1" x14ac:dyDescent="0.25"/>
    <row r="110" spans="1:9" ht="18" customHeight="1" x14ac:dyDescent="0.25"/>
  </sheetData>
  <mergeCells count="29">
    <mergeCell ref="A23:F27"/>
    <mergeCell ref="A1:F1"/>
    <mergeCell ref="A2:C2"/>
    <mergeCell ref="D2:F2"/>
    <mergeCell ref="A3:C3"/>
    <mergeCell ref="D3:F3"/>
    <mergeCell ref="A4:F7"/>
    <mergeCell ref="A8:F8"/>
    <mergeCell ref="A9:F12"/>
    <mergeCell ref="A13:F13"/>
    <mergeCell ref="A14:F20"/>
    <mergeCell ref="A21:F22"/>
    <mergeCell ref="A57:F67"/>
    <mergeCell ref="A28:F29"/>
    <mergeCell ref="A30:F30"/>
    <mergeCell ref="A31:F33"/>
    <mergeCell ref="A34:F36"/>
    <mergeCell ref="A37:F38"/>
    <mergeCell ref="A39:F41"/>
    <mergeCell ref="A42:F43"/>
    <mergeCell ref="A44:F44"/>
    <mergeCell ref="A45:F53"/>
    <mergeCell ref="A54:F54"/>
    <mergeCell ref="A55:F56"/>
    <mergeCell ref="A68:F69"/>
    <mergeCell ref="A70:F70"/>
    <mergeCell ref="A72:F88"/>
    <mergeCell ref="A89:F90"/>
    <mergeCell ref="A91:F9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20C67-B483-48E3-B230-247CE35FD313}">
  <dimension ref="A1:P23"/>
  <sheetViews>
    <sheetView workbookViewId="0">
      <selection activeCell="O13" sqref="O13"/>
    </sheetView>
  </sheetViews>
  <sheetFormatPr defaultColWidth="8.88671875" defaultRowHeight="13.8" x14ac:dyDescent="0.25"/>
  <cols>
    <col min="1" max="1" width="27.6640625" style="76" customWidth="1"/>
    <col min="2" max="2" width="18.33203125" style="76" customWidth="1"/>
    <col min="3" max="4" width="8.88671875" style="76"/>
    <col min="5" max="5" width="3.6640625" style="76" customWidth="1"/>
    <col min="6" max="6" width="31.33203125" style="76" customWidth="1"/>
    <col min="7" max="7" width="14.5546875" style="76" customWidth="1"/>
    <col min="8" max="8" width="12.44140625" style="76" customWidth="1"/>
    <col min="9" max="9" width="14.44140625" style="76" customWidth="1"/>
    <col min="10" max="10" width="16.6640625" style="76" customWidth="1"/>
    <col min="11" max="11" width="6.44140625" style="76" customWidth="1"/>
    <col min="12" max="12" width="16.5546875" style="76" customWidth="1"/>
    <col min="13" max="13" width="3.33203125" style="76" customWidth="1"/>
    <col min="14" max="14" width="19.5546875" style="76" customWidth="1"/>
    <col min="15" max="15" width="4.33203125" style="76" customWidth="1"/>
    <col min="16" max="16" width="13.6640625" style="76" customWidth="1"/>
    <col min="17" max="16384" width="8.88671875" style="76"/>
  </cols>
  <sheetData>
    <row r="1" spans="1:16" ht="13.8" customHeight="1" x14ac:dyDescent="0.25">
      <c r="A1" s="155" t="s">
        <v>239</v>
      </c>
      <c r="B1" s="155"/>
      <c r="C1" s="155"/>
      <c r="D1" s="155"/>
      <c r="F1" s="77" t="s">
        <v>1</v>
      </c>
    </row>
    <row r="2" spans="1:16" ht="30" customHeight="1" x14ac:dyDescent="0.25">
      <c r="A2" s="155"/>
      <c r="B2" s="155"/>
      <c r="C2" s="155"/>
      <c r="D2" s="155"/>
      <c r="E2" s="78"/>
      <c r="F2" s="79" t="s">
        <v>240</v>
      </c>
      <c r="G2" s="80" t="s">
        <v>241</v>
      </c>
      <c r="H2" s="80" t="s">
        <v>242</v>
      </c>
      <c r="I2" s="80" t="s">
        <v>243</v>
      </c>
      <c r="J2" s="80" t="s">
        <v>244</v>
      </c>
      <c r="K2" s="80"/>
      <c r="L2" s="80" t="s">
        <v>245</v>
      </c>
      <c r="M2" s="80"/>
      <c r="N2" s="80" t="s">
        <v>246</v>
      </c>
      <c r="O2" s="80"/>
    </row>
    <row r="3" spans="1:16" ht="28.2" thickBot="1" x14ac:dyDescent="0.3">
      <c r="A3" s="155"/>
      <c r="B3" s="155"/>
      <c r="C3" s="155"/>
      <c r="D3" s="155"/>
      <c r="E3" s="78"/>
      <c r="G3" s="81" t="s">
        <v>247</v>
      </c>
      <c r="H3" s="81" t="s">
        <v>248</v>
      </c>
      <c r="I3" s="82" t="s">
        <v>249</v>
      </c>
      <c r="J3" s="81" t="s">
        <v>250</v>
      </c>
      <c r="K3" s="81"/>
      <c r="L3" s="81" t="s">
        <v>251</v>
      </c>
      <c r="M3" s="77"/>
      <c r="N3" s="81" t="s">
        <v>252</v>
      </c>
      <c r="O3" s="77"/>
      <c r="P3" s="83" t="s">
        <v>253</v>
      </c>
    </row>
    <row r="4" spans="1:16" ht="14.4" thickBot="1" x14ac:dyDescent="0.3">
      <c r="A4" s="84" t="s">
        <v>254</v>
      </c>
      <c r="B4" s="85" t="s">
        <v>255</v>
      </c>
      <c r="F4" s="76" t="s">
        <v>256</v>
      </c>
      <c r="G4" s="86">
        <v>130000</v>
      </c>
      <c r="H4" s="87">
        <v>150000</v>
      </c>
      <c r="I4" s="87">
        <v>150000</v>
      </c>
      <c r="J4" s="87">
        <f>I4-G4</f>
        <v>20000</v>
      </c>
      <c r="K4" s="87" t="s">
        <v>257</v>
      </c>
      <c r="L4" s="87">
        <f>H4-G4</f>
        <v>20000</v>
      </c>
      <c r="M4" s="88" t="s">
        <v>257</v>
      </c>
      <c r="N4" s="87">
        <f>I4-H4</f>
        <v>0</v>
      </c>
      <c r="O4" s="88"/>
      <c r="P4" s="87">
        <f>L4+N4</f>
        <v>20000</v>
      </c>
    </row>
    <row r="5" spans="1:16" ht="14.4" thickBot="1" x14ac:dyDescent="0.3">
      <c r="A5" s="89" t="s">
        <v>258</v>
      </c>
      <c r="B5" s="90" t="s">
        <v>259</v>
      </c>
      <c r="F5" s="76" t="s">
        <v>260</v>
      </c>
      <c r="G5" s="86">
        <v>60</v>
      </c>
      <c r="H5" s="87">
        <f>G5</f>
        <v>60</v>
      </c>
      <c r="I5" s="88">
        <f>I6/I4</f>
        <v>55</v>
      </c>
      <c r="J5" s="87">
        <f>I5-G5</f>
        <v>-5</v>
      </c>
      <c r="K5" s="87" t="s">
        <v>261</v>
      </c>
      <c r="L5" s="87">
        <f>H5-G5</f>
        <v>0</v>
      </c>
      <c r="M5" s="88"/>
      <c r="N5" s="87">
        <f>I5-H5</f>
        <v>-5</v>
      </c>
      <c r="O5" s="88" t="s">
        <v>261</v>
      </c>
      <c r="P5" s="87">
        <f>L5+N5</f>
        <v>-5</v>
      </c>
    </row>
    <row r="6" spans="1:16" ht="14.4" thickBot="1" x14ac:dyDescent="0.3">
      <c r="A6" s="89" t="s">
        <v>262</v>
      </c>
      <c r="B6" s="90" t="s">
        <v>263</v>
      </c>
      <c r="F6" s="76" t="s">
        <v>264</v>
      </c>
      <c r="G6" s="86">
        <f>G4*G5</f>
        <v>7800000</v>
      </c>
      <c r="H6" s="86">
        <f>H4*H5</f>
        <v>9000000</v>
      </c>
      <c r="I6" s="87">
        <v>8250000</v>
      </c>
      <c r="J6" s="87">
        <f>I6-G6</f>
        <v>450000</v>
      </c>
      <c r="K6" s="87" t="s">
        <v>257</v>
      </c>
      <c r="L6" s="87">
        <f>H6-G6</f>
        <v>1200000</v>
      </c>
      <c r="M6" s="88" t="s">
        <v>257</v>
      </c>
      <c r="N6" s="87">
        <f>I6-H6</f>
        <v>-750000</v>
      </c>
      <c r="O6" s="88" t="s">
        <v>261</v>
      </c>
      <c r="P6" s="87">
        <f>L6+N6</f>
        <v>450000</v>
      </c>
    </row>
    <row r="7" spans="1:16" ht="14.4" thickBot="1" x14ac:dyDescent="0.3">
      <c r="A7" s="50" t="s">
        <v>265</v>
      </c>
      <c r="F7" s="76" t="s">
        <v>266</v>
      </c>
      <c r="G7" s="91"/>
      <c r="H7" s="92"/>
      <c r="I7" s="92"/>
      <c r="J7" s="87"/>
      <c r="K7" s="87"/>
      <c r="L7" s="87"/>
      <c r="M7" s="88"/>
      <c r="N7" s="87"/>
      <c r="O7" s="88"/>
      <c r="P7" s="87"/>
    </row>
    <row r="8" spans="1:16" x14ac:dyDescent="0.25">
      <c r="A8" s="93" t="s">
        <v>267</v>
      </c>
      <c r="B8" s="94">
        <v>150000</v>
      </c>
      <c r="F8" s="76" t="s">
        <v>268</v>
      </c>
      <c r="G8" s="86">
        <f>2000000+2*G4</f>
        <v>2260000</v>
      </c>
      <c r="H8" s="86">
        <f>2000000+2*H4</f>
        <v>2300000</v>
      </c>
      <c r="I8" s="86">
        <v>2350000</v>
      </c>
      <c r="J8" s="87">
        <f>I8-G8</f>
        <v>90000</v>
      </c>
      <c r="K8" s="87" t="s">
        <v>261</v>
      </c>
      <c r="L8" s="87">
        <f>H8-G8</f>
        <v>40000</v>
      </c>
      <c r="M8" s="88" t="s">
        <v>261</v>
      </c>
      <c r="N8" s="87">
        <f>I8-H8</f>
        <v>50000</v>
      </c>
      <c r="O8" s="88" t="s">
        <v>261</v>
      </c>
      <c r="P8" s="87">
        <f>L8+N8</f>
        <v>90000</v>
      </c>
    </row>
    <row r="9" spans="1:16" x14ac:dyDescent="0.25">
      <c r="A9" s="95" t="s">
        <v>269</v>
      </c>
      <c r="B9" s="96">
        <v>8250000</v>
      </c>
      <c r="F9" s="76" t="s">
        <v>270</v>
      </c>
      <c r="G9" s="86">
        <f>12*G4</f>
        <v>1560000</v>
      </c>
      <c r="H9" s="86">
        <f>12*H4</f>
        <v>1800000</v>
      </c>
      <c r="I9" s="86">
        <v>1830000</v>
      </c>
      <c r="J9" s="87">
        <f>I9-G9</f>
        <v>270000</v>
      </c>
      <c r="K9" s="87" t="s">
        <v>261</v>
      </c>
      <c r="L9" s="87">
        <f>H9-G9</f>
        <v>240000</v>
      </c>
      <c r="M9" s="88" t="s">
        <v>261</v>
      </c>
      <c r="N9" s="87">
        <f>I9-H9</f>
        <v>30000</v>
      </c>
      <c r="O9" s="88" t="s">
        <v>261</v>
      </c>
      <c r="P9" s="87">
        <f>L9+N9</f>
        <v>270000</v>
      </c>
    </row>
    <row r="10" spans="1:16" x14ac:dyDescent="0.25">
      <c r="A10" s="97" t="s">
        <v>266</v>
      </c>
      <c r="B10" s="98"/>
      <c r="F10" s="76" t="s">
        <v>271</v>
      </c>
      <c r="G10" s="91">
        <f>80000+13*G4</f>
        <v>1770000</v>
      </c>
      <c r="H10" s="91">
        <f>80000+13*H4</f>
        <v>2030000</v>
      </c>
      <c r="I10" s="91">
        <v>1800000</v>
      </c>
      <c r="J10" s="87">
        <f>I10-G10</f>
        <v>30000</v>
      </c>
      <c r="K10" s="87" t="s">
        <v>261</v>
      </c>
      <c r="L10" s="87">
        <f>H10-G10</f>
        <v>260000</v>
      </c>
      <c r="M10" s="88" t="s">
        <v>261</v>
      </c>
      <c r="N10" s="87">
        <f>I10-H10</f>
        <v>-230000</v>
      </c>
      <c r="O10" s="88" t="s">
        <v>257</v>
      </c>
      <c r="P10" s="87">
        <f>L10+N10</f>
        <v>30000</v>
      </c>
    </row>
    <row r="11" spans="1:16" x14ac:dyDescent="0.25">
      <c r="A11" s="95" t="s">
        <v>254</v>
      </c>
      <c r="B11" s="96">
        <v>2350000</v>
      </c>
      <c r="F11" s="76" t="s">
        <v>272</v>
      </c>
      <c r="G11" s="91">
        <f>SUM(G8:G10)</f>
        <v>5590000</v>
      </c>
      <c r="H11" s="91">
        <f>SUM(H8:H10)</f>
        <v>6130000</v>
      </c>
      <c r="I11" s="91">
        <f>SUM(I8:I10)</f>
        <v>5980000</v>
      </c>
      <c r="J11" s="87">
        <f>I11-G11</f>
        <v>390000</v>
      </c>
      <c r="K11" s="87" t="s">
        <v>261</v>
      </c>
      <c r="L11" s="87">
        <f>H11-G11</f>
        <v>540000</v>
      </c>
      <c r="M11" s="88" t="s">
        <v>261</v>
      </c>
      <c r="N11" s="87">
        <f>I11-H11</f>
        <v>-150000</v>
      </c>
      <c r="O11" s="88" t="s">
        <v>257</v>
      </c>
      <c r="P11" s="87">
        <f>L11+N11</f>
        <v>390000</v>
      </c>
    </row>
    <row r="12" spans="1:16" x14ac:dyDescent="0.25">
      <c r="A12" s="95" t="s">
        <v>258</v>
      </c>
      <c r="B12" s="96">
        <v>1830000</v>
      </c>
      <c r="F12" s="76" t="s">
        <v>236</v>
      </c>
      <c r="G12" s="86">
        <f>G6-G11</f>
        <v>2210000</v>
      </c>
      <c r="H12" s="86">
        <f>H6-H11</f>
        <v>2870000</v>
      </c>
      <c r="I12" s="86">
        <f>I6-I11</f>
        <v>2270000</v>
      </c>
      <c r="J12" s="87">
        <f>I12-G12</f>
        <v>60000</v>
      </c>
      <c r="K12" s="87" t="s">
        <v>257</v>
      </c>
      <c r="L12" s="87">
        <f>H12-G12</f>
        <v>660000</v>
      </c>
      <c r="M12" s="88" t="s">
        <v>257</v>
      </c>
      <c r="N12" s="87">
        <f>I12-H12</f>
        <v>-600000</v>
      </c>
      <c r="O12" s="88" t="s">
        <v>261</v>
      </c>
      <c r="P12" s="87">
        <f>L12+N12</f>
        <v>60000</v>
      </c>
    </row>
    <row r="13" spans="1:16" x14ac:dyDescent="0.25">
      <c r="A13" s="95" t="s">
        <v>262</v>
      </c>
      <c r="B13" s="99">
        <v>1800000</v>
      </c>
    </row>
    <row r="14" spans="1:16" x14ac:dyDescent="0.25">
      <c r="A14" s="95" t="s">
        <v>273</v>
      </c>
      <c r="B14" s="96">
        <v>5980000</v>
      </c>
      <c r="F14" s="77" t="s">
        <v>274</v>
      </c>
    </row>
    <row r="15" spans="1:16" ht="14.4" thickBot="1" x14ac:dyDescent="0.3">
      <c r="A15" s="100" t="s">
        <v>236</v>
      </c>
      <c r="B15" s="101">
        <v>2270000</v>
      </c>
      <c r="F15" s="76" t="s">
        <v>275</v>
      </c>
      <c r="G15" s="102">
        <f>G5</f>
        <v>60</v>
      </c>
      <c r="P15" s="103"/>
    </row>
    <row r="16" spans="1:16" x14ac:dyDescent="0.25">
      <c r="A16" s="52" t="s">
        <v>80</v>
      </c>
      <c r="F16" s="104" t="s">
        <v>128</v>
      </c>
      <c r="G16" s="76">
        <f>2+12+13</f>
        <v>27</v>
      </c>
      <c r="P16" s="103"/>
    </row>
    <row r="17" spans="1:16" x14ac:dyDescent="0.25">
      <c r="A17" s="169" t="s">
        <v>276</v>
      </c>
      <c r="B17" s="169"/>
      <c r="C17" s="104"/>
      <c r="D17" s="104"/>
      <c r="E17" s="104"/>
      <c r="F17" s="104" t="s">
        <v>277</v>
      </c>
      <c r="G17" s="102">
        <f>G15-G16</f>
        <v>33</v>
      </c>
      <c r="P17" s="103"/>
    </row>
    <row r="18" spans="1:16" x14ac:dyDescent="0.25">
      <c r="A18" s="169" t="s">
        <v>278</v>
      </c>
      <c r="B18" s="169"/>
      <c r="C18" s="104"/>
      <c r="D18" s="104"/>
      <c r="E18" s="104"/>
      <c r="F18" s="104" t="s">
        <v>279</v>
      </c>
      <c r="G18" s="102">
        <f>G17*G4</f>
        <v>4290000</v>
      </c>
      <c r="P18" s="103"/>
    </row>
    <row r="19" spans="1:16" x14ac:dyDescent="0.25">
      <c r="A19" s="169" t="s">
        <v>280</v>
      </c>
      <c r="B19" s="169"/>
      <c r="C19" s="104"/>
      <c r="D19" s="104"/>
      <c r="E19" s="104"/>
      <c r="F19" s="104" t="str">
        <f>F12</f>
        <v>Operating Income</v>
      </c>
      <c r="G19" s="106">
        <f>G12</f>
        <v>2210000</v>
      </c>
      <c r="P19" s="103"/>
    </row>
    <row r="20" spans="1:16" x14ac:dyDescent="0.25">
      <c r="A20" s="155" t="s">
        <v>281</v>
      </c>
      <c r="B20" s="155"/>
      <c r="C20" s="104"/>
      <c r="D20" s="104"/>
      <c r="E20" s="104"/>
      <c r="F20" s="78" t="s">
        <v>282</v>
      </c>
      <c r="G20" s="76">
        <f>G18/G19</f>
        <v>1.9411764705882353</v>
      </c>
      <c r="H20" s="102"/>
      <c r="P20" s="103"/>
    </row>
    <row r="21" spans="1:16" x14ac:dyDescent="0.25">
      <c r="A21" s="155"/>
      <c r="B21" s="155"/>
      <c r="C21" s="107"/>
      <c r="D21" s="107"/>
      <c r="E21" s="107"/>
      <c r="F21" s="104" t="s">
        <v>283</v>
      </c>
      <c r="G21" s="108">
        <f>(H4-G4)/G4</f>
        <v>0.15384615384615385</v>
      </c>
      <c r="H21" s="103"/>
      <c r="P21" s="103"/>
    </row>
    <row r="22" spans="1:16" x14ac:dyDescent="0.25">
      <c r="A22" s="155" t="s">
        <v>284</v>
      </c>
      <c r="B22" s="155"/>
      <c r="C22" s="107"/>
      <c r="D22" s="107"/>
      <c r="E22" s="107"/>
      <c r="F22" s="104" t="s">
        <v>285</v>
      </c>
      <c r="G22" s="109">
        <f>G19*(1+G21*G20)</f>
        <v>2870000</v>
      </c>
    </row>
    <row r="23" spans="1:16" x14ac:dyDescent="0.25">
      <c r="A23" s="155"/>
      <c r="B23" s="155"/>
    </row>
  </sheetData>
  <mergeCells count="6">
    <mergeCell ref="A22:B23"/>
    <mergeCell ref="A1:D3"/>
    <mergeCell ref="A17:B17"/>
    <mergeCell ref="A18:B18"/>
    <mergeCell ref="A19:B19"/>
    <mergeCell ref="A20:B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37F6B-D4CB-460E-8C35-C5652BF03293}">
  <dimension ref="A1:H33"/>
  <sheetViews>
    <sheetView workbookViewId="0">
      <selection activeCell="O13" sqref="O13"/>
    </sheetView>
  </sheetViews>
  <sheetFormatPr defaultColWidth="8.88671875" defaultRowHeight="13.8" x14ac:dyDescent="0.25"/>
  <cols>
    <col min="1" max="1" width="46.6640625" style="76" customWidth="1"/>
    <col min="2" max="4" width="8.88671875" style="76"/>
    <col min="5" max="5" width="34.6640625" style="76" customWidth="1"/>
    <col min="6" max="6" width="22.33203125" style="88" bestFit="1" customWidth="1"/>
    <col min="7" max="7" width="25.44140625" style="88" customWidth="1"/>
    <col min="8" max="8" width="10.6640625" style="76" customWidth="1"/>
    <col min="9" max="16384" width="8.88671875" style="76"/>
  </cols>
  <sheetData>
    <row r="1" spans="1:8" ht="14.4" thickBot="1" x14ac:dyDescent="0.3">
      <c r="A1" s="171" t="s">
        <v>286</v>
      </c>
      <c r="B1" s="171"/>
      <c r="E1" s="77" t="s">
        <v>1</v>
      </c>
    </row>
    <row r="2" spans="1:8" x14ac:dyDescent="0.25">
      <c r="A2" s="172" t="s">
        <v>287</v>
      </c>
      <c r="B2" s="172"/>
      <c r="E2" s="77" t="s">
        <v>288</v>
      </c>
      <c r="F2" s="110" t="s">
        <v>289</v>
      </c>
      <c r="G2" s="110" t="s">
        <v>290</v>
      </c>
    </row>
    <row r="3" spans="1:8" x14ac:dyDescent="0.25">
      <c r="A3" s="111" t="s">
        <v>51</v>
      </c>
      <c r="B3" s="111">
        <v>20</v>
      </c>
      <c r="E3" s="76" t="str">
        <f>A3</f>
        <v>Direct Materials</v>
      </c>
      <c r="F3" s="112">
        <f>B3</f>
        <v>20</v>
      </c>
      <c r="G3" s="112">
        <f>F3</f>
        <v>20</v>
      </c>
      <c r="H3" s="113"/>
    </row>
    <row r="4" spans="1:8" x14ac:dyDescent="0.25">
      <c r="A4" s="111" t="s">
        <v>202</v>
      </c>
      <c r="B4" s="111">
        <v>10</v>
      </c>
      <c r="E4" s="76" t="str">
        <f>A4</f>
        <v>Direct Labor</v>
      </c>
      <c r="F4" s="112">
        <f>B4</f>
        <v>10</v>
      </c>
      <c r="G4" s="112">
        <f>F4</f>
        <v>10</v>
      </c>
      <c r="H4" s="113"/>
    </row>
    <row r="5" spans="1:8" x14ac:dyDescent="0.25">
      <c r="A5" s="111" t="s">
        <v>61</v>
      </c>
      <c r="B5" s="111">
        <v>8</v>
      </c>
      <c r="E5" s="76" t="s">
        <v>291</v>
      </c>
      <c r="F5" s="112">
        <f>B5</f>
        <v>8</v>
      </c>
      <c r="G5" s="112">
        <f>F5</f>
        <v>8</v>
      </c>
      <c r="H5" s="113"/>
    </row>
    <row r="6" spans="1:8" x14ac:dyDescent="0.25">
      <c r="A6" s="111" t="s">
        <v>292</v>
      </c>
      <c r="B6" s="111">
        <v>5</v>
      </c>
      <c r="E6" s="76" t="s">
        <v>293</v>
      </c>
      <c r="F6" s="112">
        <f>B8/B12</f>
        <v>15</v>
      </c>
      <c r="G6" s="112"/>
      <c r="H6" s="113"/>
    </row>
    <row r="7" spans="1:8" x14ac:dyDescent="0.25">
      <c r="A7" s="114" t="s">
        <v>294</v>
      </c>
      <c r="E7" s="76" t="s">
        <v>295</v>
      </c>
      <c r="F7" s="112"/>
      <c r="G7" s="112"/>
      <c r="H7" s="113"/>
    </row>
    <row r="8" spans="1:8" x14ac:dyDescent="0.25">
      <c r="A8" s="111" t="s">
        <v>61</v>
      </c>
      <c r="B8" s="115">
        <v>180000</v>
      </c>
      <c r="E8" s="77" t="s">
        <v>10</v>
      </c>
      <c r="F8" s="116">
        <f>SUM(F3:F7)</f>
        <v>53</v>
      </c>
      <c r="G8" s="116">
        <f>SUM(G3:G7)</f>
        <v>38</v>
      </c>
      <c r="H8" s="113"/>
    </row>
    <row r="9" spans="1:8" x14ac:dyDescent="0.25">
      <c r="A9" s="111" t="s">
        <v>296</v>
      </c>
      <c r="B9" s="115">
        <v>150000</v>
      </c>
      <c r="F9" s="112"/>
      <c r="G9" s="112"/>
      <c r="H9" s="113"/>
    </row>
    <row r="10" spans="1:8" x14ac:dyDescent="0.25">
      <c r="A10" s="114" t="s">
        <v>297</v>
      </c>
      <c r="E10" s="173" t="s">
        <v>298</v>
      </c>
      <c r="F10" s="173"/>
      <c r="G10" s="174" t="s">
        <v>299</v>
      </c>
      <c r="H10" s="174"/>
    </row>
    <row r="11" spans="1:8" x14ac:dyDescent="0.25">
      <c r="A11" s="111" t="s">
        <v>300</v>
      </c>
      <c r="B11" s="111">
        <v>0</v>
      </c>
      <c r="E11" s="76" t="s">
        <v>144</v>
      </c>
      <c r="F11" s="112">
        <f>B13*B14</f>
        <v>1012500</v>
      </c>
      <c r="G11" s="117" t="str">
        <f>E11</f>
        <v>Sales Revenues</v>
      </c>
      <c r="H11" s="113">
        <f>F11</f>
        <v>1012500</v>
      </c>
    </row>
    <row r="12" spans="1:8" x14ac:dyDescent="0.25">
      <c r="A12" s="111" t="s">
        <v>301</v>
      </c>
      <c r="B12" s="115">
        <v>12000</v>
      </c>
      <c r="E12" s="76" t="s">
        <v>234</v>
      </c>
      <c r="F12" s="118">
        <f>-F8*B13</f>
        <v>-596250</v>
      </c>
      <c r="G12" s="117" t="s">
        <v>302</v>
      </c>
      <c r="H12" s="113">
        <f>-SUM(G3:G5)*B13</f>
        <v>-427500</v>
      </c>
    </row>
    <row r="13" spans="1:8" x14ac:dyDescent="0.25">
      <c r="A13" s="111" t="s">
        <v>303</v>
      </c>
      <c r="B13" s="115">
        <v>11250</v>
      </c>
      <c r="E13" s="76" t="s">
        <v>33</v>
      </c>
      <c r="F13" s="112">
        <f>F11+F12</f>
        <v>416250</v>
      </c>
      <c r="G13" s="117" t="s">
        <v>212</v>
      </c>
      <c r="H13" s="119">
        <f>-B6*B13</f>
        <v>-56250</v>
      </c>
    </row>
    <row r="14" spans="1:8" x14ac:dyDescent="0.25">
      <c r="A14" s="111" t="s">
        <v>304</v>
      </c>
      <c r="B14" s="111">
        <v>90</v>
      </c>
      <c r="E14" s="76" t="s">
        <v>305</v>
      </c>
      <c r="F14" s="118">
        <f>-(B6*B13+B9)</f>
        <v>-206250</v>
      </c>
      <c r="G14" s="117" t="s">
        <v>306</v>
      </c>
      <c r="H14" s="113">
        <f>SUM(H11:H13)</f>
        <v>528750</v>
      </c>
    </row>
    <row r="15" spans="1:8" ht="13.8" customHeight="1" x14ac:dyDescent="0.25">
      <c r="A15" s="175" t="s">
        <v>307</v>
      </c>
      <c r="B15" s="175"/>
      <c r="E15" s="76" t="s">
        <v>236</v>
      </c>
      <c r="F15" s="112">
        <f>F13+F14</f>
        <v>210000</v>
      </c>
      <c r="G15" s="120" t="s">
        <v>308</v>
      </c>
      <c r="H15" s="113"/>
    </row>
    <row r="16" spans="1:8" x14ac:dyDescent="0.25">
      <c r="A16" s="175"/>
      <c r="B16" s="175"/>
      <c r="F16" s="112"/>
      <c r="G16" s="117" t="s">
        <v>309</v>
      </c>
      <c r="H16" s="113">
        <f>-B8</f>
        <v>-180000</v>
      </c>
    </row>
    <row r="17" spans="1:8" x14ac:dyDescent="0.25">
      <c r="A17" s="175"/>
      <c r="B17" s="175"/>
      <c r="F17" s="112"/>
      <c r="G17" s="117" t="s">
        <v>310</v>
      </c>
      <c r="H17" s="119">
        <f>-B9</f>
        <v>-150000</v>
      </c>
    </row>
    <row r="18" spans="1:8" x14ac:dyDescent="0.25">
      <c r="A18" s="175"/>
      <c r="B18" s="175"/>
      <c r="F18" s="112"/>
      <c r="G18" s="117" t="s">
        <v>236</v>
      </c>
      <c r="H18" s="113">
        <f>SUM(H14:H17)</f>
        <v>198750</v>
      </c>
    </row>
    <row r="19" spans="1:8" x14ac:dyDescent="0.25">
      <c r="A19" s="175"/>
      <c r="B19" s="175"/>
      <c r="F19" s="176"/>
      <c r="G19" s="176"/>
      <c r="H19" s="176"/>
    </row>
    <row r="20" spans="1:8" ht="14.4" x14ac:dyDescent="0.3">
      <c r="A20" s="175"/>
      <c r="B20" s="175"/>
      <c r="E20" s="121" t="s">
        <v>253</v>
      </c>
      <c r="F20" s="122" t="str">
        <f>F2</f>
        <v>Full Absorprion Costing</v>
      </c>
      <c r="G20" s="122" t="str">
        <f>G2</f>
        <v>Variable Costing</v>
      </c>
      <c r="H20" s="122" t="s">
        <v>311</v>
      </c>
    </row>
    <row r="21" spans="1:8" x14ac:dyDescent="0.25">
      <c r="A21" s="78"/>
      <c r="B21" s="78"/>
      <c r="E21" s="123" t="s">
        <v>236</v>
      </c>
      <c r="F21" s="124">
        <f>F15</f>
        <v>210000</v>
      </c>
      <c r="G21" s="124">
        <f>H18</f>
        <v>198750</v>
      </c>
      <c r="H21" s="124">
        <f>F21-G21</f>
        <v>11250</v>
      </c>
    </row>
    <row r="22" spans="1:8" x14ac:dyDescent="0.25">
      <c r="E22" s="123" t="s">
        <v>312</v>
      </c>
      <c r="F22" s="124">
        <f>(B12-B13)*F8</f>
        <v>39750</v>
      </c>
      <c r="G22" s="124">
        <f>(B12-B13)*G8</f>
        <v>28500</v>
      </c>
      <c r="H22" s="124">
        <f>F22-G22</f>
        <v>11250</v>
      </c>
    </row>
    <row r="23" spans="1:8" x14ac:dyDescent="0.25">
      <c r="E23" s="170" t="s">
        <v>313</v>
      </c>
      <c r="F23" s="170"/>
      <c r="G23" s="170"/>
      <c r="H23" s="170"/>
    </row>
    <row r="24" spans="1:8" x14ac:dyDescent="0.25">
      <c r="F24" s="76"/>
      <c r="G24" s="76"/>
    </row>
    <row r="25" spans="1:8" x14ac:dyDescent="0.25">
      <c r="F25" s="76"/>
      <c r="G25" s="76"/>
    </row>
    <row r="26" spans="1:8" x14ac:dyDescent="0.25">
      <c r="F26" s="76"/>
      <c r="G26" s="76"/>
    </row>
    <row r="27" spans="1:8" x14ac:dyDescent="0.25">
      <c r="F27" s="76"/>
      <c r="G27" s="76"/>
    </row>
    <row r="28" spans="1:8" x14ac:dyDescent="0.25">
      <c r="F28" s="76"/>
      <c r="G28" s="76"/>
    </row>
    <row r="29" spans="1:8" x14ac:dyDescent="0.25">
      <c r="F29" s="76"/>
      <c r="G29" s="76"/>
    </row>
    <row r="30" spans="1:8" x14ac:dyDescent="0.25">
      <c r="F30" s="76"/>
      <c r="G30" s="76"/>
    </row>
    <row r="31" spans="1:8" x14ac:dyDescent="0.25">
      <c r="F31" s="76"/>
      <c r="G31" s="76"/>
    </row>
    <row r="32" spans="1:8" x14ac:dyDescent="0.25">
      <c r="F32" s="76"/>
      <c r="G32" s="76"/>
    </row>
    <row r="33" s="76" customFormat="1" x14ac:dyDescent="0.25"/>
  </sheetData>
  <mergeCells count="7">
    <mergeCell ref="E23:H23"/>
    <mergeCell ref="A1:B1"/>
    <mergeCell ref="A2:B2"/>
    <mergeCell ref="E10:F10"/>
    <mergeCell ref="G10:H10"/>
    <mergeCell ref="A15:B20"/>
    <mergeCell ref="F19:H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21809-F8AD-4928-B579-F59E3A64FD3B}">
  <dimension ref="A1:N22"/>
  <sheetViews>
    <sheetView workbookViewId="0">
      <selection activeCell="N19" sqref="N19"/>
    </sheetView>
  </sheetViews>
  <sheetFormatPr defaultRowHeight="13.8" x14ac:dyDescent="0.25"/>
  <cols>
    <col min="2" max="2" width="40.109375" customWidth="1"/>
    <col min="7" max="7" width="18.21875" customWidth="1"/>
    <col min="10" max="10" width="21.88671875" customWidth="1"/>
    <col min="11" max="11" width="12.109375" customWidth="1"/>
  </cols>
  <sheetData>
    <row r="1" spans="1:14" ht="13.8" customHeight="1" x14ac:dyDescent="0.25">
      <c r="A1" s="177" t="s">
        <v>314</v>
      </c>
      <c r="B1" s="177"/>
      <c r="C1" s="177"/>
      <c r="D1" s="177"/>
      <c r="E1" s="177"/>
      <c r="F1" s="50"/>
      <c r="G1" s="180" t="s">
        <v>347</v>
      </c>
      <c r="H1" s="180"/>
      <c r="I1" s="180"/>
      <c r="J1" s="180"/>
      <c r="K1" s="180"/>
      <c r="L1" s="180"/>
      <c r="M1" s="180"/>
      <c r="N1" s="180"/>
    </row>
    <row r="2" spans="1:14" x14ac:dyDescent="0.25">
      <c r="A2" s="177"/>
      <c r="B2" s="177"/>
      <c r="C2" s="177"/>
      <c r="D2" s="177"/>
      <c r="E2" s="177"/>
      <c r="F2" s="50"/>
      <c r="G2" s="180"/>
      <c r="H2" s="180"/>
      <c r="I2" s="180"/>
      <c r="J2" s="180"/>
      <c r="K2" s="180"/>
      <c r="L2" s="180"/>
      <c r="M2" s="180"/>
      <c r="N2" s="180"/>
    </row>
    <row r="3" spans="1:14" x14ac:dyDescent="0.25">
      <c r="B3" s="178" t="s">
        <v>315</v>
      </c>
      <c r="C3" s="178"/>
      <c r="D3" s="178"/>
      <c r="E3" s="178"/>
      <c r="F3" s="52"/>
      <c r="G3" s="52" t="s">
        <v>1</v>
      </c>
      <c r="H3" s="52"/>
      <c r="I3" s="52"/>
    </row>
    <row r="4" spans="1:14" x14ac:dyDescent="0.25">
      <c r="A4" s="50"/>
      <c r="B4" s="50"/>
      <c r="C4" s="125" t="s">
        <v>316</v>
      </c>
      <c r="D4" s="125" t="s">
        <v>316</v>
      </c>
      <c r="E4" s="125" t="s">
        <v>316</v>
      </c>
      <c r="G4" s="126">
        <v>1</v>
      </c>
      <c r="J4" s="126">
        <v>2</v>
      </c>
    </row>
    <row r="5" spans="1:14" x14ac:dyDescent="0.25">
      <c r="A5" s="50"/>
      <c r="B5" s="127" t="s">
        <v>317</v>
      </c>
      <c r="C5" s="128"/>
      <c r="D5" s="128"/>
      <c r="E5" s="129">
        <v>1000000</v>
      </c>
      <c r="G5" t="s">
        <v>318</v>
      </c>
      <c r="H5" s="130">
        <v>100000</v>
      </c>
      <c r="J5" t="s">
        <v>319</v>
      </c>
      <c r="K5">
        <v>12.5</v>
      </c>
    </row>
    <row r="6" spans="1:14" x14ac:dyDescent="0.25">
      <c r="A6" s="111" t="s">
        <v>30</v>
      </c>
      <c r="B6" s="131" t="s">
        <v>320</v>
      </c>
      <c r="C6" s="128"/>
      <c r="D6" s="128"/>
      <c r="E6" s="128"/>
      <c r="G6" t="s">
        <v>321</v>
      </c>
      <c r="H6">
        <f>E5/$H$5</f>
        <v>10</v>
      </c>
      <c r="J6" t="s">
        <v>322</v>
      </c>
      <c r="K6">
        <f>H12+1.5</f>
        <v>7.5</v>
      </c>
    </row>
    <row r="7" spans="1:14" x14ac:dyDescent="0.25">
      <c r="A7" s="50"/>
      <c r="B7" s="127" t="s">
        <v>323</v>
      </c>
      <c r="C7" s="129">
        <v>200000</v>
      </c>
      <c r="D7" s="128"/>
      <c r="E7" s="128"/>
      <c r="G7" s="132" t="s">
        <v>128</v>
      </c>
      <c r="J7" t="s">
        <v>324</v>
      </c>
      <c r="K7">
        <f>K5-K6</f>
        <v>5</v>
      </c>
    </row>
    <row r="8" spans="1:14" x14ac:dyDescent="0.25">
      <c r="A8" s="50"/>
      <c r="B8" s="127" t="s">
        <v>325</v>
      </c>
      <c r="C8" s="129">
        <v>300000</v>
      </c>
      <c r="D8" s="128"/>
      <c r="E8" s="128"/>
      <c r="G8" t="s">
        <v>326</v>
      </c>
      <c r="H8">
        <f>C7/$H$5</f>
        <v>2</v>
      </c>
      <c r="J8" t="s">
        <v>99</v>
      </c>
      <c r="K8" s="130">
        <f>H17</f>
        <v>300000</v>
      </c>
    </row>
    <row r="9" spans="1:14" x14ac:dyDescent="0.25">
      <c r="A9" s="50"/>
      <c r="B9" s="127" t="s">
        <v>327</v>
      </c>
      <c r="C9" s="129">
        <v>60000</v>
      </c>
      <c r="D9" s="128"/>
      <c r="E9" s="128"/>
      <c r="G9" t="s">
        <v>328</v>
      </c>
      <c r="H9">
        <f>C8/$H$5</f>
        <v>3</v>
      </c>
      <c r="J9" t="s">
        <v>329</v>
      </c>
      <c r="K9" s="133">
        <v>200000</v>
      </c>
    </row>
    <row r="10" spans="1:14" x14ac:dyDescent="0.25">
      <c r="A10" s="50"/>
      <c r="B10" s="127" t="s">
        <v>293</v>
      </c>
      <c r="C10" s="134">
        <v>180000</v>
      </c>
      <c r="D10" s="129">
        <v>740000</v>
      </c>
      <c r="E10" s="128"/>
      <c r="G10" t="s">
        <v>291</v>
      </c>
      <c r="H10">
        <f>C9/$H$5</f>
        <v>0.6</v>
      </c>
      <c r="J10" t="s">
        <v>330</v>
      </c>
      <c r="K10" s="130">
        <f>K8+K9</f>
        <v>500000</v>
      </c>
    </row>
    <row r="11" spans="1:14" x14ac:dyDescent="0.25">
      <c r="A11" s="111" t="s">
        <v>30</v>
      </c>
      <c r="B11" s="131" t="s">
        <v>331</v>
      </c>
      <c r="C11" s="128"/>
      <c r="D11" s="128"/>
      <c r="E11" s="128"/>
      <c r="G11" t="s">
        <v>332</v>
      </c>
      <c r="H11">
        <f>C12/$H$5</f>
        <v>0.4</v>
      </c>
      <c r="J11" t="s">
        <v>333</v>
      </c>
      <c r="K11" s="135">
        <f>K10/K7</f>
        <v>100000</v>
      </c>
    </row>
    <row r="12" spans="1:14" x14ac:dyDescent="0.25">
      <c r="A12" s="50"/>
      <c r="B12" s="127" t="s">
        <v>334</v>
      </c>
      <c r="C12" s="129">
        <v>40000</v>
      </c>
      <c r="D12" s="128"/>
      <c r="E12" s="128"/>
      <c r="G12" t="s">
        <v>335</v>
      </c>
      <c r="H12">
        <f>SUM(H8:H11)</f>
        <v>6</v>
      </c>
      <c r="J12" t="s">
        <v>336</v>
      </c>
      <c r="K12" s="135">
        <f>K11*K5</f>
        <v>1250000</v>
      </c>
    </row>
    <row r="13" spans="1:14" x14ac:dyDescent="0.25">
      <c r="A13" s="50"/>
      <c r="B13" s="127" t="s">
        <v>337</v>
      </c>
      <c r="C13" s="134">
        <v>120000</v>
      </c>
      <c r="D13" s="134">
        <v>160000</v>
      </c>
      <c r="E13" s="134">
        <v>900000</v>
      </c>
      <c r="G13" s="77" t="s">
        <v>338</v>
      </c>
      <c r="H13" s="77">
        <f>H6-H12</f>
        <v>4</v>
      </c>
    </row>
    <row r="14" spans="1:14" ht="14.4" thickBot="1" x14ac:dyDescent="0.3">
      <c r="A14" s="50"/>
      <c r="B14" s="136" t="s">
        <v>236</v>
      </c>
      <c r="C14" s="128"/>
      <c r="D14" s="128"/>
      <c r="E14" s="137">
        <v>100000</v>
      </c>
      <c r="G14" t="s">
        <v>99</v>
      </c>
    </row>
    <row r="15" spans="1:14" ht="14.4" thickTop="1" x14ac:dyDescent="0.25">
      <c r="G15" t="s">
        <v>339</v>
      </c>
      <c r="H15" s="130">
        <f>C10</f>
        <v>180000</v>
      </c>
    </row>
    <row r="16" spans="1:14" x14ac:dyDescent="0.25">
      <c r="A16" s="179" t="s">
        <v>80</v>
      </c>
      <c r="B16" s="179"/>
      <c r="C16" s="179"/>
      <c r="D16" s="179"/>
      <c r="E16" s="179"/>
      <c r="G16" t="s">
        <v>340</v>
      </c>
      <c r="H16" s="133">
        <f>C13</f>
        <v>120000</v>
      </c>
    </row>
    <row r="17" spans="1:8" x14ac:dyDescent="0.25">
      <c r="A17" s="155" t="s">
        <v>341</v>
      </c>
      <c r="B17" s="155"/>
      <c r="C17" s="155"/>
      <c r="D17" s="155"/>
      <c r="E17" s="155"/>
      <c r="G17" s="77" t="s">
        <v>342</v>
      </c>
      <c r="H17" s="138">
        <f>SUM(H15:H16)</f>
        <v>300000</v>
      </c>
    </row>
    <row r="18" spans="1:8" x14ac:dyDescent="0.25">
      <c r="A18" s="155"/>
      <c r="B18" s="155"/>
      <c r="C18" s="155"/>
      <c r="D18" s="155"/>
      <c r="E18" s="155"/>
      <c r="G18" s="77" t="s">
        <v>343</v>
      </c>
      <c r="H18" s="139">
        <f>H17/H13</f>
        <v>75000</v>
      </c>
    </row>
    <row r="19" spans="1:8" ht="13.8" customHeight="1" x14ac:dyDescent="0.25">
      <c r="A19" s="155" t="s">
        <v>344</v>
      </c>
      <c r="B19" s="155"/>
      <c r="C19" s="155"/>
      <c r="D19" s="155"/>
      <c r="E19" s="155"/>
    </row>
    <row r="20" spans="1:8" x14ac:dyDescent="0.25">
      <c r="A20" s="155"/>
      <c r="B20" s="155"/>
      <c r="C20" s="155"/>
      <c r="D20" s="155"/>
      <c r="E20" s="155"/>
      <c r="G20" s="140" t="s">
        <v>253</v>
      </c>
      <c r="H20" s="140"/>
    </row>
    <row r="21" spans="1:8" x14ac:dyDescent="0.25">
      <c r="A21" s="155"/>
      <c r="B21" s="155"/>
      <c r="C21" s="155"/>
      <c r="D21" s="155"/>
      <c r="E21" s="155"/>
      <c r="G21" s="140" t="s">
        <v>345</v>
      </c>
      <c r="H21" s="141">
        <f>H5-H18</f>
        <v>25000</v>
      </c>
    </row>
    <row r="22" spans="1:8" x14ac:dyDescent="0.25">
      <c r="G22" s="140" t="s">
        <v>346</v>
      </c>
      <c r="H22" s="142">
        <f>H21*H13</f>
        <v>100000</v>
      </c>
    </row>
  </sheetData>
  <mergeCells count="6">
    <mergeCell ref="G1:N2"/>
    <mergeCell ref="A1:E2"/>
    <mergeCell ref="B3:E3"/>
    <mergeCell ref="A16:E16"/>
    <mergeCell ref="A17:E18"/>
    <mergeCell ref="A19:E2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BDB1-330B-49D1-9236-E2F653CF8709}">
  <dimension ref="A1:K18"/>
  <sheetViews>
    <sheetView workbookViewId="0">
      <selection activeCell="E21" sqref="E21"/>
    </sheetView>
  </sheetViews>
  <sheetFormatPr defaultRowHeight="13.8" x14ac:dyDescent="0.25"/>
  <cols>
    <col min="1" max="1" width="37.44140625" customWidth="1"/>
    <col min="3" max="3" width="11.88671875" customWidth="1"/>
    <col min="7" max="7" width="39.109375" customWidth="1"/>
    <col min="8" max="8" width="10.77734375" bestFit="1" customWidth="1"/>
    <col min="9" max="9" width="14.6640625" bestFit="1" customWidth="1"/>
    <col min="10" max="10" width="10.77734375" bestFit="1" customWidth="1"/>
  </cols>
  <sheetData>
    <row r="1" spans="1:11" x14ac:dyDescent="0.25">
      <c r="A1" s="181" t="s">
        <v>348</v>
      </c>
      <c r="B1" s="181"/>
      <c r="C1" s="181"/>
      <c r="D1" s="181"/>
      <c r="E1" s="181"/>
      <c r="G1" s="77" t="s">
        <v>1</v>
      </c>
    </row>
    <row r="2" spans="1:11" x14ac:dyDescent="0.25">
      <c r="A2" s="111" t="s">
        <v>349</v>
      </c>
      <c r="B2" s="182">
        <v>50</v>
      </c>
      <c r="C2" t="s">
        <v>350</v>
      </c>
      <c r="D2">
        <v>45</v>
      </c>
      <c r="G2" s="111" t="s">
        <v>351</v>
      </c>
      <c r="H2" s="183" t="s">
        <v>352</v>
      </c>
      <c r="I2" s="183" t="s">
        <v>353</v>
      </c>
      <c r="J2" s="183" t="s">
        <v>354</v>
      </c>
    </row>
    <row r="3" spans="1:11" x14ac:dyDescent="0.25">
      <c r="A3" s="111" t="s">
        <v>355</v>
      </c>
      <c r="B3" s="184">
        <v>2500</v>
      </c>
      <c r="C3" t="s">
        <v>356</v>
      </c>
      <c r="D3">
        <v>500</v>
      </c>
      <c r="G3" s="111" t="s">
        <v>357</v>
      </c>
      <c r="H3" s="185">
        <f>500*45</f>
        <v>22500</v>
      </c>
      <c r="I3" s="186">
        <v>0</v>
      </c>
      <c r="J3" s="185">
        <f>H3-I3</f>
        <v>22500</v>
      </c>
      <c r="K3" t="s">
        <v>257</v>
      </c>
    </row>
    <row r="4" spans="1:11" x14ac:dyDescent="0.25">
      <c r="A4" s="114" t="s">
        <v>358</v>
      </c>
      <c r="B4" s="187"/>
      <c r="G4" s="111" t="s">
        <v>359</v>
      </c>
      <c r="H4" s="185">
        <f>500*D5</f>
        <v>11000</v>
      </c>
      <c r="I4" s="186">
        <v>0</v>
      </c>
      <c r="J4" s="185">
        <f t="shared" ref="J4:J6" si="0">H4-I4</f>
        <v>11000</v>
      </c>
      <c r="K4" t="s">
        <v>261</v>
      </c>
    </row>
    <row r="5" spans="1:11" x14ac:dyDescent="0.25">
      <c r="A5" s="111" t="s">
        <v>360</v>
      </c>
      <c r="B5" s="182">
        <v>20</v>
      </c>
      <c r="D5">
        <v>22</v>
      </c>
      <c r="G5" s="111" t="s">
        <v>361</v>
      </c>
      <c r="H5" s="188">
        <f>500*4</f>
        <v>2000</v>
      </c>
      <c r="I5" s="189">
        <v>0</v>
      </c>
      <c r="J5" s="188">
        <f t="shared" si="0"/>
        <v>2000</v>
      </c>
      <c r="K5" t="s">
        <v>261</v>
      </c>
    </row>
    <row r="6" spans="1:11" x14ac:dyDescent="0.25">
      <c r="A6" s="111" t="s">
        <v>362</v>
      </c>
      <c r="B6" s="184">
        <v>75000</v>
      </c>
      <c r="G6" s="111" t="s">
        <v>363</v>
      </c>
      <c r="H6" s="185">
        <f>H3-H4-H5</f>
        <v>9500</v>
      </c>
      <c r="I6" s="186">
        <v>0</v>
      </c>
      <c r="J6" s="185">
        <f t="shared" si="0"/>
        <v>9500</v>
      </c>
      <c r="K6" t="s">
        <v>257</v>
      </c>
    </row>
    <row r="7" spans="1:11" x14ac:dyDescent="0.25">
      <c r="A7" s="114" t="s">
        <v>331</v>
      </c>
      <c r="B7" s="187"/>
      <c r="G7" s="76"/>
      <c r="H7" s="76"/>
      <c r="I7" s="76"/>
      <c r="J7" s="76"/>
    </row>
    <row r="8" spans="1:11" x14ac:dyDescent="0.25">
      <c r="A8" s="111" t="s">
        <v>364</v>
      </c>
      <c r="B8" s="182">
        <v>6</v>
      </c>
      <c r="D8">
        <v>4</v>
      </c>
      <c r="G8" s="111" t="s">
        <v>365</v>
      </c>
      <c r="H8" s="183" t="s">
        <v>352</v>
      </c>
      <c r="I8" s="183" t="s">
        <v>353</v>
      </c>
      <c r="J8" s="183" t="s">
        <v>354</v>
      </c>
    </row>
    <row r="9" spans="1:11" x14ac:dyDescent="0.25">
      <c r="A9" s="111" t="s">
        <v>362</v>
      </c>
      <c r="B9" s="184">
        <v>15000</v>
      </c>
      <c r="G9" s="111" t="s">
        <v>366</v>
      </c>
      <c r="H9" s="185">
        <f>H3</f>
        <v>22500</v>
      </c>
      <c r="I9" s="185">
        <f>500*B2</f>
        <v>25000</v>
      </c>
      <c r="J9" s="185">
        <f>H9-I9</f>
        <v>-2500</v>
      </c>
      <c r="K9" t="s">
        <v>261</v>
      </c>
    </row>
    <row r="10" spans="1:11" x14ac:dyDescent="0.25">
      <c r="A10" s="155" t="s">
        <v>367</v>
      </c>
      <c r="B10" s="155"/>
      <c r="C10" s="155"/>
      <c r="D10" s="155"/>
      <c r="G10" s="111" t="s">
        <v>359</v>
      </c>
      <c r="H10" s="185">
        <f t="shared" ref="H10:H12" si="1">H4</f>
        <v>11000</v>
      </c>
      <c r="I10" s="185">
        <f>500*B5</f>
        <v>10000</v>
      </c>
      <c r="J10" s="185">
        <f t="shared" ref="J10:J12" si="2">H10-I10</f>
        <v>1000</v>
      </c>
      <c r="K10" t="s">
        <v>261</v>
      </c>
    </row>
    <row r="11" spans="1:11" x14ac:dyDescent="0.25">
      <c r="A11" s="155"/>
      <c r="B11" s="155"/>
      <c r="C11" s="155"/>
      <c r="D11" s="155"/>
      <c r="G11" s="111" t="s">
        <v>368</v>
      </c>
      <c r="H11" s="188">
        <f t="shared" si="1"/>
        <v>2000</v>
      </c>
      <c r="I11" s="188">
        <f>500*B8</f>
        <v>3000</v>
      </c>
      <c r="J11" s="188">
        <f t="shared" si="2"/>
        <v>-1000</v>
      </c>
      <c r="K11" t="s">
        <v>257</v>
      </c>
    </row>
    <row r="12" spans="1:11" x14ac:dyDescent="0.25">
      <c r="A12" s="155"/>
      <c r="B12" s="155"/>
      <c r="C12" s="155"/>
      <c r="D12" s="155"/>
      <c r="G12" s="111" t="s">
        <v>363</v>
      </c>
      <c r="H12" s="185">
        <f t="shared" si="1"/>
        <v>9500</v>
      </c>
      <c r="I12" s="185">
        <f>I9-I10-I11</f>
        <v>12000</v>
      </c>
      <c r="J12" s="185">
        <f t="shared" si="2"/>
        <v>-2500</v>
      </c>
      <c r="K12" t="s">
        <v>261</v>
      </c>
    </row>
    <row r="13" spans="1:11" x14ac:dyDescent="0.25">
      <c r="A13" s="155"/>
      <c r="B13" s="155"/>
      <c r="C13" s="155"/>
      <c r="D13" s="155"/>
    </row>
    <row r="14" spans="1:11" x14ac:dyDescent="0.25">
      <c r="A14" s="155"/>
      <c r="B14" s="155"/>
      <c r="C14" s="155"/>
      <c r="D14" s="155"/>
    </row>
    <row r="15" spans="1:11" x14ac:dyDescent="0.25">
      <c r="A15" s="190" t="s">
        <v>369</v>
      </c>
      <c r="G15" s="191" t="s">
        <v>370</v>
      </c>
      <c r="H15" s="191"/>
      <c r="I15" s="191"/>
      <c r="J15" s="191"/>
    </row>
    <row r="16" spans="1:11" x14ac:dyDescent="0.25">
      <c r="A16" s="169" t="s">
        <v>371</v>
      </c>
      <c r="B16" s="169"/>
      <c r="C16" s="169"/>
      <c r="D16" s="169"/>
      <c r="G16" s="191"/>
      <c r="H16" s="191"/>
      <c r="I16" s="191"/>
      <c r="J16" s="191"/>
    </row>
    <row r="17" spans="1:10" x14ac:dyDescent="0.25">
      <c r="A17" s="169" t="s">
        <v>372</v>
      </c>
      <c r="B17" s="169"/>
      <c r="C17" s="169"/>
      <c r="D17" s="169"/>
      <c r="G17" s="191"/>
      <c r="H17" s="191"/>
      <c r="I17" s="191"/>
      <c r="J17" s="191"/>
    </row>
    <row r="18" spans="1:10" x14ac:dyDescent="0.25">
      <c r="A18" s="50"/>
      <c r="B18" s="50"/>
      <c r="C18" s="50"/>
      <c r="D18" s="50"/>
    </row>
  </sheetData>
  <mergeCells count="5">
    <mergeCell ref="A1:E1"/>
    <mergeCell ref="A10:D14"/>
    <mergeCell ref="G15:J17"/>
    <mergeCell ref="A16:D16"/>
    <mergeCell ref="A17:D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Ex1</vt:lpstr>
      <vt:lpstr>Ex2</vt:lpstr>
      <vt:lpstr>Ex3</vt:lpstr>
      <vt:lpstr>Ex5</vt:lpstr>
      <vt:lpstr>Ex6</vt:lpstr>
      <vt:lpstr>Ex7</vt:lpstr>
      <vt:lpstr>Ex8</vt:lpstr>
      <vt:lpstr>Ex9</vt:lpstr>
      <vt:lpstr>Ex10</vt:lpstr>
      <vt:lpstr>Ex11</vt:lpstr>
      <vt:lpstr>Ex13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NIKOLAOS KARAMPINIS</dc:creator>
  <cp:lastModifiedBy>NIKOLAOS KARAMPINIS</cp:lastModifiedBy>
  <dcterms:created xsi:type="dcterms:W3CDTF">2025-10-31T10:58:22Z</dcterms:created>
  <dcterms:modified xsi:type="dcterms:W3CDTF">2025-11-21T14:35:27Z</dcterms:modified>
</cp:coreProperties>
</file>