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spyro\Desktop\"/>
    </mc:Choice>
  </mc:AlternateContent>
  <xr:revisionPtr revIDLastSave="0" documentId="8_{77599F36-8AD7-4F83-AD6A-E9182500AC71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Stocks" sheetId="3" r:id="rId1"/>
    <sheet name="BONDS" sheetId="4" r:id="rId2"/>
    <sheet name="Q3 - SWAPS" sheetId="2" r:id="rId3"/>
    <sheet name="Q4 - BUDGETING " sheetId="9" r:id="rId4"/>
    <sheet name="Q5 - RATIOS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5" l="1"/>
  <c r="M28" i="5"/>
  <c r="L36" i="5"/>
  <c r="M27" i="5"/>
  <c r="M25" i="5"/>
  <c r="M13" i="5"/>
  <c r="M10" i="5"/>
  <c r="M9" i="5"/>
  <c r="C16" i="9"/>
  <c r="C51" i="2"/>
  <c r="C50" i="2"/>
  <c r="E47" i="2"/>
  <c r="E31" i="2"/>
  <c r="D31" i="2"/>
  <c r="I25" i="2"/>
  <c r="I23" i="2"/>
  <c r="I22" i="2"/>
  <c r="G22" i="2"/>
  <c r="D25" i="2"/>
  <c r="D23" i="2"/>
  <c r="D22" i="2"/>
  <c r="C22" i="2"/>
  <c r="B72" i="4"/>
  <c r="B76" i="4" s="1"/>
  <c r="D68" i="4"/>
  <c r="D67" i="4"/>
  <c r="D65" i="4"/>
  <c r="D64" i="4"/>
  <c r="B52" i="4"/>
  <c r="B51" i="4"/>
  <c r="B50" i="4"/>
  <c r="B47" i="4"/>
  <c r="B46" i="4"/>
  <c r="B45" i="4"/>
  <c r="B20" i="4"/>
  <c r="B19" i="4"/>
  <c r="B46" i="3"/>
  <c r="B38" i="3"/>
  <c r="F20" i="3"/>
  <c r="B22" i="3"/>
  <c r="B18" i="3"/>
  <c r="B17" i="3"/>
  <c r="B44" i="3"/>
  <c r="B48" i="3" s="1"/>
  <c r="B42" i="3"/>
  <c r="B41" i="3"/>
  <c r="B37" i="3"/>
  <c r="F19" i="3"/>
  <c r="F13" i="3"/>
  <c r="F12" i="3"/>
  <c r="B20" i="3"/>
  <c r="B14" i="3"/>
  <c r="B13" i="3"/>
  <c r="B15" i="3"/>
  <c r="B41" i="4"/>
  <c r="B40" i="4"/>
  <c r="B39" i="4"/>
  <c r="B35" i="4"/>
  <c r="B34" i="4"/>
  <c r="B17" i="4"/>
  <c r="B15" i="4"/>
  <c r="M32" i="5"/>
  <c r="M29" i="5"/>
  <c r="M11" i="5"/>
  <c r="E23" i="9"/>
  <c r="F23" i="9"/>
  <c r="G23" i="9"/>
  <c r="E22" i="9"/>
  <c r="F22" i="9"/>
  <c r="G22" i="9"/>
  <c r="D23" i="9"/>
  <c r="D22" i="9"/>
  <c r="C33" i="9"/>
  <c r="H27" i="9"/>
  <c r="C18" i="9"/>
  <c r="C26" i="9"/>
  <c r="E38" i="9"/>
  <c r="B37" i="5"/>
  <c r="E57" i="2"/>
  <c r="C47" i="2"/>
  <c r="B30" i="5"/>
  <c r="E6" i="2"/>
  <c r="E13" i="2" s="1"/>
  <c r="G17" i="2"/>
  <c r="G16" i="2"/>
  <c r="B17" i="2"/>
  <c r="B16" i="2"/>
  <c r="H13" i="2"/>
  <c r="C13" i="2"/>
  <c r="G13" i="2"/>
  <c r="B13" i="2"/>
  <c r="D27" i="9" l="1"/>
  <c r="G23" i="2"/>
  <c r="H23" i="2" s="1"/>
  <c r="H22" i="2"/>
  <c r="B22" i="2"/>
  <c r="C37" i="5"/>
  <c r="F14" i="5"/>
  <c r="H28" i="9"/>
  <c r="H29" i="9" s="1"/>
  <c r="H32" i="9"/>
  <c r="H34" i="9"/>
  <c r="D25" i="9"/>
  <c r="H25" i="2" l="1"/>
  <c r="H30" i="9"/>
  <c r="H35" i="9" s="1"/>
  <c r="D43" i="9" s="1"/>
  <c r="G25" i="9" l="1"/>
  <c r="F25" i="9"/>
  <c r="E25" i="9"/>
  <c r="E27" i="9"/>
  <c r="E32" i="9" s="1"/>
  <c r="C28" i="9"/>
  <c r="C29" i="9" s="1"/>
  <c r="G24" i="9"/>
  <c r="F27" i="9" l="1"/>
  <c r="F32" i="9" s="1"/>
  <c r="G27" i="9"/>
  <c r="G32" i="9" s="1"/>
  <c r="D32" i="9"/>
  <c r="C30" i="9"/>
  <c r="D24" i="9"/>
  <c r="E24" i="9"/>
  <c r="E28" i="9" s="1"/>
  <c r="F24" i="9"/>
  <c r="C35" i="9" l="1"/>
  <c r="D38" i="9" s="1"/>
  <c r="D28" i="9"/>
  <c r="F28" i="9"/>
  <c r="F29" i="9" s="1"/>
  <c r="F30" i="9" s="1"/>
  <c r="F35" i="9" s="1"/>
  <c r="D41" i="9" s="1"/>
  <c r="G28" i="9"/>
  <c r="E29" i="9"/>
  <c r="E30" i="9" s="1"/>
  <c r="E35" i="9" s="1"/>
  <c r="D40" i="9" s="1"/>
  <c r="G29" i="9" l="1"/>
  <c r="G30" i="9" s="1"/>
  <c r="G35" i="9" s="1"/>
  <c r="D42" i="9" s="1"/>
  <c r="D29" i="9"/>
  <c r="D30" i="9" s="1"/>
  <c r="D35" i="9" s="1"/>
  <c r="D39" i="9" s="1"/>
  <c r="D45" i="9" l="1"/>
  <c r="C30" i="5" l="1"/>
  <c r="C29" i="5"/>
  <c r="B29" i="5"/>
  <c r="C28" i="5"/>
  <c r="B28" i="5"/>
  <c r="C25" i="5"/>
  <c r="C26" i="5" s="1"/>
  <c r="B25" i="5"/>
  <c r="B27" i="5" s="1"/>
  <c r="C23" i="5"/>
  <c r="C24" i="5" s="1"/>
  <c r="B23" i="5"/>
  <c r="B24" i="5" s="1"/>
  <c r="I48" i="5"/>
  <c r="J42" i="5"/>
  <c r="I42" i="5"/>
  <c r="I37" i="5"/>
  <c r="I35" i="5"/>
  <c r="J32" i="5"/>
  <c r="I32" i="5"/>
  <c r="G32" i="5"/>
  <c r="C14" i="5" s="1"/>
  <c r="F32" i="5"/>
  <c r="G21" i="5"/>
  <c r="G24" i="5" s="1"/>
  <c r="F21" i="5"/>
  <c r="F24" i="5" s="1"/>
  <c r="F26" i="5" s="1"/>
  <c r="J19" i="5"/>
  <c r="J22" i="5" s="1"/>
  <c r="I19" i="5"/>
  <c r="I22" i="5" s="1"/>
  <c r="J14" i="5"/>
  <c r="C21" i="5" s="1"/>
  <c r="I14" i="5"/>
  <c r="B19" i="5" s="1"/>
  <c r="G14" i="5"/>
  <c r="C19" i="5" l="1"/>
  <c r="I24" i="5"/>
  <c r="B39" i="5" s="1"/>
  <c r="B20" i="5"/>
  <c r="J24" i="5"/>
  <c r="C39" i="5" s="1"/>
  <c r="G36" i="5"/>
  <c r="C20" i="5"/>
  <c r="F36" i="5"/>
  <c r="I46" i="5"/>
  <c r="B21" i="5"/>
  <c r="B26" i="5"/>
  <c r="G26" i="5"/>
  <c r="C27" i="5"/>
  <c r="J25" i="5" l="1"/>
  <c r="C42" i="5" s="1"/>
  <c r="B41" i="5"/>
  <c r="I25" i="5"/>
  <c r="G38" i="5"/>
  <c r="C40" i="5" s="1"/>
  <c r="C15" i="5"/>
  <c r="F38" i="5"/>
  <c r="B16" i="5" s="1"/>
  <c r="B15" i="5"/>
  <c r="C41" i="5"/>
  <c r="C33" i="5" l="1"/>
  <c r="B40" i="5"/>
  <c r="I26" i="5"/>
  <c r="B33" i="5"/>
  <c r="B42" i="5"/>
  <c r="B34" i="5"/>
  <c r="C34" i="5"/>
  <c r="J26" i="5"/>
  <c r="G40" i="5"/>
  <c r="C16" i="5"/>
  <c r="C31" i="5"/>
  <c r="B31" i="5"/>
  <c r="F40" i="5"/>
  <c r="F41" i="5" s="1"/>
  <c r="G41" i="5" l="1"/>
  <c r="G42" i="5" s="1"/>
  <c r="F42" i="5"/>
  <c r="J44" i="5" l="1"/>
  <c r="J47" i="5" s="1"/>
  <c r="C17" i="5"/>
  <c r="B45" i="5"/>
  <c r="B44" i="5"/>
  <c r="B17" i="5"/>
  <c r="I44" i="5"/>
  <c r="J31" i="5"/>
  <c r="J38" i="5" s="1"/>
  <c r="C44" i="5"/>
  <c r="C45" i="5"/>
  <c r="G44" i="5"/>
  <c r="C38" i="5" s="1"/>
  <c r="I31" i="5"/>
  <c r="I38" i="5" s="1"/>
  <c r="F44" i="5"/>
  <c r="B38" i="5" s="1"/>
  <c r="I47" i="5" l="1"/>
  <c r="F65" i="4"/>
  <c r="C65" i="4"/>
  <c r="E65" i="4" s="1"/>
  <c r="F64" i="4"/>
  <c r="C64" i="4"/>
  <c r="E64" i="4" s="1"/>
  <c r="B36" i="4"/>
  <c r="B16" i="4"/>
  <c r="B24" i="3"/>
  <c r="B23" i="2"/>
  <c r="C23" i="2" s="1"/>
  <c r="C25" i="2" s="1"/>
  <c r="B21" i="4" l="1"/>
  <c r="E66" i="4"/>
  <c r="G65" i="4"/>
  <c r="G64" i="4"/>
  <c r="D66" i="4"/>
  <c r="B53" i="4" l="1"/>
  <c r="G66" i="4"/>
  <c r="G68" i="4" s="1"/>
  <c r="B79" i="4" s="1"/>
  <c r="B84" i="4" l="1"/>
</calcChain>
</file>

<file path=xl/sharedStrings.xml><?xml version="1.0" encoding="utf-8"?>
<sst xmlns="http://schemas.openxmlformats.org/spreadsheetml/2006/main" count="408" uniqueCount="320">
  <si>
    <t xml:space="preserve">CURRENCY SWAP </t>
  </si>
  <si>
    <t xml:space="preserve">What is the current value of the swap agreement in US $ for the bank? </t>
  </si>
  <si>
    <t xml:space="preserve">rate  received </t>
  </si>
  <si>
    <t xml:space="preserve">Currency </t>
  </si>
  <si>
    <t>S0</t>
  </si>
  <si>
    <t>rate paid</t>
  </si>
  <si>
    <t xml:space="preserve">currency </t>
  </si>
  <si>
    <t xml:space="preserve">Discount rates </t>
  </si>
  <si>
    <t xml:space="preserve">coupons </t>
  </si>
  <si>
    <t xml:space="preserve">PRICE </t>
  </si>
  <si>
    <t>e</t>
  </si>
  <si>
    <t xml:space="preserve">VALUE SWAP </t>
  </si>
  <si>
    <t xml:space="preserve">FIND VALUE ASSUMING CONSTANT GROWTH  </t>
  </si>
  <si>
    <t xml:space="preserve">MODEL </t>
  </si>
  <si>
    <t xml:space="preserve">IV = D1 / (r-g) </t>
  </si>
  <si>
    <t xml:space="preserve">Find Data </t>
  </si>
  <si>
    <t xml:space="preserve">Earnings </t>
  </si>
  <si>
    <t xml:space="preserve">Dividends </t>
  </si>
  <si>
    <t xml:space="preserve">ROE </t>
  </si>
  <si>
    <t xml:space="preserve">Find growth rate (g) </t>
  </si>
  <si>
    <t>b = (1-D/E)</t>
  </si>
  <si>
    <t xml:space="preserve">g = ROE * b </t>
  </si>
  <si>
    <t xml:space="preserve">Determine discount rate </t>
  </si>
  <si>
    <t>r</t>
  </si>
  <si>
    <t xml:space="preserve">Find next year's dividend  </t>
  </si>
  <si>
    <t xml:space="preserve">D1 = D0 (1+g) </t>
  </si>
  <si>
    <t xml:space="preserve">Value </t>
  </si>
  <si>
    <t>P1</t>
  </si>
  <si>
    <t>P2</t>
  </si>
  <si>
    <t>P3</t>
  </si>
  <si>
    <t xml:space="preserve">ANNUAL </t>
  </si>
  <si>
    <t xml:space="preserve">PAR </t>
  </si>
  <si>
    <t>C%</t>
  </si>
  <si>
    <t>C</t>
  </si>
  <si>
    <t>Z</t>
  </si>
  <si>
    <t>N</t>
  </si>
  <si>
    <t>PAR VALUE</t>
  </si>
  <si>
    <t>C %</t>
  </si>
  <si>
    <t>n1</t>
  </si>
  <si>
    <t>n2</t>
  </si>
  <si>
    <t>n3</t>
  </si>
  <si>
    <t>YtM = [P / P0]1/n -1</t>
  </si>
  <si>
    <t xml:space="preserve">SPOT RATES </t>
  </si>
  <si>
    <t>S1</t>
  </si>
  <si>
    <t>S2</t>
  </si>
  <si>
    <t xml:space="preserve">S3 </t>
  </si>
  <si>
    <t>1st term</t>
  </si>
  <si>
    <t>2nd term</t>
  </si>
  <si>
    <t xml:space="preserve">3rd term </t>
  </si>
  <si>
    <t xml:space="preserve">PRICE TOTAL </t>
  </si>
  <si>
    <t xml:space="preserve">EXAMPLE: CALCULATING DURATION &amp; CONVEXITY </t>
  </si>
  <si>
    <t>PAR</t>
  </si>
  <si>
    <t>t</t>
  </si>
  <si>
    <t>c</t>
  </si>
  <si>
    <t>r (assumption)</t>
  </si>
  <si>
    <t>PV(coupon)</t>
  </si>
  <si>
    <t>t*PV(coupon)</t>
  </si>
  <si>
    <t>t(t+1)</t>
  </si>
  <si>
    <t>t(t+1)*PV(coupon)</t>
  </si>
  <si>
    <t>D</t>
  </si>
  <si>
    <t xml:space="preserve">D* </t>
  </si>
  <si>
    <t xml:space="preserve">DURATION </t>
  </si>
  <si>
    <t xml:space="preserve">CONVEXITY </t>
  </si>
  <si>
    <t xml:space="preserve">ΔΡ = -D* (Δr) </t>
  </si>
  <si>
    <t>METABOLH STHN TIMH ΛΟΓΩ ΚΥΡΤΟΤΗΤΑΣ</t>
  </si>
  <si>
    <t>ΔΡ = 0,5 * C (Δr)^2</t>
  </si>
  <si>
    <t>ΣΥΝΟΛΙΚΗ ΜΕΤΑΒΟΛΗ ΣΤΗΝ ΤΙΜΗ (με κυρτότητα)</t>
  </si>
  <si>
    <t xml:space="preserve">ΔΡ = -D* (Δr) + (0,5) C (Δr)2 </t>
  </si>
  <si>
    <t xml:space="preserve">ASSETS </t>
  </si>
  <si>
    <t xml:space="preserve">LIABILITIES </t>
  </si>
  <si>
    <t xml:space="preserve">Current Assets </t>
  </si>
  <si>
    <t xml:space="preserve">Current Liabilities </t>
  </si>
  <si>
    <t>Cash</t>
  </si>
  <si>
    <t xml:space="preserve">Accounts Payable </t>
  </si>
  <si>
    <t xml:space="preserve">Accounts Receivable </t>
  </si>
  <si>
    <t xml:space="preserve">Short term Debt </t>
  </si>
  <si>
    <t xml:space="preserve">Inventories </t>
  </si>
  <si>
    <t xml:space="preserve">Long Term Debt maturing Currently </t>
  </si>
  <si>
    <t xml:space="preserve">Other current assets </t>
  </si>
  <si>
    <t xml:space="preserve">Other current aLiabilities </t>
  </si>
  <si>
    <t xml:space="preserve">Total Current Assets </t>
  </si>
  <si>
    <t xml:space="preserve">Total Current Liabilities </t>
  </si>
  <si>
    <t xml:space="preserve">Long Term Assets </t>
  </si>
  <si>
    <t xml:space="preserve">Long Term Liabilities </t>
  </si>
  <si>
    <t xml:space="preserve">Land </t>
  </si>
  <si>
    <t xml:space="preserve">Long Term Debt </t>
  </si>
  <si>
    <t xml:space="preserve">Building </t>
  </si>
  <si>
    <t xml:space="preserve">Leasing Obligations </t>
  </si>
  <si>
    <t xml:space="preserve">Equipment </t>
  </si>
  <si>
    <t xml:space="preserve">Total Debt </t>
  </si>
  <si>
    <t xml:space="preserve">(Less) Accumulated Depreciation </t>
  </si>
  <si>
    <t xml:space="preserve">Deffered Taxes </t>
  </si>
  <si>
    <t>Net</t>
  </si>
  <si>
    <t xml:space="preserve">Other long term liabilities </t>
  </si>
  <si>
    <t xml:space="preserve">Goodwill and intangible </t>
  </si>
  <si>
    <t xml:space="preserve">Total Long Tem Liabilities </t>
  </si>
  <si>
    <t xml:space="preserve">Other long term assets </t>
  </si>
  <si>
    <t xml:space="preserve">Total Long Tem Asstes </t>
  </si>
  <si>
    <t xml:space="preserve">Total Liabilities </t>
  </si>
  <si>
    <t xml:space="preserve">Stocholders Equity </t>
  </si>
  <si>
    <t xml:space="preserve">Total Assets </t>
  </si>
  <si>
    <t xml:space="preserve">Total Liabilities &amp; Stockholders Equity </t>
  </si>
  <si>
    <t>Total Sales</t>
  </si>
  <si>
    <t xml:space="preserve">Operating Activities </t>
  </si>
  <si>
    <t xml:space="preserve">Cost of Sales </t>
  </si>
  <si>
    <t>Net Income</t>
  </si>
  <si>
    <t xml:space="preserve">Gross Profit </t>
  </si>
  <si>
    <t xml:space="preserve">Depreciation &amp; Amortisation </t>
  </si>
  <si>
    <t xml:space="preserve">General, Selling, Admin Expenses  </t>
  </si>
  <si>
    <t xml:space="preserve">Other non-cash items </t>
  </si>
  <si>
    <t xml:space="preserve">Research &amp; Development </t>
  </si>
  <si>
    <t xml:space="preserve">Cash effects of adjustments in </t>
  </si>
  <si>
    <t>Depreciation &amp; Amortisation</t>
  </si>
  <si>
    <t xml:space="preserve">Operating Income </t>
  </si>
  <si>
    <t>Other Income</t>
  </si>
  <si>
    <t xml:space="preserve">Inventory </t>
  </si>
  <si>
    <t>Earnings Before Interest &amp; Taxes (EBIT)</t>
  </si>
  <si>
    <t xml:space="preserve">Cash form Operating Activities </t>
  </si>
  <si>
    <t xml:space="preserve">Interest Income </t>
  </si>
  <si>
    <t xml:space="preserve">Investment Activities </t>
  </si>
  <si>
    <t xml:space="preserve">Pretax Income </t>
  </si>
  <si>
    <t xml:space="preserve">Capital Expenditures </t>
  </si>
  <si>
    <t xml:space="preserve">Acquisitions etc </t>
  </si>
  <si>
    <t xml:space="preserve">Net Income </t>
  </si>
  <si>
    <t xml:space="preserve">Cash from Investing Activities </t>
  </si>
  <si>
    <t>Shares (in million)</t>
  </si>
  <si>
    <t xml:space="preserve">Financing Activities </t>
  </si>
  <si>
    <t>Earnings Per Share (EPS)</t>
  </si>
  <si>
    <t>Dividends Paid (50% of Net Income)</t>
  </si>
  <si>
    <t xml:space="preserve">Sales (Purchases) of Stock </t>
  </si>
  <si>
    <t xml:space="preserve">Increase in Borrowing </t>
  </si>
  <si>
    <t xml:space="preserve">Cash from Financing Activities </t>
  </si>
  <si>
    <t xml:space="preserve">Change in Cash and Cash Equivalents </t>
  </si>
  <si>
    <t xml:space="preserve">PROFITABILITY RATIOS </t>
  </si>
  <si>
    <t xml:space="preserve">Gross Margin = Gross Profit / Sales </t>
  </si>
  <si>
    <t>Operating Margin = Operating Income / Sales</t>
  </si>
  <si>
    <t xml:space="preserve">EBIT Margin = EBIT / Sales </t>
  </si>
  <si>
    <t xml:space="preserve">Net Profit Margin = Net Income / Sales </t>
  </si>
  <si>
    <t xml:space="preserve">LIQUIDITY RATIOS </t>
  </si>
  <si>
    <t>Current Ratio = Current Assets / Current Liabilities</t>
  </si>
  <si>
    <t>Quick Ratio = (Cash + Short-Term Investments + AR) / Current Liabilities</t>
  </si>
  <si>
    <t xml:space="preserve">Cash Ratio </t>
  </si>
  <si>
    <t xml:space="preserve">WORKING CAPITAL RATIOS </t>
  </si>
  <si>
    <t>Average Daily Sales = Sales / 365</t>
  </si>
  <si>
    <t xml:space="preserve">Accounts Receivable Days = Accounts Receivable / Average Daily Sales </t>
  </si>
  <si>
    <t>Average Daily Cost of Sales = Cost of Sales / 365</t>
  </si>
  <si>
    <t xml:space="preserve">Accounts Payable Days = Accounts Payable / Average Daily Cost of Sales </t>
  </si>
  <si>
    <t xml:space="preserve">Inventory Days = Inventory / Average Daily Cost of Sales </t>
  </si>
  <si>
    <t xml:space="preserve">Accounts Receivable Turnover = Sales / Accounts Receivable  </t>
  </si>
  <si>
    <t xml:space="preserve">Accounts Payable Turnover = Cost of Sales / Accounts Payable   </t>
  </si>
  <si>
    <t xml:space="preserve">Inventory Turnover = Cost of Sales / Inventory </t>
  </si>
  <si>
    <t xml:space="preserve">Interest Coverage Ratio = EBIT / INTEREST </t>
  </si>
  <si>
    <t xml:space="preserve">LEVERAGE RATIOS </t>
  </si>
  <si>
    <t xml:space="preserve">Debt to Equity Ratio = Total Debt / Total Equity </t>
  </si>
  <si>
    <t xml:space="preserve">Debt to Capital Ratio = Total Debt / ( Total Equity + Total Debt) </t>
  </si>
  <si>
    <t xml:space="preserve">VALUATION RATIOS </t>
  </si>
  <si>
    <t xml:space="preserve">Assumed Stock Price </t>
  </si>
  <si>
    <t>P/E ratio = Market Cap / Net Income = Share Price / EPS</t>
  </si>
  <si>
    <t>Enterprise Value  = Market Value of Equity + Debt – Cash</t>
  </si>
  <si>
    <t>Enterprise Value to EBIT = (Market Value of Equity + Debt – Cash) / EBIT</t>
  </si>
  <si>
    <t xml:space="preserve">Enterprise Value to Sales = (Market Value of Equity + Debt – Cash) / Sales </t>
  </si>
  <si>
    <t xml:space="preserve">OPERATING RETURNS </t>
  </si>
  <si>
    <t xml:space="preserve">Return on Equity (ROE) = Net Income / Book Value of Equity </t>
  </si>
  <si>
    <t xml:space="preserve">Return on Assets (ROA) = Net Income + Interest Expense / Total Assets </t>
  </si>
  <si>
    <t>EXERCISE 2</t>
  </si>
  <si>
    <t xml:space="preserve">Z-Score = 1.2 X1 + 1.4 X2 + 3.3 X3 + 0.6 X4 + 1.0 X5 </t>
  </si>
  <si>
    <t>•X1 = working capital / total assets</t>
  </si>
  <si>
    <t>•X2 = retained earnings / total assets</t>
  </si>
  <si>
    <t>•X3 = earnings before interest and tax / total assets</t>
  </si>
  <si>
    <t>•X4 = market value of equity / total liabilities</t>
  </si>
  <si>
    <t>•X5 = sales / total assets</t>
  </si>
  <si>
    <t xml:space="preserve">Current Ratio </t>
  </si>
  <si>
    <t xml:space="preserve">Quick Ratio </t>
  </si>
  <si>
    <t xml:space="preserve">Inventory Days </t>
  </si>
  <si>
    <t xml:space="preserve">Accounts Receivable Turnover </t>
  </si>
  <si>
    <t xml:space="preserve">Accounts Payable Turnover </t>
  </si>
  <si>
    <t xml:space="preserve">Inventory Turnover </t>
  </si>
  <si>
    <t xml:space="preserve">Debt to Equity Ratio </t>
  </si>
  <si>
    <t xml:space="preserve">Debt to Capital Ratio </t>
  </si>
  <si>
    <t xml:space="preserve">P/E ratio </t>
  </si>
  <si>
    <t xml:space="preserve">Enterprise Value to EBIT </t>
  </si>
  <si>
    <t xml:space="preserve">Enterprise Value to Sales </t>
  </si>
  <si>
    <t xml:space="preserve">Return on Equity (ROE) </t>
  </si>
  <si>
    <t xml:space="preserve">Return on Assets (ROA) </t>
  </si>
  <si>
    <t>P/B ratio</t>
  </si>
  <si>
    <t xml:space="preserve">Average Daily Cost of Sales </t>
  </si>
  <si>
    <t>Accounts Receivable Days</t>
  </si>
  <si>
    <t xml:space="preserve">Interest Coverage Ratio </t>
  </si>
  <si>
    <t xml:space="preserve">Depreciation </t>
  </si>
  <si>
    <t>R&amp;D</t>
  </si>
  <si>
    <t>Budgeting (in $ thousands)</t>
  </si>
  <si>
    <t xml:space="preserve">Unlevered Net Income </t>
  </si>
  <si>
    <t xml:space="preserve">FREE CASH FLOW (FCF) </t>
  </si>
  <si>
    <t xml:space="preserve">Depreciation (add it) </t>
  </si>
  <si>
    <t>Capital Expenditures (delete it)</t>
  </si>
  <si>
    <t xml:space="preserve">Change in NWC (delete it) </t>
  </si>
  <si>
    <t xml:space="preserve">t </t>
  </si>
  <si>
    <t xml:space="preserve">FRE CASH FLOWS </t>
  </si>
  <si>
    <t>discount rate (r)</t>
  </si>
  <si>
    <t xml:space="preserve">NPV = </t>
  </si>
  <si>
    <t>Gener Sell ADMIn</t>
  </si>
  <si>
    <t xml:space="preserve">Current Price = IV = D / r </t>
  </si>
  <si>
    <t xml:space="preserve">CURRENT VALUE ASSUMING No GROWTH  </t>
  </si>
  <si>
    <t>VALUE IN NEW SENARIO (CONSTANT GROWTH)</t>
  </si>
  <si>
    <t xml:space="preserve">NEW PRICE WITH SENARIO = IV = D1 / (r-g) </t>
  </si>
  <si>
    <t>Income Statement (Dec 2023, in $ million)</t>
  </si>
  <si>
    <t>Statement of Cash Flows (Dec 2023, in $ million)</t>
  </si>
  <si>
    <t xml:space="preserve">FINANCIAL RATIOS - AVERAGE FOR INDUSTRY </t>
  </si>
  <si>
    <t>P/B</t>
  </si>
  <si>
    <t xml:space="preserve">The principals in millions are </t>
  </si>
  <si>
    <t>$</t>
  </si>
  <si>
    <t xml:space="preserve">and </t>
  </si>
  <si>
    <t xml:space="preserve">AS$ </t>
  </si>
  <si>
    <t xml:space="preserve">A US bank has agreed swap with a client where she receives </t>
  </si>
  <si>
    <t xml:space="preserve"> in $ (US dollars) </t>
  </si>
  <si>
    <t xml:space="preserve">and pays </t>
  </si>
  <si>
    <t xml:space="preserve"> in AUS$ (Australian dollars), annually. </t>
  </si>
  <si>
    <t xml:space="preserve">The appropriate spot rates for years 1 and 2, respectively (yield curve) are </t>
  </si>
  <si>
    <t xml:space="preserve">in the US </t>
  </si>
  <si>
    <t xml:space="preserve">in Australia. </t>
  </si>
  <si>
    <t xml:space="preserve">The current exchange rate is a 1$ = </t>
  </si>
  <si>
    <t>AUS$</t>
  </si>
  <si>
    <t xml:space="preserve">i.e. S0 = </t>
  </si>
  <si>
    <t xml:space="preserve">SOLUTION </t>
  </si>
  <si>
    <t xml:space="preserve">Euribor + </t>
  </si>
  <si>
    <t>X</t>
  </si>
  <si>
    <t>Euribor + 1%</t>
  </si>
  <si>
    <t xml:space="preserve">Swap </t>
  </si>
  <si>
    <t>Euribor</t>
  </si>
  <si>
    <t xml:space="preserve">Euribor </t>
  </si>
  <si>
    <t>Accounts Payable days</t>
  </si>
  <si>
    <t>Gross Margin %</t>
  </si>
  <si>
    <t>Operating Margin %</t>
  </si>
  <si>
    <t>EBIT Margin %</t>
  </si>
  <si>
    <t>Net Profit Margin %</t>
  </si>
  <si>
    <t xml:space="preserve">X wants to borrow at floating </t>
  </si>
  <si>
    <t xml:space="preserve">Y wants to borrow at fixed </t>
  </si>
  <si>
    <t xml:space="preserve">Desingn a swap that splits the profit equally </t>
  </si>
  <si>
    <t>Y</t>
  </si>
  <si>
    <t xml:space="preserve">Fixed </t>
  </si>
  <si>
    <t xml:space="preserve">Floating </t>
  </si>
  <si>
    <t xml:space="preserve">Difference </t>
  </si>
  <si>
    <t xml:space="preserve">Profit </t>
  </si>
  <si>
    <t>Profit / 2</t>
  </si>
  <si>
    <t xml:space="preserve">Pays </t>
  </si>
  <si>
    <t xml:space="preserve">Receives </t>
  </si>
  <si>
    <t xml:space="preserve">PAYS FINAL </t>
  </si>
  <si>
    <t xml:space="preserve">Solution </t>
  </si>
  <si>
    <t xml:space="preserve">Exercise </t>
  </si>
  <si>
    <t xml:space="preserve">Formula </t>
  </si>
  <si>
    <t xml:space="preserve">Price </t>
  </si>
  <si>
    <t xml:space="preserve">Final Price </t>
  </si>
  <si>
    <t xml:space="preserve">Loan </t>
  </si>
  <si>
    <t>VSwap =BD - S0* BF</t>
  </si>
  <si>
    <t>AI = C (Ζ/Ν)</t>
  </si>
  <si>
    <t>AI</t>
  </si>
  <si>
    <t>Formula</t>
  </si>
  <si>
    <t>Euribor + 0.3 %</t>
  </si>
  <si>
    <t xml:space="preserve">Taxes </t>
  </si>
  <si>
    <t>Taxes (20%)</t>
  </si>
  <si>
    <t xml:space="preserve">With 5 million share the market value of X is (in million) </t>
  </si>
  <si>
    <t>Question 4</t>
  </si>
  <si>
    <t>Cost of Sales</t>
  </si>
  <si>
    <t xml:space="preserve">Your firm is about to develop a new product that will have an expected life of 4 years. </t>
  </si>
  <si>
    <t xml:space="preserve">After careful analysis you have the following projections for the total sales and cost of sales (in $ thousands). </t>
  </si>
  <si>
    <t xml:space="preserve">Your tax rate is 30% and you have paid for a marketing survey 30,000$, and for R&amp;D for the product another 40,000$. </t>
  </si>
  <si>
    <t xml:space="preserve">For the project you buy new equipment for 100,000 and it has an expected life of 5 years, and you expect it will have no resale value in year 5. </t>
  </si>
  <si>
    <t xml:space="preserve">Given these data, will you accept the project if you employ the Net Present Value criterion, if the appropriate discount rate is </t>
  </si>
  <si>
    <t xml:space="preserve">You will need 7,000$ for Net Working Capital per year. </t>
  </si>
  <si>
    <t xml:space="preserve">You expect annual General, Selling, Admin Expenses of </t>
  </si>
  <si>
    <t xml:space="preserve">You use straight line depreciation. </t>
  </si>
  <si>
    <t xml:space="preserve">Machine </t>
  </si>
  <si>
    <t xml:space="preserve">FIRM X </t>
  </si>
  <si>
    <t>INDUSTRY</t>
  </si>
  <si>
    <t xml:space="preserve">QUESTION 5 </t>
  </si>
  <si>
    <t>The following Table 1 shows financial statement data and stock price data for Company X for 2023</t>
  </si>
  <si>
    <t xml:space="preserve">The current stock price of X is 24$ and there are 4 million shares outstanding in the stock exchange. </t>
  </si>
  <si>
    <t xml:space="preserve">Evaluate with financial ratio analysis the performance of Company X with respect to Profitability, Liquidity, Leverage, Working Capital, Operating Returns, and Valuation. </t>
  </si>
  <si>
    <t xml:space="preserve">SHARE PRICE </t>
  </si>
  <si>
    <t>SOLUTION</t>
  </si>
  <si>
    <t xml:space="preserve">QUESTION on BONDS </t>
  </si>
  <si>
    <t xml:space="preserve">You buy a bond today with a coupon rate </t>
  </si>
  <si>
    <t xml:space="preserve">At a price of 90% </t>
  </si>
  <si>
    <t xml:space="preserve">How much will you pay?  </t>
  </si>
  <si>
    <t xml:space="preserve">There are </t>
  </si>
  <si>
    <t>Par Value =</t>
  </si>
  <si>
    <t>EUROS</t>
  </si>
  <si>
    <t xml:space="preserve">1. Accrued Interest </t>
  </si>
  <si>
    <t xml:space="preserve">2. PRICING </t>
  </si>
  <si>
    <t xml:space="preserve">1 year </t>
  </si>
  <si>
    <t xml:space="preserve">2 year </t>
  </si>
  <si>
    <t xml:space="preserve">3 year </t>
  </si>
  <si>
    <t xml:space="preserve">Find the spot rate curve and then use it to price a 3-year government bond with a coupon rate of </t>
  </si>
  <si>
    <t xml:space="preserve">All par values are </t>
  </si>
  <si>
    <t xml:space="preserve">Assume that the current prices for the following zero-coupon government bonds are: </t>
  </si>
  <si>
    <t xml:space="preserve">Company XYZ has a stock price of: </t>
  </si>
  <si>
    <t>Earnings per share of:</t>
  </si>
  <si>
    <t xml:space="preserve">Pays a dividend per share: </t>
  </si>
  <si>
    <t>Has a ROE of :</t>
  </si>
  <si>
    <t>An appropriate discount rate of:</t>
  </si>
  <si>
    <t xml:space="preserve">Q on Stock Pricing </t>
  </si>
  <si>
    <r>
      <t xml:space="preserve">If we assume a </t>
    </r>
    <r>
      <rPr>
        <sz val="12"/>
        <color rgb="FFFF0000"/>
        <rFont val="Calibri"/>
        <family val="2"/>
        <charset val="161"/>
        <scheme val="minor"/>
      </rPr>
      <t xml:space="preserve">constant growth rate </t>
    </r>
    <r>
      <rPr>
        <sz val="12"/>
        <rFont val="Calibri"/>
        <family val="2"/>
        <charset val="161"/>
        <scheme val="minor"/>
      </rPr>
      <t xml:space="preserve">in dividends for the foreseeable future is the stock fairly valued in the market?  </t>
    </r>
  </si>
  <si>
    <t xml:space="preserve">The management wants to boost the stock price </t>
  </si>
  <si>
    <t xml:space="preserve">They plan to retain </t>
  </si>
  <si>
    <t>of the EPS and distribute as dividends the rest and invest in a project (expansion of the shipyard)</t>
  </si>
  <si>
    <t xml:space="preserve">This is expected to have a return (ROE) of </t>
  </si>
  <si>
    <t xml:space="preserve"> per year</t>
  </si>
  <si>
    <t>If this all the available information to you, what would your advice be to the management and why?</t>
  </si>
  <si>
    <t xml:space="preserve">They expect that this investment will lead to a stock price increase. </t>
  </si>
  <si>
    <t xml:space="preserve">The resulting growth rate in dividends will be constant forever. </t>
  </si>
  <si>
    <t xml:space="preserve">NEW PROJECT </t>
  </si>
  <si>
    <t xml:space="preserve">days since the last coupon payment (annual payments) </t>
  </si>
  <si>
    <t xml:space="preserve">IV = D / r </t>
  </si>
  <si>
    <t>change in interest rates  (DR)</t>
  </si>
  <si>
    <t xml:space="preserve">change in price due to duration </t>
  </si>
  <si>
    <t>There are 2annual payments left</t>
  </si>
  <si>
    <t xml:space="preserve">PV (continous) </t>
  </si>
  <si>
    <t xml:space="preserve">PV (simple) </t>
  </si>
  <si>
    <t xml:space="preserve">Fair Price </t>
  </si>
  <si>
    <t xml:space="preserve">based on industry P/E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</si>
</sst>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;[Red]\-#,##0.00\ &quot;€&quot;"/>
    <numFmt numFmtId="165" formatCode="0.000%"/>
    <numFmt numFmtId="166" formatCode="0.0%"/>
  </numFmts>
  <fonts count="2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0"/>
      <name val="Arial"/>
      <family val="2"/>
      <charset val="161"/>
    </font>
    <font>
      <sz val="10"/>
      <name val="Arial"/>
      <family val="2"/>
      <charset val="161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charset val="161"/>
      <scheme val="minor"/>
    </font>
    <font>
      <b/>
      <i/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10"/>
      <color theme="1"/>
      <name val="Arial"/>
      <family val="2"/>
      <charset val="161"/>
    </font>
    <font>
      <b/>
      <sz val="10"/>
      <color rgb="FFFF0000"/>
      <name val="Arial"/>
      <family val="2"/>
      <charset val="161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161"/>
    </font>
    <font>
      <sz val="12"/>
      <color rgb="FF000000"/>
      <name val="Tahoma"/>
      <family val="2"/>
      <charset val="161"/>
    </font>
    <font>
      <sz val="11"/>
      <color theme="1"/>
      <name val="Tahoma"/>
      <family val="2"/>
      <charset val="161"/>
    </font>
    <font>
      <b/>
      <sz val="11"/>
      <color rgb="FFFF0000"/>
      <name val="Tahoma"/>
      <family val="2"/>
      <charset val="161"/>
    </font>
    <font>
      <i/>
      <sz val="11"/>
      <color theme="1"/>
      <name val="Calibri"/>
      <family val="2"/>
      <charset val="161"/>
      <scheme val="minor"/>
    </font>
    <font>
      <b/>
      <sz val="11"/>
      <color rgb="FFC00000"/>
      <name val="Calibri"/>
      <family val="2"/>
      <charset val="161"/>
      <scheme val="minor"/>
    </font>
    <font>
      <b/>
      <sz val="12"/>
      <color rgb="FFFF0000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sz val="12"/>
      <color rgb="FFFF0000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14" fontId="0" fillId="0" borderId="0" xfId="0" applyNumberFormat="1"/>
    <xf numFmtId="0" fontId="5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9" fontId="0" fillId="0" borderId="0" xfId="0" applyNumberFormat="1" applyAlignment="1">
      <alignment horizontal="center"/>
    </xf>
    <xf numFmtId="164" fontId="6" fillId="0" borderId="0" xfId="0" applyNumberFormat="1" applyFont="1" applyAlignment="1">
      <alignment horizontal="center"/>
    </xf>
    <xf numFmtId="9" fontId="0" fillId="0" borderId="0" xfId="0" applyNumberFormat="1"/>
    <xf numFmtId="10" fontId="0" fillId="0" borderId="0" xfId="0" applyNumberFormat="1"/>
    <xf numFmtId="0" fontId="11" fillId="0" borderId="0" xfId="0" applyFont="1"/>
    <xf numFmtId="0" fontId="11" fillId="0" borderId="0" xfId="0" applyFont="1" applyAlignment="1">
      <alignment horizontal="center"/>
    </xf>
    <xf numFmtId="9" fontId="11" fillId="0" borderId="0" xfId="0" applyNumberFormat="1" applyFont="1" applyAlignment="1">
      <alignment horizontal="center"/>
    </xf>
    <xf numFmtId="10" fontId="11" fillId="0" borderId="0" xfId="0" applyNumberFormat="1" applyFont="1" applyAlignment="1">
      <alignment horizontal="center"/>
    </xf>
    <xf numFmtId="0" fontId="6" fillId="0" borderId="0" xfId="0" applyFont="1"/>
    <xf numFmtId="0" fontId="12" fillId="0" borderId="0" xfId="0" applyFont="1"/>
    <xf numFmtId="10" fontId="0" fillId="0" borderId="0" xfId="0" applyNumberFormat="1" applyAlignment="1">
      <alignment horizontal="center"/>
    </xf>
    <xf numFmtId="10" fontId="13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10" fontId="9" fillId="0" borderId="0" xfId="0" applyNumberFormat="1" applyFont="1" applyAlignment="1">
      <alignment horizontal="center"/>
    </xf>
    <xf numFmtId="0" fontId="9" fillId="0" borderId="0" xfId="0" applyFont="1"/>
    <xf numFmtId="0" fontId="14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6" fillId="0" borderId="0" xfId="0" applyFont="1" applyAlignment="1">
      <alignment horizontal="center"/>
    </xf>
    <xf numFmtId="0" fontId="16" fillId="0" borderId="0" xfId="0" applyFont="1"/>
    <xf numFmtId="0" fontId="17" fillId="0" borderId="0" xfId="0" applyFont="1" applyAlignment="1">
      <alignment horizontal="center"/>
    </xf>
    <xf numFmtId="0" fontId="15" fillId="0" borderId="0" xfId="0" applyFont="1" applyAlignment="1">
      <alignment vertic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9" fontId="19" fillId="0" borderId="0" xfId="0" applyNumberFormat="1" applyFont="1" applyAlignment="1">
      <alignment horizontal="center"/>
    </xf>
    <xf numFmtId="165" fontId="19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20" fillId="0" borderId="0" xfId="0" applyFont="1"/>
    <xf numFmtId="0" fontId="21" fillId="0" borderId="0" xfId="0" applyFont="1"/>
    <xf numFmtId="9" fontId="21" fillId="0" borderId="0" xfId="0" applyNumberFormat="1" applyFont="1"/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9" fontId="21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/>
    <xf numFmtId="0" fontId="25" fillId="0" borderId="0" xfId="0" applyFont="1"/>
    <xf numFmtId="14" fontId="25" fillId="0" borderId="0" xfId="0" applyNumberFormat="1" applyFont="1"/>
    <xf numFmtId="9" fontId="23" fillId="0" borderId="0" xfId="0" applyNumberFormat="1" applyFont="1"/>
    <xf numFmtId="9" fontId="9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C8CB4-8922-40B2-8F77-9C94C94E4598}">
  <dimension ref="A1:F48"/>
  <sheetViews>
    <sheetView topLeftCell="A25" workbookViewId="0">
      <selection activeCell="B42" sqref="B42"/>
    </sheetView>
  </sheetViews>
  <sheetFormatPr defaultRowHeight="14.4" x14ac:dyDescent="0.3"/>
  <cols>
    <col min="1" max="1" width="43.5546875" customWidth="1"/>
    <col min="2" max="2" width="17.33203125" customWidth="1"/>
    <col min="4" max="4" width="11.5546875" customWidth="1"/>
    <col min="5" max="5" width="54.5546875" customWidth="1"/>
    <col min="6" max="6" width="12.44140625" customWidth="1"/>
  </cols>
  <sheetData>
    <row r="1" spans="1:6" ht="15.6" x14ac:dyDescent="0.3">
      <c r="A1" s="44" t="s">
        <v>300</v>
      </c>
      <c r="B1" s="45"/>
      <c r="C1" s="45"/>
      <c r="D1" s="45"/>
      <c r="E1" s="45"/>
      <c r="F1" s="45"/>
    </row>
    <row r="2" spans="1:6" ht="15.6" x14ac:dyDescent="0.3">
      <c r="A2" s="45" t="s">
        <v>295</v>
      </c>
      <c r="B2" s="45">
        <v>3.5</v>
      </c>
      <c r="C2" s="45"/>
      <c r="D2" s="45"/>
      <c r="E2" s="45"/>
      <c r="F2" s="45"/>
    </row>
    <row r="3" spans="1:6" ht="15.6" x14ac:dyDescent="0.3">
      <c r="A3" s="45" t="s">
        <v>296</v>
      </c>
      <c r="B3" s="45">
        <v>0.25</v>
      </c>
      <c r="C3" s="45"/>
      <c r="D3" s="45"/>
      <c r="E3" s="45"/>
      <c r="F3" s="45"/>
    </row>
    <row r="4" spans="1:6" ht="15.6" x14ac:dyDescent="0.3">
      <c r="A4" s="45" t="s">
        <v>297</v>
      </c>
      <c r="B4" s="45">
        <v>0.125</v>
      </c>
      <c r="C4" s="45"/>
      <c r="D4" s="45"/>
      <c r="E4" s="45"/>
      <c r="F4" s="45"/>
    </row>
    <row r="5" spans="1:6" ht="15.6" x14ac:dyDescent="0.3">
      <c r="A5" s="45" t="s">
        <v>298</v>
      </c>
      <c r="B5" s="46">
        <v>7.0000000000000007E-2</v>
      </c>
      <c r="C5" s="45"/>
      <c r="D5" s="45"/>
      <c r="E5" s="45"/>
      <c r="F5" s="45"/>
    </row>
    <row r="6" spans="1:6" ht="15.6" x14ac:dyDescent="0.3">
      <c r="A6" s="45" t="s">
        <v>299</v>
      </c>
      <c r="B6" s="46">
        <v>0.13</v>
      </c>
      <c r="C6" s="45"/>
      <c r="D6" s="45"/>
      <c r="E6" s="45"/>
      <c r="F6" s="45"/>
    </row>
    <row r="7" spans="1:6" ht="15.6" x14ac:dyDescent="0.3">
      <c r="A7" s="51" t="s">
        <v>301</v>
      </c>
      <c r="B7" s="52"/>
      <c r="C7" s="52"/>
      <c r="D7" s="52"/>
      <c r="E7" s="45"/>
      <c r="F7" s="45"/>
    </row>
    <row r="8" spans="1:6" ht="15.6" x14ac:dyDescent="0.3">
      <c r="A8" s="52"/>
      <c r="B8" s="52"/>
      <c r="C8" s="52"/>
      <c r="D8" s="52"/>
      <c r="E8" s="45"/>
      <c r="F8" s="45"/>
    </row>
    <row r="9" spans="1:6" ht="15.6" x14ac:dyDescent="0.3">
      <c r="A9" s="47" t="s">
        <v>12</v>
      </c>
      <c r="B9" s="47"/>
      <c r="C9" s="52"/>
      <c r="D9" s="52"/>
      <c r="E9" s="47" t="s">
        <v>202</v>
      </c>
      <c r="F9" s="44"/>
    </row>
    <row r="10" spans="1:6" ht="15.6" x14ac:dyDescent="0.3">
      <c r="A10" s="47" t="s">
        <v>13</v>
      </c>
      <c r="B10" s="47" t="s">
        <v>14</v>
      </c>
      <c r="C10" s="52"/>
      <c r="D10" s="52"/>
      <c r="E10" s="47" t="s">
        <v>13</v>
      </c>
      <c r="F10" s="47" t="s">
        <v>312</v>
      </c>
    </row>
    <row r="11" spans="1:6" ht="15.6" x14ac:dyDescent="0.3">
      <c r="A11" s="52"/>
      <c r="B11" s="52"/>
      <c r="C11" s="52"/>
      <c r="D11" s="52"/>
      <c r="E11" s="48" t="s">
        <v>15</v>
      </c>
      <c r="F11" s="48"/>
    </row>
    <row r="12" spans="1:6" ht="15.6" x14ac:dyDescent="0.3">
      <c r="A12" s="52" t="s">
        <v>15</v>
      </c>
      <c r="B12" s="53"/>
      <c r="C12" s="52"/>
      <c r="D12" s="52"/>
      <c r="E12" s="48" t="s">
        <v>16</v>
      </c>
      <c r="F12" s="48">
        <f>+B3</f>
        <v>0.25</v>
      </c>
    </row>
    <row r="13" spans="1:6" ht="15.6" x14ac:dyDescent="0.3">
      <c r="A13" s="45" t="s">
        <v>16</v>
      </c>
      <c r="B13" s="51">
        <f>+B3</f>
        <v>0.25</v>
      </c>
      <c r="C13" s="51"/>
      <c r="D13" s="45"/>
      <c r="E13" s="48" t="s">
        <v>17</v>
      </c>
      <c r="F13" s="48">
        <f>+B4</f>
        <v>0.125</v>
      </c>
    </row>
    <row r="14" spans="1:6" ht="15.6" x14ac:dyDescent="0.3">
      <c r="A14" s="45" t="s">
        <v>17</v>
      </c>
      <c r="B14" s="51">
        <f>+B4</f>
        <v>0.125</v>
      </c>
      <c r="C14" s="51"/>
      <c r="D14" s="45"/>
      <c r="E14" s="48" t="s">
        <v>18</v>
      </c>
      <c r="F14" s="48"/>
    </row>
    <row r="15" spans="1:6" ht="15.6" x14ac:dyDescent="0.3">
      <c r="A15" s="45" t="s">
        <v>18</v>
      </c>
      <c r="B15" s="54">
        <f>+B5</f>
        <v>7.0000000000000007E-2</v>
      </c>
      <c r="C15" s="51"/>
      <c r="D15" s="45"/>
      <c r="E15" s="48"/>
      <c r="F15" s="48"/>
    </row>
    <row r="16" spans="1:6" ht="15.6" x14ac:dyDescent="0.3">
      <c r="A16" s="52" t="s">
        <v>19</v>
      </c>
      <c r="B16" s="45"/>
      <c r="C16" s="45"/>
      <c r="D16" s="45"/>
      <c r="E16" s="48"/>
      <c r="F16" s="48"/>
    </row>
    <row r="17" spans="1:6" ht="15.6" x14ac:dyDescent="0.3">
      <c r="A17" s="45" t="s">
        <v>20</v>
      </c>
      <c r="B17" s="45">
        <f>+(1-B14/B13)</f>
        <v>0.5</v>
      </c>
      <c r="C17" s="45"/>
      <c r="D17" s="45"/>
      <c r="E17" s="48"/>
      <c r="F17" s="48"/>
    </row>
    <row r="18" spans="1:6" ht="15.6" x14ac:dyDescent="0.3">
      <c r="A18" s="45" t="s">
        <v>21</v>
      </c>
      <c r="B18" s="45">
        <f>+(B15*B17)</f>
        <v>3.5000000000000003E-2</v>
      </c>
      <c r="C18" s="45"/>
      <c r="D18" s="45"/>
      <c r="E18" s="48" t="s">
        <v>22</v>
      </c>
      <c r="F18" s="48"/>
    </row>
    <row r="19" spans="1:6" ht="15.6" x14ac:dyDescent="0.3">
      <c r="A19" s="52" t="s">
        <v>22</v>
      </c>
      <c r="B19" s="52"/>
      <c r="C19" s="52"/>
      <c r="D19" s="52"/>
      <c r="E19" s="48" t="s">
        <v>23</v>
      </c>
      <c r="F19" s="49">
        <f>+B6</f>
        <v>0.13</v>
      </c>
    </row>
    <row r="20" spans="1:6" ht="15.6" x14ac:dyDescent="0.3">
      <c r="A20" s="51" t="s">
        <v>23</v>
      </c>
      <c r="B20" s="54">
        <f>+B6</f>
        <v>0.13</v>
      </c>
      <c r="C20" s="51"/>
      <c r="D20" s="51"/>
      <c r="E20" s="50" t="s">
        <v>201</v>
      </c>
      <c r="F20" s="47">
        <f>+F13/F19</f>
        <v>0.96153846153846145</v>
      </c>
    </row>
    <row r="21" spans="1:6" ht="15.6" x14ac:dyDescent="0.3">
      <c r="A21" s="52" t="s">
        <v>24</v>
      </c>
      <c r="B21" s="52"/>
      <c r="C21" s="52"/>
      <c r="D21" s="45"/>
      <c r="E21" s="45"/>
      <c r="F21" s="45"/>
    </row>
    <row r="22" spans="1:6" ht="15.6" x14ac:dyDescent="0.3">
      <c r="A22" s="45" t="s">
        <v>25</v>
      </c>
      <c r="B22" s="45">
        <f>+B14*(1+B18)</f>
        <v>0.12937499999999999</v>
      </c>
      <c r="C22" s="45"/>
      <c r="D22" s="45"/>
      <c r="E22" s="45"/>
      <c r="F22" s="45"/>
    </row>
    <row r="23" spans="1:6" ht="15.6" x14ac:dyDescent="0.3">
      <c r="A23" s="52" t="s">
        <v>26</v>
      </c>
      <c r="B23" s="52"/>
      <c r="C23" s="52"/>
      <c r="D23" s="52"/>
      <c r="E23" s="45"/>
      <c r="F23" s="45"/>
    </row>
    <row r="24" spans="1:6" ht="15.6" x14ac:dyDescent="0.3">
      <c r="A24" s="45" t="s">
        <v>14</v>
      </c>
      <c r="B24" s="44">
        <f>+B22/(B20-B18)</f>
        <v>1.3618421052631577</v>
      </c>
      <c r="C24" s="45"/>
      <c r="D24" s="45"/>
      <c r="E24" s="45"/>
      <c r="F24" s="45"/>
    </row>
    <row r="25" spans="1:6" ht="15.6" x14ac:dyDescent="0.3">
      <c r="A25" s="52"/>
      <c r="B25" s="52"/>
      <c r="C25" s="52"/>
      <c r="D25" s="45"/>
      <c r="E25" s="45"/>
      <c r="F25" s="45"/>
    </row>
    <row r="26" spans="1:6" ht="15.6" x14ac:dyDescent="0.3">
      <c r="A26" s="52" t="s">
        <v>310</v>
      </c>
      <c r="B26" s="52"/>
      <c r="C26" s="52"/>
      <c r="D26" s="45"/>
      <c r="E26" s="45"/>
      <c r="F26" s="45"/>
    </row>
    <row r="28" spans="1:6" x14ac:dyDescent="0.3">
      <c r="A28" t="s">
        <v>302</v>
      </c>
      <c r="B28" s="18"/>
    </row>
    <row r="29" spans="1:6" x14ac:dyDescent="0.3">
      <c r="A29" t="s">
        <v>303</v>
      </c>
      <c r="B29" s="16">
        <v>0.9</v>
      </c>
      <c r="C29" t="s">
        <v>304</v>
      </c>
    </row>
    <row r="30" spans="1:6" x14ac:dyDescent="0.3">
      <c r="A30" t="s">
        <v>305</v>
      </c>
      <c r="B30" s="16">
        <v>0.12</v>
      </c>
      <c r="C30" t="s">
        <v>306</v>
      </c>
    </row>
    <row r="31" spans="1:6" x14ac:dyDescent="0.3">
      <c r="A31" t="s">
        <v>309</v>
      </c>
    </row>
    <row r="32" spans="1:6" x14ac:dyDescent="0.3">
      <c r="A32" t="s">
        <v>308</v>
      </c>
    </row>
    <row r="33" spans="1:2" x14ac:dyDescent="0.3">
      <c r="A33" t="s">
        <v>307</v>
      </c>
    </row>
    <row r="35" spans="1:2" x14ac:dyDescent="0.3">
      <c r="A35" s="8" t="s">
        <v>203</v>
      </c>
    </row>
    <row r="36" spans="1:2" x14ac:dyDescent="0.3">
      <c r="A36" t="s">
        <v>15</v>
      </c>
    </row>
    <row r="37" spans="1:2" x14ac:dyDescent="0.3">
      <c r="A37" t="s">
        <v>16</v>
      </c>
      <c r="B37">
        <f>+(B13)</f>
        <v>0.25</v>
      </c>
    </row>
    <row r="38" spans="1:2" x14ac:dyDescent="0.3">
      <c r="A38" t="s">
        <v>17</v>
      </c>
      <c r="B38">
        <f>+(1-B29)*B37</f>
        <v>2.4999999999999994E-2</v>
      </c>
    </row>
    <row r="39" spans="1:2" x14ac:dyDescent="0.3">
      <c r="A39" t="s">
        <v>18</v>
      </c>
      <c r="B39">
        <v>0.12</v>
      </c>
    </row>
    <row r="40" spans="1:2" x14ac:dyDescent="0.3">
      <c r="A40" t="s">
        <v>19</v>
      </c>
    </row>
    <row r="41" spans="1:2" x14ac:dyDescent="0.3">
      <c r="A41" t="s">
        <v>20</v>
      </c>
      <c r="B41">
        <f>+(1-(B38/B37))</f>
        <v>0.9</v>
      </c>
    </row>
    <row r="42" spans="1:2" x14ac:dyDescent="0.3">
      <c r="A42" t="s">
        <v>21</v>
      </c>
      <c r="B42">
        <f>+(B39*B41)</f>
        <v>0.108</v>
      </c>
    </row>
    <row r="43" spans="1:2" x14ac:dyDescent="0.3">
      <c r="A43" t="s">
        <v>22</v>
      </c>
    </row>
    <row r="44" spans="1:2" x14ac:dyDescent="0.3">
      <c r="A44" t="s">
        <v>23</v>
      </c>
      <c r="B44" s="18">
        <f>+B20</f>
        <v>0.13</v>
      </c>
    </row>
    <row r="45" spans="1:2" x14ac:dyDescent="0.3">
      <c r="A45" t="s">
        <v>24</v>
      </c>
    </row>
    <row r="46" spans="1:2" x14ac:dyDescent="0.3">
      <c r="A46" t="s">
        <v>25</v>
      </c>
      <c r="B46">
        <f>+B38*(1+B42)</f>
        <v>2.7699999999999995E-2</v>
      </c>
    </row>
    <row r="47" spans="1:2" x14ac:dyDescent="0.3">
      <c r="A47" t="s">
        <v>26</v>
      </c>
    </row>
    <row r="48" spans="1:2" x14ac:dyDescent="0.3">
      <c r="A48" s="24" t="s">
        <v>204</v>
      </c>
      <c r="B48" s="24">
        <f>+B46/(B44-B42)</f>
        <v>1.2590909090909086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D293E-527E-41F8-AF47-1803B2F773A8}">
  <dimension ref="A1:I84"/>
  <sheetViews>
    <sheetView workbookViewId="0">
      <selection activeCell="B72" sqref="B72"/>
    </sheetView>
  </sheetViews>
  <sheetFormatPr defaultRowHeight="14.4" x14ac:dyDescent="0.3"/>
  <cols>
    <col min="1" max="1" width="42.109375" customWidth="1"/>
    <col min="2" max="2" width="18.109375" bestFit="1" customWidth="1"/>
    <col min="3" max="3" width="49.6640625" customWidth="1"/>
    <col min="4" max="4" width="20.88671875" bestFit="1" customWidth="1"/>
    <col min="5" max="5" width="17" customWidth="1"/>
    <col min="7" max="7" width="17.109375" customWidth="1"/>
  </cols>
  <sheetData>
    <row r="1" spans="1:9" x14ac:dyDescent="0.3">
      <c r="A1" s="33" t="s">
        <v>280</v>
      </c>
      <c r="B1" s="8"/>
      <c r="C1" s="8"/>
      <c r="D1" s="8"/>
      <c r="E1" s="8"/>
    </row>
    <row r="2" spans="1:9" x14ac:dyDescent="0.3">
      <c r="A2" s="33"/>
      <c r="B2" s="8"/>
      <c r="C2" s="8"/>
      <c r="D2" s="8"/>
      <c r="E2" s="8"/>
    </row>
    <row r="3" spans="1:9" x14ac:dyDescent="0.3">
      <c r="A3" s="3" t="s">
        <v>287</v>
      </c>
      <c r="B3" s="8"/>
      <c r="C3" s="8"/>
      <c r="D3" s="8"/>
      <c r="E3" s="8"/>
    </row>
    <row r="4" spans="1:9" x14ac:dyDescent="0.3">
      <c r="A4" s="3"/>
      <c r="B4" s="8"/>
      <c r="C4" s="8"/>
      <c r="D4" s="8"/>
      <c r="E4" s="8"/>
    </row>
    <row r="5" spans="1:9" x14ac:dyDescent="0.3">
      <c r="A5" s="8" t="s">
        <v>281</v>
      </c>
      <c r="B5" s="16">
        <v>0.03</v>
      </c>
      <c r="C5" s="8"/>
      <c r="D5" s="8"/>
      <c r="E5" s="8"/>
    </row>
    <row r="6" spans="1:9" x14ac:dyDescent="0.3">
      <c r="A6" s="8" t="s">
        <v>282</v>
      </c>
      <c r="B6" s="16">
        <v>0.9</v>
      </c>
      <c r="C6" s="8" t="s">
        <v>285</v>
      </c>
      <c r="D6" s="8">
        <v>100</v>
      </c>
      <c r="E6" s="8" t="s">
        <v>286</v>
      </c>
    </row>
    <row r="7" spans="1:9" x14ac:dyDescent="0.3">
      <c r="A7" s="8" t="s">
        <v>284</v>
      </c>
      <c r="B7" s="8">
        <v>40</v>
      </c>
      <c r="C7" s="8" t="s">
        <v>311</v>
      </c>
      <c r="D7" s="8"/>
      <c r="E7" s="8"/>
    </row>
    <row r="8" spans="1:9" x14ac:dyDescent="0.3">
      <c r="A8" s="10" t="s">
        <v>283</v>
      </c>
      <c r="B8" s="8"/>
      <c r="C8" s="8"/>
      <c r="D8" s="8"/>
      <c r="E8" s="8"/>
    </row>
    <row r="9" spans="1:9" x14ac:dyDescent="0.3">
      <c r="A9" s="2"/>
    </row>
    <row r="10" spans="1:9" x14ac:dyDescent="0.3">
      <c r="A10" s="24" t="s">
        <v>279</v>
      </c>
    </row>
    <row r="11" spans="1:9" x14ac:dyDescent="0.3">
      <c r="B11" s="3"/>
      <c r="C11" s="3"/>
      <c r="D11" s="3"/>
      <c r="E11" s="3"/>
      <c r="F11" s="3"/>
      <c r="G11" s="3"/>
      <c r="H11" s="3"/>
      <c r="I11" s="3"/>
    </row>
    <row r="12" spans="1:9" x14ac:dyDescent="0.3">
      <c r="A12" t="s">
        <v>249</v>
      </c>
      <c r="B12" t="s">
        <v>254</v>
      </c>
    </row>
    <row r="13" spans="1:9" x14ac:dyDescent="0.3">
      <c r="B13" t="s">
        <v>30</v>
      </c>
    </row>
    <row r="14" spans="1:9" x14ac:dyDescent="0.3">
      <c r="A14" t="s">
        <v>31</v>
      </c>
      <c r="B14">
        <v>100</v>
      </c>
    </row>
    <row r="15" spans="1:9" x14ac:dyDescent="0.3">
      <c r="A15" t="s">
        <v>32</v>
      </c>
      <c r="B15" s="18">
        <f>+B5</f>
        <v>0.03</v>
      </c>
    </row>
    <row r="16" spans="1:9" x14ac:dyDescent="0.3">
      <c r="A16" t="s">
        <v>33</v>
      </c>
      <c r="B16">
        <f>+(B14*B15)</f>
        <v>3</v>
      </c>
    </row>
    <row r="17" spans="1:5" x14ac:dyDescent="0.3">
      <c r="A17" t="s">
        <v>34</v>
      </c>
      <c r="B17">
        <f>+B7</f>
        <v>40</v>
      </c>
    </row>
    <row r="18" spans="1:5" x14ac:dyDescent="0.3">
      <c r="A18" t="s">
        <v>35</v>
      </c>
      <c r="B18">
        <v>360</v>
      </c>
    </row>
    <row r="19" spans="1:5" x14ac:dyDescent="0.3">
      <c r="A19" t="s">
        <v>255</v>
      </c>
      <c r="B19">
        <f>B16*(B17/B18)</f>
        <v>0.33333333333333331</v>
      </c>
    </row>
    <row r="20" spans="1:5" x14ac:dyDescent="0.3">
      <c r="A20" t="s">
        <v>250</v>
      </c>
      <c r="B20" s="4">
        <f>+B6*D6</f>
        <v>90</v>
      </c>
    </row>
    <row r="21" spans="1:5" x14ac:dyDescent="0.3">
      <c r="A21" t="s">
        <v>251</v>
      </c>
      <c r="B21">
        <f>+B20+B19</f>
        <v>90.333333333333329</v>
      </c>
    </row>
    <row r="24" spans="1:5" x14ac:dyDescent="0.3">
      <c r="A24" s="2" t="s">
        <v>288</v>
      </c>
    </row>
    <row r="26" spans="1:5" x14ac:dyDescent="0.3">
      <c r="A26" t="s">
        <v>294</v>
      </c>
    </row>
    <row r="27" spans="1:5" x14ac:dyDescent="0.3">
      <c r="A27" s="8" t="s">
        <v>289</v>
      </c>
      <c r="B27" s="8">
        <v>89</v>
      </c>
    </row>
    <row r="28" spans="1:5" x14ac:dyDescent="0.3">
      <c r="A28" s="8" t="s">
        <v>290</v>
      </c>
      <c r="B28" s="8">
        <v>87</v>
      </c>
    </row>
    <row r="29" spans="1:5" x14ac:dyDescent="0.3">
      <c r="A29" s="43" t="s">
        <v>291</v>
      </c>
      <c r="B29" s="43">
        <v>85</v>
      </c>
      <c r="C29" s="3"/>
      <c r="D29" s="3"/>
    </row>
    <row r="30" spans="1:5" x14ac:dyDescent="0.3">
      <c r="A30" t="s">
        <v>292</v>
      </c>
      <c r="D30" s="16">
        <v>0.06</v>
      </c>
    </row>
    <row r="31" spans="1:5" x14ac:dyDescent="0.3">
      <c r="A31" t="s">
        <v>293</v>
      </c>
      <c r="B31" s="8">
        <v>100</v>
      </c>
      <c r="C31" s="8"/>
      <c r="D31" s="8"/>
      <c r="E31" s="8"/>
    </row>
    <row r="34" spans="1:4" x14ac:dyDescent="0.3">
      <c r="A34" t="s">
        <v>36</v>
      </c>
      <c r="B34">
        <f>+B31</f>
        <v>100</v>
      </c>
    </row>
    <row r="35" spans="1:4" x14ac:dyDescent="0.3">
      <c r="A35" t="s">
        <v>37</v>
      </c>
      <c r="B35" s="18">
        <f>+D30</f>
        <v>0.06</v>
      </c>
    </row>
    <row r="36" spans="1:4" x14ac:dyDescent="0.3">
      <c r="A36" t="s">
        <v>33</v>
      </c>
      <c r="B36">
        <f>+(B35*100)</f>
        <v>6</v>
      </c>
    </row>
    <row r="37" spans="1:4" x14ac:dyDescent="0.3">
      <c r="A37" t="s">
        <v>35</v>
      </c>
      <c r="B37">
        <v>3</v>
      </c>
    </row>
    <row r="39" spans="1:4" x14ac:dyDescent="0.3">
      <c r="A39" t="s">
        <v>27</v>
      </c>
      <c r="B39">
        <f>+B27</f>
        <v>89</v>
      </c>
      <c r="C39" t="s">
        <v>38</v>
      </c>
      <c r="D39">
        <v>1</v>
      </c>
    </row>
    <row r="40" spans="1:4" x14ac:dyDescent="0.3">
      <c r="A40" t="s">
        <v>28</v>
      </c>
      <c r="B40">
        <f>+B28</f>
        <v>87</v>
      </c>
      <c r="C40" t="s">
        <v>39</v>
      </c>
      <c r="D40">
        <v>2</v>
      </c>
    </row>
    <row r="41" spans="1:4" x14ac:dyDescent="0.3">
      <c r="A41" t="s">
        <v>29</v>
      </c>
      <c r="B41">
        <f>+B29</f>
        <v>85</v>
      </c>
      <c r="C41" t="s">
        <v>40</v>
      </c>
      <c r="D41">
        <v>3</v>
      </c>
    </row>
    <row r="43" spans="1:4" x14ac:dyDescent="0.3">
      <c r="A43" t="s">
        <v>256</v>
      </c>
      <c r="B43" t="s">
        <v>41</v>
      </c>
    </row>
    <row r="44" spans="1:4" x14ac:dyDescent="0.3">
      <c r="B44" s="3" t="s">
        <v>42</v>
      </c>
    </row>
    <row r="45" spans="1:4" x14ac:dyDescent="0.3">
      <c r="A45" t="s">
        <v>43</v>
      </c>
      <c r="B45">
        <f>+((B34/B39)^(1/D39))-1</f>
        <v>0.12359550561797761</v>
      </c>
    </row>
    <row r="46" spans="1:4" x14ac:dyDescent="0.3">
      <c r="A46" t="s">
        <v>44</v>
      </c>
      <c r="B46">
        <f>+((B34/B40)^(1/D40))-1</f>
        <v>7.2112534837794895E-2</v>
      </c>
    </row>
    <row r="47" spans="1:4" x14ac:dyDescent="0.3">
      <c r="A47" t="s">
        <v>45</v>
      </c>
      <c r="B47">
        <f>+((B34/B41)^(1/D41))-1</f>
        <v>5.5667191978000741E-2</v>
      </c>
    </row>
    <row r="49" spans="1:7" x14ac:dyDescent="0.3">
      <c r="A49" t="s">
        <v>9</v>
      </c>
    </row>
    <row r="50" spans="1:7" x14ac:dyDescent="0.3">
      <c r="A50" t="s">
        <v>46</v>
      </c>
      <c r="B50">
        <f>+B36/(1+B45)^1</f>
        <v>5.34</v>
      </c>
    </row>
    <row r="51" spans="1:7" x14ac:dyDescent="0.3">
      <c r="A51" t="s">
        <v>47</v>
      </c>
      <c r="B51">
        <f>+(B36/(1+B46)^2)</f>
        <v>5.22</v>
      </c>
    </row>
    <row r="52" spans="1:7" x14ac:dyDescent="0.3">
      <c r="A52" t="s">
        <v>48</v>
      </c>
      <c r="B52">
        <f>+(B36+B34)/(1+B47)^3</f>
        <v>90.100000000000009</v>
      </c>
    </row>
    <row r="53" spans="1:7" x14ac:dyDescent="0.3">
      <c r="A53" s="3" t="s">
        <v>49</v>
      </c>
      <c r="B53">
        <f>+(B50+B51+B52)</f>
        <v>100.66000000000001</v>
      </c>
    </row>
    <row r="55" spans="1:7" x14ac:dyDescent="0.3">
      <c r="A55" s="7" t="s">
        <v>50</v>
      </c>
      <c r="B55" s="5"/>
      <c r="C55" s="5"/>
      <c r="D55" s="5"/>
      <c r="E55" s="5"/>
    </row>
    <row r="56" spans="1:7" x14ac:dyDescent="0.3">
      <c r="A56" s="5"/>
      <c r="B56" s="5"/>
      <c r="C56" s="5"/>
      <c r="D56" s="5"/>
      <c r="E56" s="5"/>
    </row>
    <row r="57" spans="1:7" x14ac:dyDescent="0.3">
      <c r="A57" s="5"/>
      <c r="B57" s="5"/>
      <c r="C57" s="5"/>
      <c r="D57" s="5"/>
      <c r="E57" s="5"/>
    </row>
    <row r="58" spans="1:7" x14ac:dyDescent="0.3">
      <c r="A58" s="5" t="s">
        <v>51</v>
      </c>
      <c r="B58" s="5">
        <v>100</v>
      </c>
      <c r="C58" s="5"/>
      <c r="D58" s="5"/>
      <c r="E58" s="5"/>
    </row>
    <row r="59" spans="1:7" x14ac:dyDescent="0.3">
      <c r="A59" s="5" t="s">
        <v>52</v>
      </c>
      <c r="B59" s="5">
        <v>2</v>
      </c>
      <c r="C59" s="5"/>
      <c r="D59" s="5"/>
      <c r="E59" s="5"/>
    </row>
    <row r="60" spans="1:7" x14ac:dyDescent="0.3">
      <c r="A60" s="5" t="s">
        <v>53</v>
      </c>
      <c r="B60" s="5">
        <v>0.06</v>
      </c>
      <c r="C60" s="5"/>
      <c r="D60" s="5"/>
      <c r="E60" s="5"/>
    </row>
    <row r="61" spans="1:7" x14ac:dyDescent="0.3">
      <c r="A61" s="5" t="s">
        <v>54</v>
      </c>
      <c r="B61" s="5">
        <v>0.05</v>
      </c>
    </row>
    <row r="62" spans="1:7" x14ac:dyDescent="0.3">
      <c r="A62" s="5"/>
      <c r="B62" s="5"/>
    </row>
    <row r="63" spans="1:7" x14ac:dyDescent="0.3">
      <c r="A63" s="1"/>
      <c r="B63" s="1" t="s">
        <v>52</v>
      </c>
      <c r="C63" s="1" t="s">
        <v>53</v>
      </c>
      <c r="D63" s="1" t="s">
        <v>55</v>
      </c>
      <c r="E63" s="1" t="s">
        <v>56</v>
      </c>
      <c r="F63" s="1" t="s">
        <v>57</v>
      </c>
      <c r="G63" s="1" t="s">
        <v>58</v>
      </c>
    </row>
    <row r="64" spans="1:7" x14ac:dyDescent="0.3">
      <c r="A64" s="6"/>
      <c r="B64">
        <v>1</v>
      </c>
      <c r="C64">
        <f>+(B60*B58)</f>
        <v>6</v>
      </c>
      <c r="D64">
        <f>+(C64/(1+B61))</f>
        <v>5.7142857142857144</v>
      </c>
      <c r="E64">
        <f>+(B64*D64)</f>
        <v>5.7142857142857144</v>
      </c>
      <c r="F64">
        <f>+B64*(B64+1)</f>
        <v>2</v>
      </c>
      <c r="G64">
        <f>+(F64*D64)</f>
        <v>11.428571428571429</v>
      </c>
    </row>
    <row r="65" spans="1:9" x14ac:dyDescent="0.3">
      <c r="A65" s="6"/>
      <c r="B65">
        <v>2</v>
      </c>
      <c r="C65">
        <f>+B58+(B58*B60)</f>
        <v>106</v>
      </c>
      <c r="D65">
        <f>+(C65/(1+B61)^2)</f>
        <v>96.145124716553283</v>
      </c>
      <c r="E65">
        <f>+(B65*D65)</f>
        <v>192.29024943310657</v>
      </c>
      <c r="F65">
        <f>+(B65*(B65+1))</f>
        <v>6</v>
      </c>
      <c r="G65">
        <f>+(F65*D65)</f>
        <v>576.87074829931976</v>
      </c>
    </row>
    <row r="66" spans="1:9" x14ac:dyDescent="0.3">
      <c r="D66" s="5">
        <f>+(D64+D65)</f>
        <v>101.85941043083899</v>
      </c>
      <c r="E66" s="5">
        <f>+(E64+E65)</f>
        <v>198.00453514739229</v>
      </c>
      <c r="G66" s="5">
        <f>+(G64+G65)</f>
        <v>588.2993197278912</v>
      </c>
    </row>
    <row r="67" spans="1:9" x14ac:dyDescent="0.3">
      <c r="B67" s="5"/>
      <c r="C67" s="5" t="s">
        <v>59</v>
      </c>
      <c r="D67" s="5">
        <f>+(E66/D66)</f>
        <v>1.9439002671415853</v>
      </c>
      <c r="E67" s="5"/>
    </row>
    <row r="68" spans="1:9" x14ac:dyDescent="0.3">
      <c r="B68" s="5"/>
      <c r="C68" s="5" t="s">
        <v>60</v>
      </c>
      <c r="D68" s="7">
        <f>+(D67/(1+B61))</f>
        <v>1.8513335877538906</v>
      </c>
      <c r="E68" s="5"/>
      <c r="F68" s="3" t="s">
        <v>33</v>
      </c>
      <c r="G68" s="3">
        <f>+(G66/(((1+B61)^2)*D66))</f>
        <v>5.2386404250034833</v>
      </c>
    </row>
    <row r="69" spans="1:9" x14ac:dyDescent="0.3">
      <c r="A69" s="5"/>
      <c r="B69" s="5"/>
      <c r="C69" s="5"/>
      <c r="D69" s="3" t="s">
        <v>61</v>
      </c>
      <c r="E69" s="3"/>
      <c r="F69" s="3"/>
      <c r="G69" s="3" t="s">
        <v>62</v>
      </c>
    </row>
    <row r="72" spans="1:9" x14ac:dyDescent="0.3">
      <c r="A72" s="3" t="s">
        <v>313</v>
      </c>
      <c r="B72">
        <f>+(5/100)</f>
        <v>0.05</v>
      </c>
    </row>
    <row r="75" spans="1:9" x14ac:dyDescent="0.3">
      <c r="A75" s="3" t="s">
        <v>314</v>
      </c>
    </row>
    <row r="76" spans="1:9" x14ac:dyDescent="0.3">
      <c r="A76" s="5" t="s">
        <v>63</v>
      </c>
      <c r="B76">
        <f>+(-D68*B72)</f>
        <v>-9.2566679387694528E-2</v>
      </c>
    </row>
    <row r="78" spans="1:9" x14ac:dyDescent="0.3">
      <c r="A78" s="3" t="s">
        <v>64</v>
      </c>
      <c r="B78" s="3"/>
      <c r="C78" s="3"/>
      <c r="D78" s="3"/>
      <c r="E78" s="3"/>
      <c r="F78" s="3"/>
      <c r="G78" s="3"/>
      <c r="H78" s="3"/>
      <c r="I78" s="3"/>
    </row>
    <row r="79" spans="1:9" x14ac:dyDescent="0.3">
      <c r="A79" s="3" t="s">
        <v>65</v>
      </c>
      <c r="B79">
        <f>+(0.5*G68)*B72^2</f>
        <v>6.5483005312543556E-3</v>
      </c>
    </row>
    <row r="82" spans="1:2" x14ac:dyDescent="0.3">
      <c r="A82" t="s">
        <v>66</v>
      </c>
    </row>
    <row r="84" spans="1:2" x14ac:dyDescent="0.3">
      <c r="A84" s="5" t="s">
        <v>67</v>
      </c>
      <c r="B84">
        <f>+(B76+B79)</f>
        <v>-8.6018378856440175E-2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036C4-9172-4251-9E53-CA0517BDEB1F}">
  <dimension ref="A1:L58"/>
  <sheetViews>
    <sheetView workbookViewId="0">
      <selection activeCell="C51" sqref="C51"/>
    </sheetView>
  </sheetViews>
  <sheetFormatPr defaultRowHeight="14.4" x14ac:dyDescent="0.3"/>
  <cols>
    <col min="1" max="1" width="63.44140625" customWidth="1"/>
    <col min="2" max="2" width="15.33203125" customWidth="1"/>
    <col min="3" max="3" width="17.33203125" customWidth="1"/>
    <col min="4" max="4" width="18.33203125" customWidth="1"/>
    <col min="5" max="5" width="13.109375" customWidth="1"/>
    <col min="6" max="6" width="35.88671875" bestFit="1" customWidth="1"/>
    <col min="8" max="8" width="13.21875" bestFit="1" customWidth="1"/>
    <col min="9" max="9" width="10.33203125" bestFit="1" customWidth="1"/>
  </cols>
  <sheetData>
    <row r="1" spans="1:12" x14ac:dyDescent="0.3">
      <c r="A1" s="25" t="s">
        <v>0</v>
      </c>
    </row>
    <row r="3" spans="1:12" x14ac:dyDescent="0.3">
      <c r="A3" s="4" t="s">
        <v>213</v>
      </c>
      <c r="B3" s="22">
        <v>0.06</v>
      </c>
      <c r="C3" s="20" t="s">
        <v>214</v>
      </c>
      <c r="D3" s="20" t="s">
        <v>215</v>
      </c>
      <c r="E3" s="22">
        <v>0.04</v>
      </c>
      <c r="F3" s="20" t="s">
        <v>216</v>
      </c>
      <c r="G3" s="20"/>
      <c r="H3" s="20"/>
      <c r="I3" s="20"/>
      <c r="J3" s="20"/>
      <c r="K3" s="20"/>
      <c r="L3" s="20"/>
    </row>
    <row r="4" spans="1:12" x14ac:dyDescent="0.3">
      <c r="A4" s="4" t="s">
        <v>209</v>
      </c>
      <c r="B4" s="21" t="s">
        <v>210</v>
      </c>
      <c r="C4" s="21">
        <v>10</v>
      </c>
      <c r="D4" s="21" t="s">
        <v>211</v>
      </c>
      <c r="E4" s="21" t="s">
        <v>212</v>
      </c>
      <c r="F4" s="21">
        <v>14</v>
      </c>
      <c r="G4" s="20"/>
      <c r="H4" s="20"/>
      <c r="I4" s="20"/>
      <c r="J4" s="20"/>
      <c r="K4" s="20"/>
      <c r="L4" s="20"/>
    </row>
    <row r="5" spans="1:12" x14ac:dyDescent="0.3">
      <c r="A5" s="20" t="s">
        <v>315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</row>
    <row r="6" spans="1:12" x14ac:dyDescent="0.3">
      <c r="A6" s="20" t="s">
        <v>220</v>
      </c>
      <c r="B6" s="20">
        <v>1.3</v>
      </c>
      <c r="C6" s="20" t="s">
        <v>221</v>
      </c>
      <c r="D6" s="20" t="s">
        <v>222</v>
      </c>
      <c r="E6" s="20">
        <f>1/B6</f>
        <v>0.76923076923076916</v>
      </c>
      <c r="F6" s="20"/>
      <c r="G6" s="20"/>
      <c r="H6" s="20"/>
      <c r="I6" s="20"/>
      <c r="J6" s="20"/>
      <c r="K6" s="20"/>
      <c r="L6" s="20"/>
    </row>
    <row r="7" spans="1:12" x14ac:dyDescent="0.3">
      <c r="A7" s="4" t="s">
        <v>217</v>
      </c>
      <c r="B7" s="22">
        <v>0.03</v>
      </c>
      <c r="C7" s="20" t="s">
        <v>211</v>
      </c>
      <c r="D7" s="23">
        <v>3.5000000000000003E-2</v>
      </c>
      <c r="E7" s="20" t="s">
        <v>218</v>
      </c>
      <c r="F7" s="20" t="s">
        <v>211</v>
      </c>
      <c r="G7" s="22">
        <v>0.04</v>
      </c>
      <c r="H7" s="20" t="s">
        <v>211</v>
      </c>
      <c r="I7" s="23">
        <v>4.4999999999999998E-2</v>
      </c>
      <c r="J7" s="20" t="s">
        <v>219</v>
      </c>
      <c r="K7" s="20"/>
      <c r="L7" s="20"/>
    </row>
    <row r="8" spans="1:12" x14ac:dyDescent="0.3">
      <c r="A8" s="20" t="s">
        <v>1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</row>
    <row r="9" spans="1:12" x14ac:dyDescent="0.3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</row>
    <row r="10" spans="1:12" x14ac:dyDescent="0.3">
      <c r="A10" s="25" t="s">
        <v>279</v>
      </c>
      <c r="F10" s="24" t="s">
        <v>223</v>
      </c>
    </row>
    <row r="12" spans="1:12" x14ac:dyDescent="0.3">
      <c r="B12" t="s">
        <v>2</v>
      </c>
      <c r="C12" t="s">
        <v>3</v>
      </c>
      <c r="E12" t="s">
        <v>4</v>
      </c>
      <c r="G12" t="s">
        <v>5</v>
      </c>
      <c r="H12" t="s">
        <v>6</v>
      </c>
    </row>
    <row r="13" spans="1:12" x14ac:dyDescent="0.3">
      <c r="B13" s="18">
        <f>+B3</f>
        <v>0.06</v>
      </c>
      <c r="C13">
        <f>+C4</f>
        <v>10</v>
      </c>
      <c r="E13">
        <f>+E6</f>
        <v>0.76923076923076916</v>
      </c>
      <c r="G13" s="18">
        <f>+E3</f>
        <v>0.04</v>
      </c>
      <c r="H13">
        <f>+F4</f>
        <v>14</v>
      </c>
    </row>
    <row r="15" spans="1:12" x14ac:dyDescent="0.3">
      <c r="B15" t="s">
        <v>7</v>
      </c>
      <c r="G15" t="s">
        <v>7</v>
      </c>
    </row>
    <row r="16" spans="1:12" x14ac:dyDescent="0.3">
      <c r="A16">
        <v>1</v>
      </c>
      <c r="B16" s="18">
        <f>+B7</f>
        <v>0.03</v>
      </c>
      <c r="F16">
        <v>1</v>
      </c>
      <c r="G16" s="18">
        <f>+G7</f>
        <v>0.04</v>
      </c>
    </row>
    <row r="17" spans="1:9" x14ac:dyDescent="0.3">
      <c r="A17">
        <v>2</v>
      </c>
      <c r="B17" s="19">
        <f>+D7</f>
        <v>3.5000000000000003E-2</v>
      </c>
      <c r="F17">
        <v>2</v>
      </c>
      <c r="G17" s="19">
        <f>+I7</f>
        <v>4.4999999999999998E-2</v>
      </c>
    </row>
    <row r="20" spans="1:9" x14ac:dyDescent="0.3">
      <c r="B20" s="8" t="s">
        <v>8</v>
      </c>
      <c r="C20" s="8" t="s">
        <v>316</v>
      </c>
      <c r="D20" s="8" t="s">
        <v>317</v>
      </c>
      <c r="G20" t="s">
        <v>8</v>
      </c>
      <c r="H20" t="s">
        <v>316</v>
      </c>
      <c r="I20" t="s">
        <v>317</v>
      </c>
    </row>
    <row r="21" spans="1:9" x14ac:dyDescent="0.3">
      <c r="B21" s="8"/>
      <c r="C21" s="8"/>
      <c r="D21" s="8"/>
    </row>
    <row r="22" spans="1:9" x14ac:dyDescent="0.3">
      <c r="A22">
        <v>1</v>
      </c>
      <c r="B22" s="8">
        <f>+(B13*C13)</f>
        <v>0.6</v>
      </c>
      <c r="C22" s="8">
        <f>+B22*(1/(B27^(B16*A16)))</f>
        <v>0.5822673318790158</v>
      </c>
      <c r="D22" s="8">
        <f>+B22/(1+B16)^1</f>
        <v>0.58252427184466016</v>
      </c>
      <c r="F22">
        <v>1</v>
      </c>
      <c r="G22">
        <f>+(G13*H13)</f>
        <v>0.56000000000000005</v>
      </c>
      <c r="H22">
        <f>+G22*(1/(B27^(G16*F16)))</f>
        <v>0.53804210040192013</v>
      </c>
      <c r="I22">
        <f>+G22/(1+G16)^1</f>
        <v>0.53846153846153855</v>
      </c>
    </row>
    <row r="23" spans="1:9" x14ac:dyDescent="0.3">
      <c r="A23">
        <v>2</v>
      </c>
      <c r="B23" s="8">
        <f>+(B13*C13)+C13</f>
        <v>10.6</v>
      </c>
      <c r="C23" s="8">
        <f>+B23*(1/(B27^(B17*A17)))</f>
        <v>9.88337495636857</v>
      </c>
      <c r="D23" s="8">
        <f>+B23/(1+B17)^2</f>
        <v>9.895213423883872</v>
      </c>
      <c r="F23">
        <v>2</v>
      </c>
      <c r="G23">
        <f>+(G13*H13)+H13</f>
        <v>14.56</v>
      </c>
      <c r="H23">
        <f>+G23*(1/(B27^(G17*F17)))</f>
        <v>13.306838863128378</v>
      </c>
      <c r="I23">
        <f>+G23/(1+G17)^2</f>
        <v>13.333028090016256</v>
      </c>
    </row>
    <row r="24" spans="1:9" x14ac:dyDescent="0.3">
      <c r="B24" s="8"/>
      <c r="C24" s="8"/>
      <c r="D24" s="8"/>
    </row>
    <row r="25" spans="1:9" x14ac:dyDescent="0.3">
      <c r="B25" s="8" t="s">
        <v>9</v>
      </c>
      <c r="C25" s="8">
        <f>+(C22+C23)</f>
        <v>10.465642288247587</v>
      </c>
      <c r="D25" s="8">
        <f>+(D22+D23)</f>
        <v>10.477737695728532</v>
      </c>
      <c r="H25">
        <f>+(H22+H23)</f>
        <v>13.844880963530299</v>
      </c>
      <c r="I25">
        <f>+(I22+I23)</f>
        <v>13.871489628477795</v>
      </c>
    </row>
    <row r="26" spans="1:9" x14ac:dyDescent="0.3">
      <c r="B26" s="8"/>
      <c r="C26" s="8"/>
      <c r="D26" s="8"/>
    </row>
    <row r="27" spans="1:9" x14ac:dyDescent="0.3">
      <c r="B27" s="8">
        <v>2.71828</v>
      </c>
      <c r="C27" t="s">
        <v>10</v>
      </c>
      <c r="D27" s="8"/>
    </row>
    <row r="28" spans="1:9" x14ac:dyDescent="0.3">
      <c r="B28" s="8"/>
      <c r="C28" s="8"/>
      <c r="D28" s="8"/>
    </row>
    <row r="29" spans="1:9" x14ac:dyDescent="0.3">
      <c r="B29" s="8"/>
      <c r="C29" s="8"/>
      <c r="D29" s="8"/>
    </row>
    <row r="30" spans="1:9" x14ac:dyDescent="0.3">
      <c r="B30" s="8"/>
      <c r="C30" s="8" t="s">
        <v>11</v>
      </c>
      <c r="D30" s="8" t="s">
        <v>316</v>
      </c>
      <c r="E30" s="8" t="s">
        <v>317</v>
      </c>
    </row>
    <row r="31" spans="1:9" x14ac:dyDescent="0.3">
      <c r="B31" s="8"/>
      <c r="C31" s="8" t="s">
        <v>253</v>
      </c>
      <c r="D31" s="8">
        <f>+C25-(H25*E13)</f>
        <v>-0.18426614523725782</v>
      </c>
      <c r="E31" s="8">
        <f>+D25-(I25*E13)</f>
        <v>-0.19263894156207861</v>
      </c>
    </row>
    <row r="35" spans="1:6" x14ac:dyDescent="0.3">
      <c r="A35" s="2" t="s">
        <v>248</v>
      </c>
    </row>
    <row r="37" spans="1:6" x14ac:dyDescent="0.3">
      <c r="A37" t="s">
        <v>235</v>
      </c>
    </row>
    <row r="38" spans="1:6" x14ac:dyDescent="0.3">
      <c r="A38" t="s">
        <v>236</v>
      </c>
    </row>
    <row r="39" spans="1:6" x14ac:dyDescent="0.3">
      <c r="A39" s="13" t="s">
        <v>237</v>
      </c>
    </row>
    <row r="40" spans="1:6" x14ac:dyDescent="0.3">
      <c r="B40" s="8"/>
      <c r="C40" s="8"/>
      <c r="E40" s="8"/>
      <c r="F40" s="8"/>
    </row>
    <row r="41" spans="1:6" x14ac:dyDescent="0.3">
      <c r="B41" s="10"/>
      <c r="C41" s="10" t="s">
        <v>239</v>
      </c>
      <c r="D41" s="2"/>
      <c r="E41" s="10" t="s">
        <v>240</v>
      </c>
      <c r="F41" s="8"/>
    </row>
    <row r="42" spans="1:6" x14ac:dyDescent="0.3">
      <c r="B42" s="10" t="s">
        <v>225</v>
      </c>
      <c r="C42" s="16">
        <v>0.08</v>
      </c>
      <c r="E42" s="8" t="s">
        <v>224</v>
      </c>
      <c r="F42" s="26">
        <v>6.0000000000000001E-3</v>
      </c>
    </row>
    <row r="43" spans="1:6" x14ac:dyDescent="0.3">
      <c r="A43" s="24"/>
      <c r="B43" s="10"/>
      <c r="C43" s="8"/>
      <c r="E43" s="8"/>
      <c r="F43" s="8"/>
    </row>
    <row r="44" spans="1:6" x14ac:dyDescent="0.3">
      <c r="B44" s="10" t="s">
        <v>238</v>
      </c>
      <c r="C44" s="26">
        <v>0.09</v>
      </c>
      <c r="E44" s="8" t="s">
        <v>224</v>
      </c>
      <c r="F44" s="16">
        <v>0.01</v>
      </c>
    </row>
    <row r="45" spans="1:6" x14ac:dyDescent="0.3">
      <c r="A45" s="8"/>
      <c r="B45" s="8"/>
      <c r="C45" s="8"/>
      <c r="E45" s="8"/>
      <c r="F45" s="8"/>
    </row>
    <row r="46" spans="1:6" x14ac:dyDescent="0.3">
      <c r="A46" s="9" t="s">
        <v>247</v>
      </c>
      <c r="B46" s="8"/>
      <c r="C46" s="8"/>
      <c r="E46" s="8"/>
      <c r="F46" s="8"/>
    </row>
    <row r="47" spans="1:6" x14ac:dyDescent="0.3">
      <c r="A47" s="8"/>
      <c r="B47" s="40" t="s">
        <v>241</v>
      </c>
      <c r="C47" s="41">
        <f>+C44-C42</f>
        <v>9.999999999999995E-3</v>
      </c>
      <c r="D47" s="40"/>
      <c r="E47" s="42">
        <f>+F44-F42</f>
        <v>4.0000000000000001E-3</v>
      </c>
      <c r="F47" s="40"/>
    </row>
    <row r="48" spans="1:6" x14ac:dyDescent="0.3">
      <c r="A48" s="8"/>
      <c r="B48" s="8"/>
      <c r="C48" s="8"/>
      <c r="D48" s="8"/>
      <c r="E48" s="8"/>
      <c r="F48" s="8"/>
    </row>
    <row r="49" spans="1:6" x14ac:dyDescent="0.3">
      <c r="A49" s="8"/>
      <c r="B49" s="8"/>
      <c r="C49" s="8"/>
      <c r="D49" s="8"/>
      <c r="E49" s="8"/>
      <c r="F49" s="8"/>
    </row>
    <row r="50" spans="1:6" x14ac:dyDescent="0.3">
      <c r="A50" s="8"/>
      <c r="B50" s="16" t="s">
        <v>242</v>
      </c>
      <c r="C50" s="29">
        <f>+(C47-E47)</f>
        <v>5.9999999999999949E-3</v>
      </c>
      <c r="D50" s="8"/>
      <c r="E50" s="8"/>
      <c r="F50" s="8"/>
    </row>
    <row r="51" spans="1:6" x14ac:dyDescent="0.3">
      <c r="A51" s="8"/>
      <c r="B51" s="16" t="s">
        <v>243</v>
      </c>
      <c r="C51" s="26">
        <f>+C50/2</f>
        <v>2.9999999999999975E-3</v>
      </c>
      <c r="D51" s="8"/>
      <c r="E51" s="8"/>
      <c r="F51" s="8"/>
    </row>
    <row r="52" spans="1:6" x14ac:dyDescent="0.3">
      <c r="A52" s="8"/>
      <c r="B52" s="8"/>
      <c r="C52" s="8"/>
      <c r="D52" s="8"/>
      <c r="E52" s="8"/>
      <c r="F52" s="8"/>
    </row>
    <row r="53" spans="1:6" x14ac:dyDescent="0.3">
      <c r="A53" s="8"/>
      <c r="C53" s="10" t="s">
        <v>225</v>
      </c>
      <c r="D53" s="10"/>
      <c r="E53" s="10" t="s">
        <v>238</v>
      </c>
      <c r="F53" s="8"/>
    </row>
    <row r="54" spans="1:6" x14ac:dyDescent="0.3">
      <c r="A54" s="8"/>
      <c r="B54" s="8" t="s">
        <v>244</v>
      </c>
      <c r="C54" s="55">
        <v>0.08</v>
      </c>
      <c r="D54" s="8" t="s">
        <v>252</v>
      </c>
      <c r="E54" s="8" t="s">
        <v>226</v>
      </c>
      <c r="F54" s="8" t="s">
        <v>244</v>
      </c>
    </row>
    <row r="55" spans="1:6" x14ac:dyDescent="0.3">
      <c r="A55" s="8"/>
      <c r="B55" s="8" t="s">
        <v>245</v>
      </c>
      <c r="C55" s="30">
        <v>7.6999999999999999E-2</v>
      </c>
      <c r="D55" s="8" t="s">
        <v>227</v>
      </c>
      <c r="E55" s="8" t="s">
        <v>228</v>
      </c>
      <c r="F55" s="8" t="s">
        <v>245</v>
      </c>
    </row>
    <row r="56" spans="1:6" x14ac:dyDescent="0.3">
      <c r="A56" s="8"/>
      <c r="B56" s="8" t="s">
        <v>244</v>
      </c>
      <c r="C56" s="14" t="s">
        <v>229</v>
      </c>
      <c r="D56" s="8" t="s">
        <v>227</v>
      </c>
      <c r="E56" s="26">
        <v>7.6999999999999999E-2</v>
      </c>
      <c r="F56" s="8" t="s">
        <v>244</v>
      </c>
    </row>
    <row r="57" spans="1:6" x14ac:dyDescent="0.3">
      <c r="A57" s="8"/>
      <c r="C57" s="15" t="s">
        <v>257</v>
      </c>
      <c r="D57" s="10" t="s">
        <v>246</v>
      </c>
      <c r="E57" s="27">
        <f>+C44-C51</f>
        <v>8.6999999999999994E-2</v>
      </c>
      <c r="F57" s="8"/>
    </row>
    <row r="58" spans="1:6" x14ac:dyDescent="0.3">
      <c r="A58" s="8"/>
      <c r="B58" s="28"/>
      <c r="C58" s="28"/>
      <c r="D58" s="28"/>
      <c r="E58" s="28"/>
      <c r="F58" s="2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204A3-720D-47FD-83D0-3E6AAFF05A7B}">
  <dimension ref="A1:J45"/>
  <sheetViews>
    <sheetView topLeftCell="A22" workbookViewId="0">
      <selection activeCell="G39" sqref="G39"/>
    </sheetView>
  </sheetViews>
  <sheetFormatPr defaultRowHeight="14.4" x14ac:dyDescent="0.3"/>
  <cols>
    <col min="1" max="1" width="4.5546875" bestFit="1" customWidth="1"/>
    <col min="2" max="2" width="36.109375" bestFit="1" customWidth="1"/>
    <col min="4" max="4" width="16.6640625" bestFit="1" customWidth="1"/>
    <col min="5" max="5" width="15.33203125" bestFit="1" customWidth="1"/>
    <col min="11" max="11" width="16.5546875" bestFit="1" customWidth="1"/>
    <col min="12" max="12" width="15.33203125" bestFit="1" customWidth="1"/>
  </cols>
  <sheetData>
    <row r="1" spans="2:10" x14ac:dyDescent="0.3">
      <c r="B1" s="2" t="s">
        <v>261</v>
      </c>
    </row>
    <row r="3" spans="2:10" x14ac:dyDescent="0.3">
      <c r="B3" t="s">
        <v>263</v>
      </c>
    </row>
    <row r="4" spans="2:10" x14ac:dyDescent="0.3">
      <c r="B4" t="s">
        <v>264</v>
      </c>
    </row>
    <row r="5" spans="2:10" x14ac:dyDescent="0.3">
      <c r="B5" t="s">
        <v>190</v>
      </c>
      <c r="C5">
        <v>0</v>
      </c>
      <c r="D5">
        <v>1</v>
      </c>
      <c r="E5">
        <v>2</v>
      </c>
      <c r="F5">
        <v>3</v>
      </c>
      <c r="G5">
        <v>4</v>
      </c>
      <c r="H5">
        <v>5</v>
      </c>
    </row>
    <row r="6" spans="2:10" x14ac:dyDescent="0.3">
      <c r="B6" t="s">
        <v>102</v>
      </c>
      <c r="D6">
        <v>180000</v>
      </c>
      <c r="E6">
        <v>180000</v>
      </c>
      <c r="F6">
        <v>180000</v>
      </c>
      <c r="G6">
        <v>180000</v>
      </c>
    </row>
    <row r="7" spans="2:10" x14ac:dyDescent="0.3">
      <c r="B7" t="s">
        <v>262</v>
      </c>
      <c r="D7">
        <v>126000</v>
      </c>
      <c r="E7">
        <v>126000</v>
      </c>
      <c r="F7">
        <v>126000</v>
      </c>
      <c r="G7">
        <v>126000</v>
      </c>
    </row>
    <row r="8" spans="2:10" x14ac:dyDescent="0.3">
      <c r="B8" t="s">
        <v>265</v>
      </c>
    </row>
    <row r="9" spans="2:10" x14ac:dyDescent="0.3">
      <c r="B9" t="s">
        <v>269</v>
      </c>
      <c r="E9">
        <v>10000</v>
      </c>
    </row>
    <row r="10" spans="2:10" x14ac:dyDescent="0.3">
      <c r="B10" t="s">
        <v>266</v>
      </c>
      <c r="D10" s="13"/>
      <c r="E10" s="13"/>
    </row>
    <row r="11" spans="2:10" x14ac:dyDescent="0.3">
      <c r="B11" t="s">
        <v>270</v>
      </c>
      <c r="D11" s="13"/>
      <c r="E11" s="13"/>
    </row>
    <row r="12" spans="2:10" x14ac:dyDescent="0.3">
      <c r="B12" t="s">
        <v>268</v>
      </c>
      <c r="D12" s="13"/>
      <c r="E12" s="13"/>
    </row>
    <row r="13" spans="2:10" x14ac:dyDescent="0.3">
      <c r="B13" t="s">
        <v>267</v>
      </c>
      <c r="D13" s="13"/>
      <c r="E13" s="13"/>
      <c r="J13" s="18">
        <v>0.1</v>
      </c>
    </row>
    <row r="14" spans="2:10" x14ac:dyDescent="0.3">
      <c r="D14" s="13"/>
      <c r="E14" s="13"/>
    </row>
    <row r="15" spans="2:10" x14ac:dyDescent="0.3">
      <c r="B15" s="31" t="s">
        <v>271</v>
      </c>
      <c r="C15" s="31">
        <v>100000</v>
      </c>
    </row>
    <row r="16" spans="2:10" x14ac:dyDescent="0.3">
      <c r="B16" t="s">
        <v>188</v>
      </c>
      <c r="C16">
        <f>+C15/5</f>
        <v>20000</v>
      </c>
    </row>
    <row r="17" spans="1:8" x14ac:dyDescent="0.3">
      <c r="B17" t="s">
        <v>189</v>
      </c>
      <c r="C17">
        <v>40000</v>
      </c>
    </row>
    <row r="18" spans="1:8" x14ac:dyDescent="0.3">
      <c r="B18" t="s">
        <v>200</v>
      </c>
      <c r="C18">
        <f>+E9</f>
        <v>10000</v>
      </c>
    </row>
    <row r="19" spans="1:8" x14ac:dyDescent="0.3">
      <c r="C19" s="18"/>
    </row>
    <row r="20" spans="1:8" x14ac:dyDescent="0.3">
      <c r="B20" s="8"/>
      <c r="D20" s="8"/>
    </row>
    <row r="21" spans="1:8" x14ac:dyDescent="0.3">
      <c r="B21" s="9" t="s">
        <v>190</v>
      </c>
      <c r="C21" s="8">
        <v>0</v>
      </c>
      <c r="D21" s="8">
        <v>1</v>
      </c>
      <c r="E21" s="8">
        <v>2</v>
      </c>
      <c r="F21" s="8">
        <v>3</v>
      </c>
      <c r="G21" s="8">
        <v>4</v>
      </c>
      <c r="H21" s="8">
        <v>5</v>
      </c>
    </row>
    <row r="22" spans="1:8" x14ac:dyDescent="0.3">
      <c r="B22" s="8" t="s">
        <v>102</v>
      </c>
      <c r="C22" s="8"/>
      <c r="D22" s="14">
        <f>+D6</f>
        <v>180000</v>
      </c>
      <c r="E22" s="14">
        <f t="shared" ref="E22:G22" si="0">+E6</f>
        <v>180000</v>
      </c>
      <c r="F22" s="14">
        <f t="shared" si="0"/>
        <v>180000</v>
      </c>
      <c r="G22" s="14">
        <f t="shared" si="0"/>
        <v>180000</v>
      </c>
      <c r="H22" s="14"/>
    </row>
    <row r="23" spans="1:8" x14ac:dyDescent="0.3">
      <c r="B23" s="8" t="s">
        <v>104</v>
      </c>
      <c r="C23" s="8"/>
      <c r="D23" s="14">
        <f>+D7</f>
        <v>126000</v>
      </c>
      <c r="E23" s="14">
        <f t="shared" ref="E23:G23" si="1">+E7</f>
        <v>126000</v>
      </c>
      <c r="F23" s="14">
        <f t="shared" si="1"/>
        <v>126000</v>
      </c>
      <c r="G23" s="14">
        <f t="shared" si="1"/>
        <v>126000</v>
      </c>
      <c r="H23" s="14"/>
    </row>
    <row r="24" spans="1:8" x14ac:dyDescent="0.3">
      <c r="B24" s="10" t="s">
        <v>106</v>
      </c>
      <c r="C24" s="10"/>
      <c r="D24" s="15">
        <f>+(D22-D23)</f>
        <v>54000</v>
      </c>
      <c r="E24" s="15">
        <f>+(E22-E23)</f>
        <v>54000</v>
      </c>
      <c r="F24" s="15">
        <f>+(F22-F23)</f>
        <v>54000</v>
      </c>
      <c r="G24" s="15">
        <f>+(G22-G23)</f>
        <v>54000</v>
      </c>
      <c r="H24" s="15"/>
    </row>
    <row r="25" spans="1:8" x14ac:dyDescent="0.3">
      <c r="B25" s="8" t="s">
        <v>108</v>
      </c>
      <c r="C25" s="8"/>
      <c r="D25" s="14">
        <f>+-(C18)</f>
        <v>-10000</v>
      </c>
      <c r="E25" s="14">
        <f>+-(C18)</f>
        <v>-10000</v>
      </c>
      <c r="F25" s="14">
        <f>+-(C18)</f>
        <v>-10000</v>
      </c>
      <c r="G25" s="14">
        <f>+-(C18)</f>
        <v>-10000</v>
      </c>
      <c r="H25" s="14"/>
    </row>
    <row r="26" spans="1:8" x14ac:dyDescent="0.3">
      <c r="B26" s="8" t="s">
        <v>110</v>
      </c>
      <c r="C26" s="8">
        <f>+-(C17)</f>
        <v>-40000</v>
      </c>
      <c r="D26" s="8"/>
      <c r="E26" s="8"/>
      <c r="F26" s="8"/>
      <c r="G26" s="8"/>
      <c r="H26" s="8"/>
    </row>
    <row r="27" spans="1:8" x14ac:dyDescent="0.3">
      <c r="B27" s="8" t="s">
        <v>112</v>
      </c>
      <c r="C27" s="8"/>
      <c r="D27" s="8">
        <f>+-(C16)</f>
        <v>-20000</v>
      </c>
      <c r="E27" s="8">
        <f>+-(C16)</f>
        <v>-20000</v>
      </c>
      <c r="F27" s="8">
        <f>+-(C16)</f>
        <v>-20000</v>
      </c>
      <c r="G27" s="8">
        <f>+-(C16)</f>
        <v>-20000</v>
      </c>
      <c r="H27" s="8">
        <f>+-(C16)</f>
        <v>-20000</v>
      </c>
    </row>
    <row r="28" spans="1:8" x14ac:dyDescent="0.3">
      <c r="B28" s="10" t="s">
        <v>116</v>
      </c>
      <c r="C28" s="10">
        <f>+(C24+C26)</f>
        <v>-40000</v>
      </c>
      <c r="D28" s="10">
        <f>+(D24+D25+D27)</f>
        <v>24000</v>
      </c>
      <c r="E28" s="10">
        <f t="shared" ref="E28:H28" si="2">+(E24+E25+E27)</f>
        <v>24000</v>
      </c>
      <c r="F28" s="10">
        <f t="shared" si="2"/>
        <v>24000</v>
      </c>
      <c r="G28" s="10">
        <f t="shared" si="2"/>
        <v>24000</v>
      </c>
      <c r="H28" s="10">
        <f t="shared" si="2"/>
        <v>-20000</v>
      </c>
    </row>
    <row r="29" spans="1:8" x14ac:dyDescent="0.3">
      <c r="A29" s="18">
        <v>0.3</v>
      </c>
      <c r="B29" s="8" t="s">
        <v>258</v>
      </c>
      <c r="C29" s="8">
        <f>+-(C28*A29)</f>
        <v>12000</v>
      </c>
      <c r="D29" s="8">
        <f>+-(D28*A29)</f>
        <v>-7200</v>
      </c>
      <c r="E29" s="8">
        <f>+-(E28*A29)</f>
        <v>-7200</v>
      </c>
      <c r="F29" s="8">
        <f>+-(F28*A29)</f>
        <v>-7200</v>
      </c>
      <c r="G29" s="8">
        <f>+-(G28*A29)</f>
        <v>-7200</v>
      </c>
      <c r="H29" s="8">
        <f>+-(H28*A29)</f>
        <v>6000</v>
      </c>
    </row>
    <row r="30" spans="1:8" x14ac:dyDescent="0.3">
      <c r="B30" s="10" t="s">
        <v>191</v>
      </c>
      <c r="C30" s="10">
        <f>+(C28+C29)</f>
        <v>-28000</v>
      </c>
      <c r="D30" s="10">
        <f>+SUM(D28:D29)</f>
        <v>16800</v>
      </c>
      <c r="E30" s="10">
        <f t="shared" ref="E30:G30" si="3">+SUM(E28:E29)</f>
        <v>16800</v>
      </c>
      <c r="F30" s="10">
        <f t="shared" si="3"/>
        <v>16800</v>
      </c>
      <c r="G30" s="10">
        <f t="shared" si="3"/>
        <v>16800</v>
      </c>
      <c r="H30" s="10">
        <f>+(H28+H29)</f>
        <v>-14000</v>
      </c>
    </row>
    <row r="31" spans="1:8" x14ac:dyDescent="0.3">
      <c r="B31" s="10" t="s">
        <v>192</v>
      </c>
    </row>
    <row r="32" spans="1:8" x14ac:dyDescent="0.3">
      <c r="B32" s="8" t="s">
        <v>193</v>
      </c>
      <c r="C32" s="8"/>
      <c r="D32" s="8">
        <f>+-D27</f>
        <v>20000</v>
      </c>
      <c r="E32" s="8">
        <f>+-E27</f>
        <v>20000</v>
      </c>
      <c r="F32" s="8">
        <f>+-F27</f>
        <v>20000</v>
      </c>
      <c r="G32" s="8">
        <f>+-G27</f>
        <v>20000</v>
      </c>
      <c r="H32" s="8">
        <f>+-H27</f>
        <v>20000</v>
      </c>
    </row>
    <row r="33" spans="2:8" x14ac:dyDescent="0.3">
      <c r="B33" s="8" t="s">
        <v>194</v>
      </c>
      <c r="C33" s="8">
        <f>-(C15)</f>
        <v>-100000</v>
      </c>
      <c r="E33" s="8"/>
      <c r="F33" s="8"/>
      <c r="G33" s="8"/>
    </row>
    <row r="34" spans="2:8" x14ac:dyDescent="0.3">
      <c r="B34" s="8" t="s">
        <v>195</v>
      </c>
      <c r="C34" s="8"/>
      <c r="D34" s="8">
        <v>-7000</v>
      </c>
      <c r="E34" s="8"/>
      <c r="F34" s="8"/>
      <c r="G34" s="8"/>
      <c r="H34" s="8">
        <f>+-(+D34)</f>
        <v>7000</v>
      </c>
    </row>
    <row r="35" spans="2:8" x14ac:dyDescent="0.3">
      <c r="B35" s="10" t="s">
        <v>192</v>
      </c>
      <c r="C35" s="10">
        <f>+(C30+C33)</f>
        <v>-128000</v>
      </c>
      <c r="D35" s="10">
        <f>+SUM(D30:D34)</f>
        <v>29800</v>
      </c>
      <c r="E35" s="10">
        <f t="shared" ref="E35:H35" si="4">+SUM(E30:E34)</f>
        <v>36800</v>
      </c>
      <c r="F35" s="10">
        <f t="shared" si="4"/>
        <v>36800</v>
      </c>
      <c r="G35" s="10">
        <f>+SUM(G30:G34)</f>
        <v>36800</v>
      </c>
      <c r="H35" s="10">
        <f t="shared" si="4"/>
        <v>13000</v>
      </c>
    </row>
    <row r="37" spans="2:8" x14ac:dyDescent="0.3">
      <c r="C37" s="10" t="s">
        <v>196</v>
      </c>
      <c r="D37" s="10" t="s">
        <v>197</v>
      </c>
      <c r="E37" s="10" t="s">
        <v>198</v>
      </c>
    </row>
    <row r="38" spans="2:8" x14ac:dyDescent="0.3">
      <c r="C38" s="8">
        <v>0</v>
      </c>
      <c r="D38" s="8">
        <f>+C35</f>
        <v>-128000</v>
      </c>
      <c r="E38" s="16">
        <f>+J13</f>
        <v>0.1</v>
      </c>
    </row>
    <row r="39" spans="2:8" x14ac:dyDescent="0.3">
      <c r="C39" s="8">
        <v>1</v>
      </c>
      <c r="D39" s="8">
        <f>+D35</f>
        <v>29800</v>
      </c>
    </row>
    <row r="40" spans="2:8" x14ac:dyDescent="0.3">
      <c r="B40" s="8"/>
      <c r="C40" s="8">
        <v>2</v>
      </c>
      <c r="D40" s="8">
        <f>+E35</f>
        <v>36800</v>
      </c>
      <c r="E40" s="8"/>
      <c r="F40" s="8"/>
      <c r="G40" s="8"/>
    </row>
    <row r="41" spans="2:8" x14ac:dyDescent="0.3">
      <c r="B41" s="8"/>
      <c r="C41" s="8">
        <v>3</v>
      </c>
      <c r="D41" s="8">
        <f>+F35</f>
        <v>36800</v>
      </c>
      <c r="E41" s="8"/>
      <c r="F41" s="8"/>
      <c r="G41" s="8"/>
    </row>
    <row r="42" spans="2:8" x14ac:dyDescent="0.3">
      <c r="B42" s="10"/>
      <c r="C42" s="8">
        <v>4</v>
      </c>
      <c r="D42" s="8">
        <f>+G35</f>
        <v>36800</v>
      </c>
      <c r="E42" s="8"/>
      <c r="F42" s="10"/>
      <c r="G42" s="10"/>
    </row>
    <row r="43" spans="2:8" x14ac:dyDescent="0.3">
      <c r="C43" s="8">
        <v>5</v>
      </c>
      <c r="D43" s="8">
        <f>+H35</f>
        <v>13000</v>
      </c>
      <c r="E43" s="8"/>
    </row>
    <row r="44" spans="2:8" x14ac:dyDescent="0.3">
      <c r="C44" s="8"/>
      <c r="D44" s="8"/>
      <c r="E44" s="8"/>
    </row>
    <row r="45" spans="2:8" x14ac:dyDescent="0.3">
      <c r="C45" s="9" t="s">
        <v>199</v>
      </c>
      <c r="D45" s="17">
        <f>+NPV(E38,D39:D43)+D38</f>
        <v>-9640.6107382133923</v>
      </c>
      <c r="E45" s="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7F63B-0164-4D19-A843-FF73C1C9C3F2}">
  <dimension ref="A1:N77"/>
  <sheetViews>
    <sheetView tabSelected="1" topLeftCell="E4" workbookViewId="0">
      <selection activeCell="B14" sqref="B14"/>
    </sheetView>
  </sheetViews>
  <sheetFormatPr defaultRowHeight="14.4" x14ac:dyDescent="0.3"/>
  <cols>
    <col min="1" max="1" width="67.33203125" bestFit="1" customWidth="1"/>
    <col min="2" max="2" width="13.88671875" customWidth="1"/>
    <col min="3" max="3" width="13.44140625" customWidth="1"/>
    <col min="4" max="4" width="9.109375" style="8"/>
    <col min="5" max="5" width="44.33203125" style="8" customWidth="1"/>
    <col min="6" max="6" width="8.5546875" style="8" customWidth="1"/>
    <col min="7" max="7" width="9.109375" style="8"/>
    <col min="8" max="8" width="44.33203125" bestFit="1" customWidth="1"/>
    <col min="12" max="12" width="67.33203125" bestFit="1" customWidth="1"/>
    <col min="14" max="14" width="19.109375" bestFit="1" customWidth="1"/>
  </cols>
  <sheetData>
    <row r="1" spans="1:14" x14ac:dyDescent="0.3">
      <c r="A1" s="2" t="s">
        <v>164</v>
      </c>
      <c r="E1" s="33" t="s">
        <v>274</v>
      </c>
    </row>
    <row r="2" spans="1:14" x14ac:dyDescent="0.3">
      <c r="A2" s="2"/>
    </row>
    <row r="3" spans="1:14" ht="45" x14ac:dyDescent="0.3">
      <c r="E3" s="34" t="s">
        <v>275</v>
      </c>
      <c r="F3" s="35"/>
      <c r="G3" s="35"/>
      <c r="H3" s="36"/>
      <c r="I3" s="36"/>
      <c r="J3" s="36"/>
      <c r="K3" s="36"/>
      <c r="L3" s="36"/>
    </row>
    <row r="4" spans="1:14" x14ac:dyDescent="0.3">
      <c r="A4" s="8" t="s">
        <v>165</v>
      </c>
      <c r="E4" s="36" t="s">
        <v>276</v>
      </c>
      <c r="F4" s="35"/>
      <c r="G4" s="37"/>
      <c r="H4" s="37"/>
      <c r="I4" s="35"/>
      <c r="J4" s="35"/>
      <c r="K4" s="36"/>
      <c r="L4" s="37"/>
      <c r="M4" s="8"/>
      <c r="N4" s="8"/>
    </row>
    <row r="5" spans="1:14" ht="15" x14ac:dyDescent="0.3">
      <c r="A5" s="8" t="s">
        <v>166</v>
      </c>
      <c r="E5" s="38" t="s">
        <v>277</v>
      </c>
      <c r="F5" s="35"/>
      <c r="G5" s="37"/>
      <c r="H5" s="37"/>
      <c r="I5" s="35"/>
      <c r="J5" s="35"/>
      <c r="K5" s="36"/>
      <c r="L5" s="37"/>
    </row>
    <row r="6" spans="1:14" ht="15.6" x14ac:dyDescent="0.3">
      <c r="A6" s="8"/>
      <c r="E6" s="32"/>
      <c r="G6" s="9"/>
      <c r="H6" s="9"/>
      <c r="I6" s="8"/>
      <c r="J6" s="8"/>
      <c r="L6" s="9"/>
      <c r="M6" s="8"/>
      <c r="N6" s="8"/>
    </row>
    <row r="7" spans="1:14" ht="15.6" x14ac:dyDescent="0.3">
      <c r="A7" s="8"/>
      <c r="E7" s="32"/>
      <c r="G7" s="9"/>
      <c r="H7" s="9"/>
      <c r="I7" s="8"/>
      <c r="J7" s="8"/>
      <c r="L7" s="9"/>
      <c r="M7" s="10" t="s">
        <v>272</v>
      </c>
      <c r="N7" s="10" t="s">
        <v>273</v>
      </c>
    </row>
    <row r="8" spans="1:14" x14ac:dyDescent="0.3">
      <c r="A8" s="8" t="s">
        <v>167</v>
      </c>
      <c r="E8" s="9" t="s">
        <v>68</v>
      </c>
      <c r="F8" s="8">
        <v>2023</v>
      </c>
      <c r="G8" s="8">
        <v>2022</v>
      </c>
      <c r="H8" s="9" t="s">
        <v>69</v>
      </c>
      <c r="I8" s="8">
        <v>2023</v>
      </c>
      <c r="J8" s="8">
        <v>2022</v>
      </c>
      <c r="L8" s="9"/>
      <c r="M8" s="8"/>
      <c r="N8" s="8"/>
    </row>
    <row r="9" spans="1:14" x14ac:dyDescent="0.3">
      <c r="A9" s="8" t="s">
        <v>168</v>
      </c>
      <c r="E9" s="10" t="s">
        <v>70</v>
      </c>
      <c r="H9" s="10" t="s">
        <v>71</v>
      </c>
      <c r="I9" s="8"/>
      <c r="J9" s="8"/>
      <c r="L9" s="8" t="s">
        <v>134</v>
      </c>
      <c r="M9" s="8">
        <f>+F32/F30</f>
        <v>0.28000000000000003</v>
      </c>
      <c r="N9" s="8">
        <v>0.15</v>
      </c>
    </row>
    <row r="10" spans="1:14" x14ac:dyDescent="0.3">
      <c r="A10" s="8" t="s">
        <v>169</v>
      </c>
      <c r="E10" s="8" t="s">
        <v>72</v>
      </c>
      <c r="F10" s="8">
        <v>35</v>
      </c>
      <c r="G10" s="8">
        <v>28</v>
      </c>
      <c r="H10" s="8" t="s">
        <v>73</v>
      </c>
      <c r="I10" s="8">
        <v>28</v>
      </c>
      <c r="J10" s="8">
        <v>28</v>
      </c>
      <c r="L10" s="8" t="s">
        <v>135</v>
      </c>
      <c r="M10" s="8">
        <f>+F36/F30</f>
        <v>0.188</v>
      </c>
      <c r="N10" s="8">
        <v>0.09</v>
      </c>
    </row>
    <row r="11" spans="1:14" x14ac:dyDescent="0.3">
      <c r="A11" s="8" t="s">
        <v>170</v>
      </c>
      <c r="E11" s="8" t="s">
        <v>74</v>
      </c>
      <c r="F11" s="8">
        <v>18</v>
      </c>
      <c r="G11" s="8">
        <v>15</v>
      </c>
      <c r="H11" s="8" t="s">
        <v>75</v>
      </c>
      <c r="I11" s="8">
        <v>3</v>
      </c>
      <c r="J11" s="8">
        <v>2</v>
      </c>
      <c r="L11" s="8" t="s">
        <v>136</v>
      </c>
      <c r="M11" s="8">
        <f>+F38/F30</f>
        <v>0.192</v>
      </c>
      <c r="N11" s="8">
        <v>0.13</v>
      </c>
    </row>
    <row r="12" spans="1:14" x14ac:dyDescent="0.3">
      <c r="E12" s="8" t="s">
        <v>76</v>
      </c>
      <c r="F12" s="8">
        <v>11</v>
      </c>
      <c r="G12" s="8">
        <v>11</v>
      </c>
      <c r="H12" s="8" t="s">
        <v>77</v>
      </c>
      <c r="I12" s="8">
        <v>10</v>
      </c>
      <c r="J12" s="8">
        <v>10</v>
      </c>
      <c r="L12" s="8" t="s">
        <v>137</v>
      </c>
      <c r="M12" s="8"/>
      <c r="N12" s="8"/>
    </row>
    <row r="13" spans="1:14" x14ac:dyDescent="0.3">
      <c r="A13" s="9" t="s">
        <v>133</v>
      </c>
      <c r="B13" s="8">
        <v>2023</v>
      </c>
      <c r="C13" s="8">
        <v>2022</v>
      </c>
      <c r="E13" s="8" t="s">
        <v>78</v>
      </c>
      <c r="F13" s="8">
        <v>4</v>
      </c>
      <c r="G13" s="8">
        <v>2</v>
      </c>
      <c r="H13" s="8" t="s">
        <v>79</v>
      </c>
      <c r="I13" s="8">
        <v>2</v>
      </c>
      <c r="J13" s="8">
        <v>1</v>
      </c>
      <c r="L13" s="8" t="s">
        <v>139</v>
      </c>
      <c r="M13" s="8">
        <f>+F14/I14</f>
        <v>1.5813953488372092</v>
      </c>
      <c r="N13" s="8">
        <v>1.02</v>
      </c>
    </row>
    <row r="14" spans="1:14" x14ac:dyDescent="0.3">
      <c r="A14" s="8" t="s">
        <v>134</v>
      </c>
      <c r="B14" s="12">
        <f>+((F32/F30))*100</f>
        <v>28.000000000000004</v>
      </c>
      <c r="C14" s="12">
        <f>+((G32/G30))*100</f>
        <v>16.666666666666664</v>
      </c>
      <c r="E14" s="11" t="s">
        <v>80</v>
      </c>
      <c r="F14" s="11">
        <f>+SUM(F10:F13)</f>
        <v>68</v>
      </c>
      <c r="G14" s="11">
        <f>+SUM(G10:G13)</f>
        <v>56</v>
      </c>
      <c r="H14" s="11" t="s">
        <v>81</v>
      </c>
      <c r="I14" s="11">
        <f>+SUM(I10:I13)</f>
        <v>43</v>
      </c>
      <c r="J14" s="11">
        <f>+SUM(J10:J13)</f>
        <v>41</v>
      </c>
      <c r="L14" s="8" t="s">
        <v>140</v>
      </c>
      <c r="M14" s="8"/>
      <c r="N14" s="8"/>
    </row>
    <row r="15" spans="1:14" x14ac:dyDescent="0.3">
      <c r="A15" s="8" t="s">
        <v>135</v>
      </c>
      <c r="B15" s="12">
        <f>+((F36/F30))*100</f>
        <v>18.8</v>
      </c>
      <c r="C15" s="12">
        <f>+((G36/G30))*100</f>
        <v>5</v>
      </c>
      <c r="H15" s="8"/>
      <c r="I15" s="8"/>
      <c r="J15" s="8"/>
      <c r="L15" s="8" t="s">
        <v>141</v>
      </c>
      <c r="M15" s="8"/>
      <c r="N15" s="8"/>
    </row>
    <row r="16" spans="1:14" x14ac:dyDescent="0.3">
      <c r="A16" s="8" t="s">
        <v>136</v>
      </c>
      <c r="B16" s="12">
        <f>+((F38/F30))*100</f>
        <v>19.2</v>
      </c>
      <c r="C16" s="12">
        <f>+((G38/G30))*100</f>
        <v>5</v>
      </c>
      <c r="E16" s="10" t="s">
        <v>82</v>
      </c>
      <c r="H16" s="10" t="s">
        <v>83</v>
      </c>
      <c r="I16" s="8"/>
      <c r="J16" s="8"/>
      <c r="L16" s="8" t="s">
        <v>143</v>
      </c>
      <c r="M16" s="8"/>
      <c r="N16" s="8"/>
    </row>
    <row r="17" spans="1:14" x14ac:dyDescent="0.3">
      <c r="A17" s="8" t="s">
        <v>137</v>
      </c>
      <c r="B17" s="12">
        <f>+((F42/F30))*100</f>
        <v>13.76</v>
      </c>
      <c r="C17" s="12">
        <f>+((G42/G30))*100</f>
        <v>2.083333333333333</v>
      </c>
      <c r="E17" s="8" t="s">
        <v>84</v>
      </c>
      <c r="F17" s="8">
        <v>19</v>
      </c>
      <c r="G17" s="8">
        <v>17</v>
      </c>
      <c r="H17" s="8" t="s">
        <v>85</v>
      </c>
      <c r="I17" s="8">
        <v>95</v>
      </c>
      <c r="J17" s="8">
        <v>88</v>
      </c>
      <c r="L17" s="8" t="s">
        <v>144</v>
      </c>
      <c r="M17" s="8"/>
      <c r="N17" s="8"/>
    </row>
    <row r="18" spans="1:14" x14ac:dyDescent="0.3">
      <c r="A18" s="9" t="s">
        <v>138</v>
      </c>
      <c r="B18" s="12"/>
      <c r="C18" s="12"/>
      <c r="E18" s="8" t="s">
        <v>86</v>
      </c>
      <c r="F18" s="8">
        <v>38</v>
      </c>
      <c r="G18" s="8">
        <v>35</v>
      </c>
      <c r="H18" s="8" t="s">
        <v>87</v>
      </c>
      <c r="I18" s="8">
        <v>2</v>
      </c>
      <c r="J18" s="8">
        <v>1</v>
      </c>
      <c r="L18" s="8" t="s">
        <v>145</v>
      </c>
      <c r="M18" s="8"/>
      <c r="N18" s="8"/>
    </row>
    <row r="19" spans="1:14" x14ac:dyDescent="0.3">
      <c r="A19" s="8" t="s">
        <v>139</v>
      </c>
      <c r="B19" s="12">
        <f>+(F14/I14)</f>
        <v>1.5813953488372092</v>
      </c>
      <c r="C19" s="12">
        <f>+(G14/J14)</f>
        <v>1.3658536585365855</v>
      </c>
      <c r="E19" s="8" t="s">
        <v>88</v>
      </c>
      <c r="F19" s="8">
        <v>30</v>
      </c>
      <c r="G19" s="8">
        <v>42</v>
      </c>
      <c r="H19" s="8" t="s">
        <v>89</v>
      </c>
      <c r="I19" s="8">
        <f>+SUM(I17:I18)</f>
        <v>97</v>
      </c>
      <c r="J19" s="8">
        <f>+SUM(J17:J18)</f>
        <v>89</v>
      </c>
      <c r="L19" s="8" t="s">
        <v>146</v>
      </c>
      <c r="M19" s="8"/>
      <c r="N19" s="8"/>
    </row>
    <row r="20" spans="1:14" x14ac:dyDescent="0.3">
      <c r="A20" s="8" t="s">
        <v>140</v>
      </c>
      <c r="B20" s="12">
        <f>+(F10+F11)/I14</f>
        <v>1.2325581395348837</v>
      </c>
      <c r="C20" s="12">
        <f>+(G10+G11)/J14</f>
        <v>1.0487804878048781</v>
      </c>
      <c r="E20" s="8" t="s">
        <v>90</v>
      </c>
      <c r="F20" s="8">
        <v>-22</v>
      </c>
      <c r="G20" s="8">
        <v>-21</v>
      </c>
      <c r="H20" s="8" t="s">
        <v>91</v>
      </c>
      <c r="I20" s="8">
        <v>8</v>
      </c>
      <c r="J20" s="8">
        <v>8</v>
      </c>
      <c r="L20" s="8" t="s">
        <v>147</v>
      </c>
      <c r="M20" s="39"/>
      <c r="N20" s="8"/>
    </row>
    <row r="21" spans="1:14" x14ac:dyDescent="0.3">
      <c r="A21" s="8" t="s">
        <v>141</v>
      </c>
      <c r="B21" s="12">
        <f>+(F10/I14)</f>
        <v>0.81395348837209303</v>
      </c>
      <c r="C21" s="12">
        <f>+(G10/J14)</f>
        <v>0.68292682926829273</v>
      </c>
      <c r="E21" s="10" t="s">
        <v>92</v>
      </c>
      <c r="F21" s="10">
        <f>+SUM(F17:F20)</f>
        <v>65</v>
      </c>
      <c r="G21" s="10">
        <f>+SUM(G17:G20)</f>
        <v>73</v>
      </c>
      <c r="H21" s="8" t="s">
        <v>93</v>
      </c>
      <c r="I21" s="8">
        <v>2</v>
      </c>
      <c r="J21" s="8">
        <v>3</v>
      </c>
      <c r="L21" s="8" t="s">
        <v>148</v>
      </c>
      <c r="M21" s="8"/>
      <c r="N21" s="8"/>
    </row>
    <row r="22" spans="1:14" x14ac:dyDescent="0.3">
      <c r="A22" s="9" t="s">
        <v>142</v>
      </c>
      <c r="B22" s="12"/>
      <c r="C22" s="12"/>
      <c r="E22" s="8" t="s">
        <v>94</v>
      </c>
      <c r="F22" s="8">
        <v>20</v>
      </c>
      <c r="G22" s="8">
        <v>20</v>
      </c>
      <c r="H22" s="11" t="s">
        <v>95</v>
      </c>
      <c r="I22" s="11">
        <f>+SUM(I19:I21)</f>
        <v>107</v>
      </c>
      <c r="J22" s="11">
        <f>+SUM(J19:J21)</f>
        <v>100</v>
      </c>
      <c r="L22" s="8" t="s">
        <v>149</v>
      </c>
      <c r="M22" s="8"/>
      <c r="N22" s="39"/>
    </row>
    <row r="23" spans="1:14" x14ac:dyDescent="0.3">
      <c r="A23" s="8" t="s">
        <v>143</v>
      </c>
      <c r="B23" s="12">
        <f>+(F30/365)</f>
        <v>0.68493150684931503</v>
      </c>
      <c r="C23" s="12">
        <f>+(G30/365)</f>
        <v>0.49315068493150682</v>
      </c>
      <c r="E23" s="8" t="s">
        <v>96</v>
      </c>
      <c r="F23" s="8">
        <v>24</v>
      </c>
      <c r="G23" s="8">
        <v>18</v>
      </c>
      <c r="H23" s="8"/>
      <c r="I23" s="8"/>
      <c r="J23" s="8"/>
      <c r="L23" s="8" t="s">
        <v>150</v>
      </c>
      <c r="M23" s="8"/>
      <c r="N23" s="8"/>
    </row>
    <row r="24" spans="1:14" x14ac:dyDescent="0.3">
      <c r="A24" s="8" t="s">
        <v>144</v>
      </c>
      <c r="B24" s="12">
        <f>+(F11/B23)</f>
        <v>26.28</v>
      </c>
      <c r="C24" s="12">
        <f>+(G11/C23)</f>
        <v>30.416666666666668</v>
      </c>
      <c r="E24" s="11" t="s">
        <v>97</v>
      </c>
      <c r="F24" s="11">
        <f>+SUM(F21:F23)</f>
        <v>109</v>
      </c>
      <c r="G24" s="11">
        <f>+SUM(G21:G23)</f>
        <v>111</v>
      </c>
      <c r="H24" s="10" t="s">
        <v>98</v>
      </c>
      <c r="I24" s="10">
        <f>+(I14+I22)</f>
        <v>150</v>
      </c>
      <c r="J24" s="10">
        <f>+(J14+J22)</f>
        <v>141</v>
      </c>
      <c r="L24" s="8" t="s">
        <v>151</v>
      </c>
      <c r="M24" s="8"/>
      <c r="N24" s="8"/>
    </row>
    <row r="25" spans="1:14" x14ac:dyDescent="0.3">
      <c r="A25" s="8" t="s">
        <v>145</v>
      </c>
      <c r="B25" s="12">
        <f>+-(F31/365)</f>
        <v>0.49315068493150682</v>
      </c>
      <c r="C25" s="12">
        <f>+-(G31/365)</f>
        <v>0.41095890410958902</v>
      </c>
      <c r="H25" s="10" t="s">
        <v>99</v>
      </c>
      <c r="I25" s="10">
        <f>+(F26-I24)</f>
        <v>27</v>
      </c>
      <c r="J25" s="10">
        <f>+(G26-J24)</f>
        <v>26</v>
      </c>
      <c r="L25" s="8" t="s">
        <v>153</v>
      </c>
      <c r="M25" s="8">
        <f>+I19/I25</f>
        <v>3.5925925925925926</v>
      </c>
      <c r="N25" s="8">
        <v>5.45</v>
      </c>
    </row>
    <row r="26" spans="1:14" x14ac:dyDescent="0.3">
      <c r="A26" s="8" t="s">
        <v>146</v>
      </c>
      <c r="B26" s="12">
        <f>+(I10/B25)</f>
        <v>56.777777777777779</v>
      </c>
      <c r="C26" s="12">
        <f>+(J10/C25)</f>
        <v>68.13333333333334</v>
      </c>
      <c r="E26" s="10" t="s">
        <v>100</v>
      </c>
      <c r="F26" s="10">
        <f>+(F14+F24)</f>
        <v>177</v>
      </c>
      <c r="G26" s="10">
        <f>+(G14+G24)</f>
        <v>167</v>
      </c>
      <c r="H26" s="8" t="s">
        <v>101</v>
      </c>
      <c r="I26" s="10">
        <f>+SUM(I24:I25)</f>
        <v>177</v>
      </c>
      <c r="J26" s="10">
        <f>+SUM(J24:J25)</f>
        <v>167</v>
      </c>
      <c r="L26" s="8" t="s">
        <v>154</v>
      </c>
      <c r="M26" s="8"/>
      <c r="N26" s="8"/>
    </row>
    <row r="27" spans="1:14" x14ac:dyDescent="0.3">
      <c r="A27" s="8" t="s">
        <v>147</v>
      </c>
      <c r="B27" s="12">
        <f>+(F12/B25)</f>
        <v>22.305555555555557</v>
      </c>
      <c r="C27" s="12">
        <f>+(G12/C25)</f>
        <v>26.766666666666669</v>
      </c>
      <c r="E27"/>
      <c r="H27" s="8"/>
      <c r="I27" s="8"/>
      <c r="J27" s="8"/>
      <c r="L27" s="8" t="s">
        <v>157</v>
      </c>
      <c r="M27" s="8">
        <f>+F47/F44</f>
        <v>3.4883720930232558</v>
      </c>
      <c r="N27" s="8">
        <v>4.87</v>
      </c>
    </row>
    <row r="28" spans="1:14" x14ac:dyDescent="0.3">
      <c r="A28" s="8" t="s">
        <v>148</v>
      </c>
      <c r="B28" s="12">
        <f>+(F30/F11)</f>
        <v>13.888888888888889</v>
      </c>
      <c r="C28" s="12">
        <f>+(G30/G11)</f>
        <v>12</v>
      </c>
      <c r="E28" s="9" t="s">
        <v>205</v>
      </c>
      <c r="H28" s="9" t="s">
        <v>206</v>
      </c>
      <c r="I28" s="8"/>
      <c r="J28" s="8"/>
      <c r="L28" s="8" t="s">
        <v>158</v>
      </c>
      <c r="M28" s="8">
        <f>+(F43*F47)+I19-F10</f>
        <v>182</v>
      </c>
      <c r="N28" s="8"/>
    </row>
    <row r="29" spans="1:14" x14ac:dyDescent="0.3">
      <c r="A29" s="8" t="s">
        <v>149</v>
      </c>
      <c r="B29" s="12">
        <f>+-(F31/I10)</f>
        <v>6.4285714285714288</v>
      </c>
      <c r="C29" s="12">
        <f>+-(G31/J10)</f>
        <v>5.3571428571428568</v>
      </c>
      <c r="F29" s="8">
        <v>2023</v>
      </c>
      <c r="G29" s="8">
        <v>2022</v>
      </c>
      <c r="H29" s="8"/>
      <c r="I29" s="8">
        <v>2023</v>
      </c>
      <c r="J29" s="8">
        <v>2022</v>
      </c>
      <c r="L29" s="8" t="s">
        <v>159</v>
      </c>
      <c r="M29" s="8">
        <f>+M28/F38</f>
        <v>3.7916666666666665</v>
      </c>
      <c r="N29" s="8">
        <v>6.7</v>
      </c>
    </row>
    <row r="30" spans="1:14" x14ac:dyDescent="0.3">
      <c r="A30" s="8" t="s">
        <v>150</v>
      </c>
      <c r="B30" s="12">
        <f>+-(F31/F12)</f>
        <v>16.363636363636363</v>
      </c>
      <c r="C30" s="12">
        <f>+-(G31/G12)</f>
        <v>13.636363636363637</v>
      </c>
      <c r="E30" s="8" t="s">
        <v>102</v>
      </c>
      <c r="F30" s="8">
        <v>250</v>
      </c>
      <c r="G30" s="8">
        <v>180</v>
      </c>
      <c r="H30" s="10" t="s">
        <v>103</v>
      </c>
      <c r="I30" s="8"/>
      <c r="J30" s="8"/>
      <c r="L30" s="8" t="s">
        <v>160</v>
      </c>
      <c r="M30" s="8"/>
      <c r="N30" s="8"/>
    </row>
    <row r="31" spans="1:14" x14ac:dyDescent="0.3">
      <c r="A31" s="8" t="s">
        <v>151</v>
      </c>
      <c r="B31" s="12">
        <f>+-(F38/F39)</f>
        <v>9.6</v>
      </c>
      <c r="C31" s="12">
        <f>+-(G38/G39)</f>
        <v>2.25</v>
      </c>
      <c r="E31" s="8" t="s">
        <v>104</v>
      </c>
      <c r="F31" s="8">
        <v>-180</v>
      </c>
      <c r="G31" s="8">
        <v>-150</v>
      </c>
      <c r="H31" s="8" t="s">
        <v>105</v>
      </c>
      <c r="I31" s="8">
        <f>+(F42)</f>
        <v>34.4</v>
      </c>
      <c r="J31" s="8">
        <f>+(G42)</f>
        <v>3.75</v>
      </c>
      <c r="L31" s="8" t="s">
        <v>208</v>
      </c>
      <c r="M31" s="8"/>
      <c r="N31" s="8"/>
    </row>
    <row r="32" spans="1:14" x14ac:dyDescent="0.3">
      <c r="A32" s="9" t="s">
        <v>152</v>
      </c>
      <c r="E32" s="10" t="s">
        <v>106</v>
      </c>
      <c r="F32" s="10">
        <f>+(F30+F31)</f>
        <v>70</v>
      </c>
      <c r="G32" s="10">
        <f>+(G30+G31)</f>
        <v>30</v>
      </c>
      <c r="H32" s="8" t="s">
        <v>107</v>
      </c>
      <c r="I32" s="8">
        <f>+(F35)*(-1)</f>
        <v>2</v>
      </c>
      <c r="J32" s="8">
        <f>+(G35)*(-1)</f>
        <v>2</v>
      </c>
      <c r="L32" s="8" t="s">
        <v>162</v>
      </c>
      <c r="M32" s="8">
        <f>+F42/I25</f>
        <v>1.2740740740740739</v>
      </c>
      <c r="N32" s="8">
        <v>1.03</v>
      </c>
    </row>
    <row r="33" spans="1:14" x14ac:dyDescent="0.3">
      <c r="A33" s="8" t="s">
        <v>153</v>
      </c>
      <c r="B33" s="12">
        <f>+(I24/I25)</f>
        <v>5.5555555555555554</v>
      </c>
      <c r="C33" s="12">
        <f>+(J24/J25)</f>
        <v>5.4230769230769234</v>
      </c>
      <c r="E33" s="8" t="s">
        <v>108</v>
      </c>
      <c r="F33" s="8">
        <v>-12</v>
      </c>
      <c r="G33" s="8">
        <v>-10</v>
      </c>
      <c r="H33" s="8" t="s">
        <v>109</v>
      </c>
      <c r="I33" s="8">
        <v>-0.3</v>
      </c>
      <c r="J33" s="8">
        <v>-0.2</v>
      </c>
      <c r="L33" s="8" t="s">
        <v>163</v>
      </c>
      <c r="M33" s="8"/>
      <c r="N33" s="8"/>
    </row>
    <row r="34" spans="1:14" x14ac:dyDescent="0.3">
      <c r="A34" s="8" t="s">
        <v>154</v>
      </c>
      <c r="B34" s="12">
        <f>+I24/(I25+I24)</f>
        <v>0.84745762711864403</v>
      </c>
      <c r="C34" s="12">
        <f>+J24/(J25+J24)</f>
        <v>0.84431137724550898</v>
      </c>
      <c r="E34" s="8" t="s">
        <v>110</v>
      </c>
      <c r="F34" s="8">
        <v>-9</v>
      </c>
      <c r="G34" s="8">
        <v>-9</v>
      </c>
      <c r="H34" s="8" t="s">
        <v>111</v>
      </c>
      <c r="I34" s="8"/>
      <c r="J34" s="8"/>
      <c r="M34" s="8"/>
      <c r="N34" s="8"/>
    </row>
    <row r="35" spans="1:14" x14ac:dyDescent="0.3">
      <c r="A35" s="9" t="s">
        <v>155</v>
      </c>
      <c r="E35" s="8" t="s">
        <v>112</v>
      </c>
      <c r="F35" s="8">
        <v>-2</v>
      </c>
      <c r="G35" s="8">
        <v>-2</v>
      </c>
      <c r="H35" s="8" t="s">
        <v>74</v>
      </c>
      <c r="I35" s="8">
        <f>+-(F11-G11)</f>
        <v>-3</v>
      </c>
      <c r="J35" s="8">
        <v>-2</v>
      </c>
      <c r="M35" s="8"/>
      <c r="N35" s="8"/>
    </row>
    <row r="36" spans="1:14" x14ac:dyDescent="0.3">
      <c r="A36" s="8" t="s">
        <v>156</v>
      </c>
      <c r="B36" s="8">
        <v>22</v>
      </c>
      <c r="C36" s="8">
        <v>14</v>
      </c>
      <c r="E36" s="10" t="s">
        <v>113</v>
      </c>
      <c r="F36" s="10">
        <f>+SUM(F32:F35)</f>
        <v>47</v>
      </c>
      <c r="G36" s="10">
        <f>+SUM(G32:G35)</f>
        <v>9</v>
      </c>
      <c r="H36" s="8" t="s">
        <v>73</v>
      </c>
      <c r="I36" s="8">
        <v>0.3</v>
      </c>
      <c r="J36" s="8">
        <v>1</v>
      </c>
      <c r="L36">
        <f>+F44*N27</f>
        <v>33.505600000000001</v>
      </c>
      <c r="M36" s="8" t="s">
        <v>318</v>
      </c>
      <c r="N36" s="8" t="s">
        <v>319</v>
      </c>
    </row>
    <row r="37" spans="1:14" x14ac:dyDescent="0.3">
      <c r="A37" s="8" t="s">
        <v>260</v>
      </c>
      <c r="B37" s="8">
        <f>+(B36*5)</f>
        <v>110</v>
      </c>
      <c r="C37" s="8">
        <f>+(C36*4)</f>
        <v>56</v>
      </c>
      <c r="E37" s="8" t="s">
        <v>114</v>
      </c>
      <c r="F37" s="8">
        <v>1</v>
      </c>
      <c r="G37" s="8">
        <v>0</v>
      </c>
      <c r="H37" s="8" t="s">
        <v>115</v>
      </c>
      <c r="I37" s="8">
        <f>+-(F12-G12)</f>
        <v>0</v>
      </c>
      <c r="J37" s="8"/>
      <c r="M37" s="8"/>
      <c r="N37" s="8"/>
    </row>
    <row r="38" spans="1:14" x14ac:dyDescent="0.3">
      <c r="A38" s="8" t="s">
        <v>157</v>
      </c>
      <c r="B38" s="12">
        <f>+(B36/F44)</f>
        <v>3.1976744186046511</v>
      </c>
      <c r="C38" s="12">
        <f>+(C36/G44)</f>
        <v>14.933333333333334</v>
      </c>
      <c r="E38" s="10" t="s">
        <v>116</v>
      </c>
      <c r="F38" s="10">
        <f>+F36+F37</f>
        <v>48</v>
      </c>
      <c r="G38" s="10">
        <f>+G36+G37</f>
        <v>9</v>
      </c>
      <c r="H38" s="10" t="s">
        <v>117</v>
      </c>
      <c r="I38" s="10">
        <f>+SUM(I31:I37)</f>
        <v>33.4</v>
      </c>
      <c r="J38" s="10">
        <f>+SUM(J31:J37)</f>
        <v>4.55</v>
      </c>
      <c r="N38" s="10"/>
    </row>
    <row r="39" spans="1:14" x14ac:dyDescent="0.3">
      <c r="A39" s="8" t="s">
        <v>158</v>
      </c>
      <c r="B39" s="12">
        <f>+(B37+I24-F10)</f>
        <v>225</v>
      </c>
      <c r="C39" s="12">
        <f>+(C37+J24-G10)</f>
        <v>169</v>
      </c>
      <c r="E39" s="8" t="s">
        <v>118</v>
      </c>
      <c r="F39" s="8">
        <v>-5</v>
      </c>
      <c r="G39" s="8">
        <v>-4</v>
      </c>
      <c r="H39" s="8" t="s">
        <v>119</v>
      </c>
      <c r="I39" s="8"/>
      <c r="J39" s="8"/>
      <c r="N39" s="8"/>
    </row>
    <row r="40" spans="1:14" x14ac:dyDescent="0.3">
      <c r="A40" s="8" t="s">
        <v>159</v>
      </c>
      <c r="B40" s="12">
        <f>+(B39/F38)</f>
        <v>4.6875</v>
      </c>
      <c r="C40" s="12">
        <f>+(C39/G38)</f>
        <v>18.777777777777779</v>
      </c>
      <c r="E40" s="10" t="s">
        <v>120</v>
      </c>
      <c r="F40" s="10">
        <f>+F38+F39</f>
        <v>43</v>
      </c>
      <c r="G40" s="10">
        <f>+G38+G39</f>
        <v>5</v>
      </c>
      <c r="H40" s="8" t="s">
        <v>121</v>
      </c>
      <c r="I40" s="8">
        <v>-11.2</v>
      </c>
      <c r="J40" s="8">
        <v>-8.1</v>
      </c>
      <c r="N40" s="8"/>
    </row>
    <row r="41" spans="1:14" x14ac:dyDescent="0.3">
      <c r="A41" s="8" t="s">
        <v>160</v>
      </c>
      <c r="B41" s="12">
        <f>+(B39/F30)</f>
        <v>0.9</v>
      </c>
      <c r="C41" s="12">
        <f>+(C39/G30)</f>
        <v>0.93888888888888888</v>
      </c>
      <c r="E41" s="8" t="s">
        <v>259</v>
      </c>
      <c r="F41" s="8">
        <f>+((F40*0.2))</f>
        <v>8.6</v>
      </c>
      <c r="G41" s="8">
        <f>+((G40*0.25))</f>
        <v>1.25</v>
      </c>
      <c r="H41" s="8" t="s">
        <v>122</v>
      </c>
      <c r="I41" s="8">
        <v>-3</v>
      </c>
      <c r="J41" s="8">
        <v>0</v>
      </c>
      <c r="L41" s="8"/>
      <c r="M41" s="8"/>
      <c r="N41" s="8"/>
    </row>
    <row r="42" spans="1:14" x14ac:dyDescent="0.3">
      <c r="A42" s="8" t="s">
        <v>208</v>
      </c>
      <c r="B42" s="12">
        <f>+B37/I25</f>
        <v>4.0740740740740744</v>
      </c>
      <c r="C42" s="8">
        <f>+C37/J25</f>
        <v>2.1538461538461537</v>
      </c>
      <c r="E42" s="10" t="s">
        <v>123</v>
      </c>
      <c r="F42" s="8">
        <f>+F40-F41</f>
        <v>34.4</v>
      </c>
      <c r="G42" s="8">
        <f>+G40-G41</f>
        <v>3.75</v>
      </c>
      <c r="H42" s="10" t="s">
        <v>124</v>
      </c>
      <c r="I42" s="10">
        <f>+I40+I41</f>
        <v>-14.2</v>
      </c>
      <c r="J42" s="10">
        <f>+J40+J41</f>
        <v>-8.1</v>
      </c>
      <c r="L42" s="10"/>
      <c r="M42" s="10"/>
      <c r="N42" s="10"/>
    </row>
    <row r="43" spans="1:14" x14ac:dyDescent="0.3">
      <c r="A43" s="9" t="s">
        <v>161</v>
      </c>
      <c r="E43" s="8" t="s">
        <v>125</v>
      </c>
      <c r="F43" s="8">
        <v>5</v>
      </c>
      <c r="G43" s="8">
        <v>4</v>
      </c>
      <c r="H43" s="8" t="s">
        <v>126</v>
      </c>
      <c r="I43" s="8"/>
      <c r="J43" s="8"/>
      <c r="L43" s="8"/>
      <c r="M43" s="8"/>
      <c r="N43" s="8"/>
    </row>
    <row r="44" spans="1:14" x14ac:dyDescent="0.3">
      <c r="A44" s="8" t="s">
        <v>162</v>
      </c>
      <c r="B44" s="12">
        <f>+(F42/I25)*100</f>
        <v>127.40740740740739</v>
      </c>
      <c r="C44" s="12">
        <f>+(G42/J25)*100</f>
        <v>14.423076923076922</v>
      </c>
      <c r="E44" s="10" t="s">
        <v>127</v>
      </c>
      <c r="F44" s="10">
        <f>+(F42/F43)</f>
        <v>6.88</v>
      </c>
      <c r="G44" s="10">
        <f>+(G42/G43)</f>
        <v>0.9375</v>
      </c>
      <c r="H44" s="8" t="s">
        <v>128</v>
      </c>
      <c r="I44" s="8">
        <f>+(F42/2)</f>
        <v>17.2</v>
      </c>
      <c r="J44" s="8">
        <f>+(G42/2)</f>
        <v>1.875</v>
      </c>
      <c r="L44" s="8"/>
      <c r="M44" s="8"/>
      <c r="N44" s="8"/>
    </row>
    <row r="45" spans="1:14" x14ac:dyDescent="0.3">
      <c r="A45" s="8" t="s">
        <v>163</v>
      </c>
      <c r="B45" s="12">
        <f>+((F42+F39)/F26)*100</f>
        <v>16.610169491525422</v>
      </c>
      <c r="C45" s="12">
        <f>+((G42+G39)/G26)*100</f>
        <v>-0.14970059880239522</v>
      </c>
      <c r="E45"/>
      <c r="H45" s="8" t="s">
        <v>129</v>
      </c>
      <c r="I45" s="8">
        <v>0</v>
      </c>
      <c r="J45" s="8">
        <v>0</v>
      </c>
      <c r="L45" s="8"/>
      <c r="M45" s="8"/>
      <c r="N45" s="8"/>
    </row>
    <row r="46" spans="1:14" x14ac:dyDescent="0.3">
      <c r="E46"/>
      <c r="H46" s="8" t="s">
        <v>130</v>
      </c>
      <c r="I46" s="8">
        <f>+(I19-J19)</f>
        <v>8</v>
      </c>
      <c r="J46" s="8">
        <v>7.5</v>
      </c>
      <c r="L46" s="8"/>
      <c r="M46" s="8"/>
      <c r="N46" s="8"/>
    </row>
    <row r="47" spans="1:14" x14ac:dyDescent="0.3">
      <c r="E47" s="2" t="s">
        <v>278</v>
      </c>
      <c r="F47" s="10">
        <v>24</v>
      </c>
      <c r="G47" s="10"/>
      <c r="H47" s="10" t="s">
        <v>131</v>
      </c>
      <c r="I47" s="10">
        <f>+SUM(I44:I46)</f>
        <v>25.2</v>
      </c>
      <c r="J47" s="10">
        <f>+SUM(J44:J46)</f>
        <v>9.375</v>
      </c>
      <c r="L47" s="10"/>
      <c r="M47" s="10"/>
      <c r="N47" s="10"/>
    </row>
    <row r="48" spans="1:14" x14ac:dyDescent="0.3">
      <c r="A48" s="10" t="s">
        <v>207</v>
      </c>
      <c r="H48" s="10" t="s">
        <v>132</v>
      </c>
      <c r="I48" s="10">
        <f>+(F10-G10)</f>
        <v>7</v>
      </c>
      <c r="J48" s="10">
        <v>3.3</v>
      </c>
      <c r="L48" s="10"/>
      <c r="M48" s="10"/>
      <c r="N48" s="10"/>
    </row>
    <row r="49" spans="1:14" x14ac:dyDescent="0.3">
      <c r="A49" s="10" t="s">
        <v>133</v>
      </c>
      <c r="B49" s="10">
        <v>2023</v>
      </c>
      <c r="H49" s="8"/>
      <c r="I49" s="8"/>
      <c r="J49" s="8"/>
      <c r="L49" s="8"/>
      <c r="M49" s="8"/>
      <c r="N49" s="8"/>
    </row>
    <row r="50" spans="1:14" x14ac:dyDescent="0.3">
      <c r="A50" s="8" t="s">
        <v>231</v>
      </c>
      <c r="B50" s="8">
        <v>18.2</v>
      </c>
    </row>
    <row r="51" spans="1:14" x14ac:dyDescent="0.3">
      <c r="A51" s="8" t="s">
        <v>232</v>
      </c>
      <c r="B51" s="8">
        <v>9.3000000000000007</v>
      </c>
    </row>
    <row r="52" spans="1:14" x14ac:dyDescent="0.3">
      <c r="A52" s="8" t="s">
        <v>233</v>
      </c>
      <c r="B52" s="8">
        <v>8.5</v>
      </c>
    </row>
    <row r="53" spans="1:14" x14ac:dyDescent="0.3">
      <c r="A53" s="8" t="s">
        <v>234</v>
      </c>
      <c r="B53" s="8">
        <v>6</v>
      </c>
    </row>
    <row r="54" spans="1:14" x14ac:dyDescent="0.3">
      <c r="A54" s="10" t="s">
        <v>138</v>
      </c>
      <c r="B54" s="8"/>
    </row>
    <row r="55" spans="1:14" x14ac:dyDescent="0.3">
      <c r="A55" s="8" t="s">
        <v>171</v>
      </c>
      <c r="B55" s="8">
        <v>1.62</v>
      </c>
      <c r="F55" s="16"/>
    </row>
    <row r="56" spans="1:14" x14ac:dyDescent="0.3">
      <c r="A56" s="8" t="s">
        <v>172</v>
      </c>
      <c r="B56" s="8">
        <v>1.23</v>
      </c>
    </row>
    <row r="57" spans="1:14" x14ac:dyDescent="0.3">
      <c r="A57" s="8" t="s">
        <v>141</v>
      </c>
      <c r="B57" s="8">
        <v>0.87</v>
      </c>
    </row>
    <row r="58" spans="1:14" x14ac:dyDescent="0.3">
      <c r="A58" s="10" t="s">
        <v>142</v>
      </c>
      <c r="B58" s="8"/>
    </row>
    <row r="59" spans="1:14" x14ac:dyDescent="0.3">
      <c r="A59" s="8" t="s">
        <v>186</v>
      </c>
      <c r="B59" s="8">
        <v>41</v>
      </c>
    </row>
    <row r="60" spans="1:14" x14ac:dyDescent="0.3">
      <c r="A60" s="8" t="s">
        <v>185</v>
      </c>
      <c r="B60" s="8">
        <v>0.9</v>
      </c>
      <c r="F60" s="12"/>
    </row>
    <row r="61" spans="1:14" x14ac:dyDescent="0.3">
      <c r="A61" s="8" t="s">
        <v>173</v>
      </c>
      <c r="B61" s="8">
        <v>35</v>
      </c>
    </row>
    <row r="62" spans="1:14" x14ac:dyDescent="0.3">
      <c r="A62" s="8" t="s">
        <v>230</v>
      </c>
      <c r="B62" s="8">
        <v>50</v>
      </c>
      <c r="E62" s="9"/>
    </row>
    <row r="63" spans="1:14" x14ac:dyDescent="0.3">
      <c r="A63" s="8" t="s">
        <v>174</v>
      </c>
      <c r="B63" s="8">
        <v>12</v>
      </c>
      <c r="E63" s="9"/>
    </row>
    <row r="64" spans="1:14" x14ac:dyDescent="0.3">
      <c r="A64" s="8" t="s">
        <v>175</v>
      </c>
      <c r="B64" s="8">
        <v>6.2</v>
      </c>
    </row>
    <row r="65" spans="1:2" x14ac:dyDescent="0.3">
      <c r="A65" s="8" t="s">
        <v>176</v>
      </c>
      <c r="B65" s="8">
        <v>12</v>
      </c>
    </row>
    <row r="66" spans="1:2" x14ac:dyDescent="0.3">
      <c r="A66" s="8" t="s">
        <v>187</v>
      </c>
      <c r="B66" s="8">
        <v>6</v>
      </c>
    </row>
    <row r="67" spans="1:2" x14ac:dyDescent="0.3">
      <c r="A67" s="10" t="s">
        <v>152</v>
      </c>
      <c r="B67" s="8"/>
    </row>
    <row r="68" spans="1:2" x14ac:dyDescent="0.3">
      <c r="A68" s="8" t="s">
        <v>177</v>
      </c>
      <c r="B68" s="8">
        <v>1.5</v>
      </c>
    </row>
    <row r="69" spans="1:2" x14ac:dyDescent="0.3">
      <c r="A69" s="8" t="s">
        <v>178</v>
      </c>
      <c r="B69" s="8">
        <v>0.45</v>
      </c>
    </row>
    <row r="70" spans="1:2" x14ac:dyDescent="0.3">
      <c r="A70" s="10" t="s">
        <v>155</v>
      </c>
      <c r="B70" s="8"/>
    </row>
    <row r="71" spans="1:2" x14ac:dyDescent="0.3">
      <c r="A71" s="8" t="s">
        <v>179</v>
      </c>
      <c r="B71" s="8">
        <v>9</v>
      </c>
    </row>
    <row r="72" spans="1:2" x14ac:dyDescent="0.3">
      <c r="A72" s="8" t="s">
        <v>184</v>
      </c>
      <c r="B72" s="8">
        <v>2</v>
      </c>
    </row>
    <row r="73" spans="1:2" x14ac:dyDescent="0.3">
      <c r="A73" s="8" t="s">
        <v>180</v>
      </c>
      <c r="B73" s="8">
        <v>9.5</v>
      </c>
    </row>
    <row r="74" spans="1:2" x14ac:dyDescent="0.3">
      <c r="A74" s="8" t="s">
        <v>181</v>
      </c>
      <c r="B74" s="8">
        <v>0.9</v>
      </c>
    </row>
    <row r="75" spans="1:2" x14ac:dyDescent="0.3">
      <c r="A75" s="10" t="s">
        <v>161</v>
      </c>
      <c r="B75" s="8"/>
    </row>
    <row r="76" spans="1:2" x14ac:dyDescent="0.3">
      <c r="A76" s="8" t="s">
        <v>182</v>
      </c>
      <c r="B76" s="8">
        <v>20.2</v>
      </c>
    </row>
    <row r="77" spans="1:2" x14ac:dyDescent="0.3">
      <c r="A77" s="8" t="s">
        <v>183</v>
      </c>
      <c r="B77" s="8">
        <v>9.5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Stocks</vt:lpstr>
      <vt:lpstr>BONDS</vt:lpstr>
      <vt:lpstr>Q3 - SWAPS</vt:lpstr>
      <vt:lpstr>Q4 - BUDGETING </vt:lpstr>
      <vt:lpstr>Q5 - RATIOS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Σπυρος</dc:creator>
  <cp:lastModifiedBy>SPYRIDON SPYROU</cp:lastModifiedBy>
  <dcterms:created xsi:type="dcterms:W3CDTF">2017-11-21T16:45:51Z</dcterms:created>
  <dcterms:modified xsi:type="dcterms:W3CDTF">2025-11-22T10:06:09Z</dcterms:modified>
</cp:coreProperties>
</file>