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activeTab="1"/>
  </bookViews>
  <sheets>
    <sheet name="CashFlows" sheetId="1" r:id="rId1"/>
    <sheet name="Daneio" sheetId="2" r:id="rId2"/>
    <sheet name="Sheet2" sheetId="3" r:id="rId3"/>
    <sheet name="Sheet3" sheetId="4" r:id="rId4"/>
  </sheets>
  <definedNames/>
  <calcPr fullCalcOnLoad="1" iterate="1" iterateCount="10" iterateDelta="0.001"/>
</workbook>
</file>

<file path=xl/sharedStrings.xml><?xml version="1.0" encoding="utf-8"?>
<sst xmlns="http://schemas.openxmlformats.org/spreadsheetml/2006/main" count="57" uniqueCount="37">
  <si>
    <t>Χρηματορροές Επένδυσης</t>
  </si>
  <si>
    <t>Παράμετροι</t>
  </si>
  <si>
    <t xml:space="preserve">Ετη Απόσβεσης </t>
  </si>
  <si>
    <t>Αυξηση Πωλουμένων</t>
  </si>
  <si>
    <t xml:space="preserve">Φορολογικός συντελ. </t>
  </si>
  <si>
    <t>Αυξηση Μεταβλ. Εξόδων</t>
  </si>
  <si>
    <t xml:space="preserve">Ποσό απόσβεσης </t>
  </si>
  <si>
    <t>Αύξηση Τιμής σε €</t>
  </si>
  <si>
    <t>Αρχική τιμή €/τεμ.</t>
  </si>
  <si>
    <t>ΑρχικάΜεταβλητά έξοδα €/τεμ.</t>
  </si>
  <si>
    <t>Πάγια έξοδα - χιλ. €</t>
  </si>
  <si>
    <t>Ετήσια Απόσβεση</t>
  </si>
  <si>
    <t>Περίοδος</t>
  </si>
  <si>
    <t>Πωλήσεις ( χιλ. τεμάχια)</t>
  </si>
  <si>
    <t>Τιμή Πώλησης</t>
  </si>
  <si>
    <t>Εσοδα (χιλ. €)</t>
  </si>
  <si>
    <t>Μεταβλ. Έξοδα (€/τεμάχιο)</t>
  </si>
  <si>
    <t>Συνολικά Έξοδα   (Χιλ. €)</t>
  </si>
  <si>
    <t>Αποσβέσεις</t>
  </si>
  <si>
    <t>Φορολ. Κέρδη</t>
  </si>
  <si>
    <t>Φόρος</t>
  </si>
  <si>
    <t>Χρηματορροή</t>
  </si>
  <si>
    <t>Δαπάνη επένυσης</t>
  </si>
  <si>
    <t>Δάνειο - Χρωλύσια</t>
  </si>
  <si>
    <t>Τόκοι Δανείου</t>
  </si>
  <si>
    <t>Επιτόκιο</t>
  </si>
  <si>
    <t>Ετη αποπλ. Δανείου</t>
  </si>
  <si>
    <t>Ύψος δανείου</t>
  </si>
  <si>
    <t>Υψος Επένδυσης</t>
  </si>
  <si>
    <t>Υπόλοιπο Δανείου</t>
  </si>
  <si>
    <t>Πωλήσεις  ( χιλ. τεμάχια)</t>
  </si>
  <si>
    <t>Καθαρά Έσοδα προ φόρων, αποσβέσεων κλπ</t>
  </si>
  <si>
    <t>Τοκοχρωλύσια</t>
  </si>
  <si>
    <t>Επιτόκιο προεξόφλησης</t>
  </si>
  <si>
    <t>Αποτελέσματα</t>
  </si>
  <si>
    <t>Απόδοση - IRR</t>
  </si>
  <si>
    <t>Καθαρά παρούσα αξία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</si>
</sst>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%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9" fontId="0" fillId="33" borderId="14" xfId="0" applyNumberFormat="1" applyFill="1" applyBorder="1" applyAlignment="1">
      <alignment/>
    </xf>
    <xf numFmtId="9" fontId="0" fillId="33" borderId="0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0" xfId="0" applyNumberFormat="1" applyFill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ill="1" applyBorder="1" applyAlignment="1">
      <alignment/>
    </xf>
    <xf numFmtId="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2" fontId="0" fillId="3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0" fontId="0" fillId="3" borderId="0" xfId="0" applyNumberFormat="1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2" fontId="0" fillId="0" borderId="14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5"/>
  <sheetViews>
    <sheetView zoomScalePageLayoutView="0" workbookViewId="0" topLeftCell="A1">
      <selection activeCell="F27" sqref="F27"/>
    </sheetView>
  </sheetViews>
  <sheetFormatPr defaultColWidth="9.140625" defaultRowHeight="12.75"/>
  <cols>
    <col min="3" max="3" width="10.28125" style="0" customWidth="1"/>
    <col min="4" max="4" width="10.8515625" style="0" customWidth="1"/>
    <col min="5" max="5" width="10.57421875" style="0" customWidth="1"/>
    <col min="6" max="6" width="11.28125" style="0" customWidth="1"/>
    <col min="7" max="7" width="16.7109375" style="0" customWidth="1"/>
    <col min="8" max="8" width="13.140625" style="0" customWidth="1"/>
    <col min="9" max="9" width="11.28125" style="0" customWidth="1"/>
    <col min="11" max="11" width="10.140625" style="0" customWidth="1"/>
  </cols>
  <sheetData>
    <row r="3" ht="15">
      <c r="D3" s="1" t="s">
        <v>0</v>
      </c>
    </row>
    <row r="5" spans="2:8" ht="15">
      <c r="B5" s="2" t="s">
        <v>1</v>
      </c>
      <c r="C5" s="3"/>
      <c r="D5" s="3"/>
      <c r="E5" s="3"/>
      <c r="F5" s="3"/>
      <c r="G5" s="3"/>
      <c r="H5" s="4"/>
    </row>
    <row r="6" spans="2:8" ht="12.75">
      <c r="B6" s="5" t="s">
        <v>2</v>
      </c>
      <c r="C6" s="6"/>
      <c r="D6" s="7">
        <v>5</v>
      </c>
      <c r="E6" s="6"/>
      <c r="F6" s="6" t="s">
        <v>3</v>
      </c>
      <c r="G6" s="6"/>
      <c r="H6" s="8">
        <v>0.02</v>
      </c>
    </row>
    <row r="7" spans="2:8" ht="12.75">
      <c r="B7" s="5" t="s">
        <v>4</v>
      </c>
      <c r="C7" s="6"/>
      <c r="D7" s="9">
        <v>0.35</v>
      </c>
      <c r="E7" s="6"/>
      <c r="F7" s="6" t="s">
        <v>5</v>
      </c>
      <c r="G7" s="6"/>
      <c r="H7" s="8">
        <v>0.03</v>
      </c>
    </row>
    <row r="8" spans="2:8" ht="12.75">
      <c r="B8" s="5" t="s">
        <v>6</v>
      </c>
      <c r="C8" s="6"/>
      <c r="D8" s="7">
        <v>1000</v>
      </c>
      <c r="E8" s="6"/>
      <c r="F8" s="6" t="s">
        <v>7</v>
      </c>
      <c r="G8" s="6"/>
      <c r="H8" s="10">
        <v>1</v>
      </c>
    </row>
    <row r="9" spans="2:8" ht="12.75">
      <c r="B9" s="5" t="s">
        <v>8</v>
      </c>
      <c r="C9" s="6"/>
      <c r="D9" s="7">
        <v>60</v>
      </c>
      <c r="E9" s="6"/>
      <c r="F9" s="6" t="s">
        <v>9</v>
      </c>
      <c r="G9" s="6"/>
      <c r="H9" s="10">
        <v>25</v>
      </c>
    </row>
    <row r="10" spans="2:8" ht="12.75">
      <c r="B10" s="5"/>
      <c r="C10" s="6"/>
      <c r="D10" s="6"/>
      <c r="E10" s="6"/>
      <c r="F10" s="6" t="s">
        <v>10</v>
      </c>
      <c r="G10" s="6"/>
      <c r="H10" s="10">
        <v>200</v>
      </c>
    </row>
    <row r="11" spans="2:8" ht="12.75">
      <c r="B11" s="11"/>
      <c r="C11" s="12"/>
      <c r="D11" s="12"/>
      <c r="E11" s="12"/>
      <c r="F11" s="12"/>
      <c r="G11" s="12"/>
      <c r="H11" s="13"/>
    </row>
    <row r="12" spans="2:4" ht="12.75">
      <c r="B12" s="14" t="s">
        <v>11</v>
      </c>
      <c r="C12" s="6"/>
      <c r="D12" s="15">
        <f>D8/D6</f>
        <v>200</v>
      </c>
    </row>
    <row r="13" spans="2:11" ht="56.25" customHeight="1" thickBot="1">
      <c r="B13" s="16" t="s">
        <v>12</v>
      </c>
      <c r="C13" s="16" t="s">
        <v>13</v>
      </c>
      <c r="D13" s="16" t="s">
        <v>14</v>
      </c>
      <c r="E13" s="16" t="s">
        <v>15</v>
      </c>
      <c r="F13" s="16" t="s">
        <v>16</v>
      </c>
      <c r="G13" s="16" t="s">
        <v>17</v>
      </c>
      <c r="H13" s="16" t="s">
        <v>18</v>
      </c>
      <c r="I13" s="16" t="s">
        <v>19</v>
      </c>
      <c r="J13" s="16" t="s">
        <v>20</v>
      </c>
      <c r="K13" s="16" t="s">
        <v>21</v>
      </c>
    </row>
    <row r="14" spans="2:11" ht="12.75">
      <c r="B14">
        <v>2008</v>
      </c>
      <c r="C14" s="17">
        <v>10</v>
      </c>
      <c r="D14" s="17">
        <f>D9</f>
        <v>60</v>
      </c>
      <c r="E14" s="17">
        <f>D14*C14</f>
        <v>600</v>
      </c>
      <c r="F14" s="17">
        <f>H9</f>
        <v>25</v>
      </c>
      <c r="G14" s="17">
        <f aca="true" t="shared" si="0" ref="G14:G25">$H$10+F14*C14</f>
        <v>450</v>
      </c>
      <c r="H14" s="17">
        <f aca="true" t="shared" si="1" ref="H14:H25">IF(B14-$B$14+1&gt;$D$6,0,$D$12)</f>
        <v>200</v>
      </c>
      <c r="I14" s="17">
        <f>E14-G14-H14</f>
        <v>-50</v>
      </c>
      <c r="J14" s="17">
        <f>IF(I14&lt;0,0,I14*$D$7)</f>
        <v>0</v>
      </c>
      <c r="K14" s="17">
        <f>E14-G14-J14</f>
        <v>150</v>
      </c>
    </row>
    <row r="15" spans="2:11" ht="12.75">
      <c r="B15">
        <f aca="true" t="shared" si="2" ref="B15:B25">B14+1</f>
        <v>2009</v>
      </c>
      <c r="C15" s="17">
        <f>C14*(1+$H$6)</f>
        <v>10.2</v>
      </c>
      <c r="D15" s="17">
        <f>D14+$H$8</f>
        <v>61</v>
      </c>
      <c r="E15" s="17">
        <f aca="true" t="shared" si="3" ref="E15:E25">D15*C15</f>
        <v>622.1999999999999</v>
      </c>
      <c r="F15" s="17">
        <f aca="true" t="shared" si="4" ref="F15:F25">F14*(1+$H$7)</f>
        <v>25.75</v>
      </c>
      <c r="G15" s="17">
        <f t="shared" si="0"/>
        <v>462.65</v>
      </c>
      <c r="H15" s="17">
        <f t="shared" si="1"/>
        <v>200</v>
      </c>
      <c r="I15" s="17">
        <f aca="true" t="shared" si="5" ref="I15:I25">E15-G15-H15</f>
        <v>-40.450000000000045</v>
      </c>
      <c r="J15" s="17">
        <f aca="true" t="shared" si="6" ref="J15:J25">IF(I15&lt;0,0,I15*$D$7)</f>
        <v>0</v>
      </c>
      <c r="K15" s="17">
        <f aca="true" t="shared" si="7" ref="K15:K25">E15-G15-J15</f>
        <v>159.54999999999995</v>
      </c>
    </row>
    <row r="16" spans="2:11" ht="12.75">
      <c r="B16">
        <f t="shared" si="2"/>
        <v>2010</v>
      </c>
      <c r="C16" s="17">
        <f aca="true" t="shared" si="8" ref="C16:C25">C15*(1+$H$6)</f>
        <v>10.404</v>
      </c>
      <c r="D16" s="17">
        <f aca="true" t="shared" si="9" ref="D16:D25">D15+$H$8</f>
        <v>62</v>
      </c>
      <c r="E16" s="17">
        <f t="shared" si="3"/>
        <v>645.048</v>
      </c>
      <c r="F16" s="17">
        <f t="shared" si="4"/>
        <v>26.5225</v>
      </c>
      <c r="G16" s="17">
        <f t="shared" si="0"/>
        <v>475.94009</v>
      </c>
      <c r="H16" s="17">
        <f t="shared" si="1"/>
        <v>200</v>
      </c>
      <c r="I16" s="17">
        <f t="shared" si="5"/>
        <v>-30.892089999999996</v>
      </c>
      <c r="J16" s="17">
        <f t="shared" si="6"/>
        <v>0</v>
      </c>
      <c r="K16" s="17">
        <f t="shared" si="7"/>
        <v>169.10791</v>
      </c>
    </row>
    <row r="17" spans="2:11" ht="12.75">
      <c r="B17">
        <f t="shared" si="2"/>
        <v>2011</v>
      </c>
      <c r="C17" s="17">
        <f t="shared" si="8"/>
        <v>10.61208</v>
      </c>
      <c r="D17" s="17">
        <f t="shared" si="9"/>
        <v>63</v>
      </c>
      <c r="E17" s="17">
        <f t="shared" si="3"/>
        <v>668.56104</v>
      </c>
      <c r="F17" s="17">
        <f t="shared" si="4"/>
        <v>27.318175</v>
      </c>
      <c r="G17" s="17">
        <f t="shared" si="0"/>
        <v>489.902658554</v>
      </c>
      <c r="H17" s="17">
        <f t="shared" si="1"/>
        <v>200</v>
      </c>
      <c r="I17" s="17">
        <f t="shared" si="5"/>
        <v>-21.34161855399998</v>
      </c>
      <c r="J17" s="17">
        <f t="shared" si="6"/>
        <v>0</v>
      </c>
      <c r="K17" s="17">
        <f t="shared" si="7"/>
        <v>178.65838144600002</v>
      </c>
    </row>
    <row r="18" spans="2:11" ht="12.75">
      <c r="B18">
        <f t="shared" si="2"/>
        <v>2012</v>
      </c>
      <c r="C18" s="17">
        <f t="shared" si="8"/>
        <v>10.824321600000001</v>
      </c>
      <c r="D18" s="17">
        <f t="shared" si="9"/>
        <v>64</v>
      </c>
      <c r="E18" s="17">
        <f t="shared" si="3"/>
        <v>692.7565824000001</v>
      </c>
      <c r="F18" s="17">
        <f t="shared" si="4"/>
        <v>28.13772025</v>
      </c>
      <c r="G18" s="17">
        <f t="shared" si="0"/>
        <v>504.57173307683246</v>
      </c>
      <c r="H18" s="17">
        <f t="shared" si="1"/>
        <v>200</v>
      </c>
      <c r="I18" s="17">
        <f t="shared" si="5"/>
        <v>-11.815150676832388</v>
      </c>
      <c r="J18" s="17">
        <f t="shared" si="6"/>
        <v>0</v>
      </c>
      <c r="K18" s="17">
        <f t="shared" si="7"/>
        <v>188.1848493231676</v>
      </c>
    </row>
    <row r="19" spans="2:11" ht="12.75">
      <c r="B19">
        <f t="shared" si="2"/>
        <v>2013</v>
      </c>
      <c r="C19" s="17">
        <f t="shared" si="8"/>
        <v>11.040808032000001</v>
      </c>
      <c r="D19" s="17">
        <f t="shared" si="9"/>
        <v>65</v>
      </c>
      <c r="E19" s="17">
        <f t="shared" si="3"/>
        <v>717.65252208</v>
      </c>
      <c r="F19" s="17">
        <f t="shared" si="4"/>
        <v>28.9818518575</v>
      </c>
      <c r="G19" s="17">
        <f t="shared" si="0"/>
        <v>519.9830627705202</v>
      </c>
      <c r="H19" s="17">
        <f t="shared" si="1"/>
        <v>0</v>
      </c>
      <c r="I19" s="17">
        <f t="shared" si="5"/>
        <v>197.66945930947986</v>
      </c>
      <c r="J19" s="17">
        <f t="shared" si="6"/>
        <v>69.18431075831795</v>
      </c>
      <c r="K19" s="17">
        <f t="shared" si="7"/>
        <v>128.4851485511619</v>
      </c>
    </row>
    <row r="20" spans="2:11" ht="12.75">
      <c r="B20">
        <f t="shared" si="2"/>
        <v>2014</v>
      </c>
      <c r="C20" s="17">
        <f t="shared" si="8"/>
        <v>11.261624192640001</v>
      </c>
      <c r="D20" s="17">
        <f t="shared" si="9"/>
        <v>66</v>
      </c>
      <c r="E20" s="17">
        <f t="shared" si="3"/>
        <v>743.2671967142401</v>
      </c>
      <c r="F20" s="17">
        <f t="shared" si="4"/>
        <v>29.851307413225</v>
      </c>
      <c r="G20" s="17">
        <f t="shared" si="0"/>
        <v>536.1742057467085</v>
      </c>
      <c r="H20" s="17">
        <f t="shared" si="1"/>
        <v>0</v>
      </c>
      <c r="I20" s="17">
        <f t="shared" si="5"/>
        <v>207.0929909675316</v>
      </c>
      <c r="J20" s="17">
        <f t="shared" si="6"/>
        <v>72.48254683863605</v>
      </c>
      <c r="K20" s="17">
        <f t="shared" si="7"/>
        <v>134.61044412889555</v>
      </c>
    </row>
    <row r="21" spans="2:11" ht="12.75">
      <c r="B21">
        <f t="shared" si="2"/>
        <v>2015</v>
      </c>
      <c r="C21" s="17">
        <f t="shared" si="8"/>
        <v>11.4868566764928</v>
      </c>
      <c r="D21" s="17">
        <f t="shared" si="9"/>
        <v>67</v>
      </c>
      <c r="E21" s="17">
        <f t="shared" si="3"/>
        <v>769.6193973250176</v>
      </c>
      <c r="F21" s="17">
        <f t="shared" si="4"/>
        <v>30.74684663562175</v>
      </c>
      <c r="G21" s="17">
        <f t="shared" si="0"/>
        <v>553.1846205574919</v>
      </c>
      <c r="H21" s="17">
        <f t="shared" si="1"/>
        <v>0</v>
      </c>
      <c r="I21" s="17">
        <f t="shared" si="5"/>
        <v>216.4347767675257</v>
      </c>
      <c r="J21" s="17">
        <f t="shared" si="6"/>
        <v>75.752171868634</v>
      </c>
      <c r="K21" s="17">
        <f t="shared" si="7"/>
        <v>140.68260489889173</v>
      </c>
    </row>
    <row r="22" spans="2:11" ht="12.75">
      <c r="B22">
        <f t="shared" si="2"/>
        <v>2016</v>
      </c>
      <c r="C22" s="17">
        <f t="shared" si="8"/>
        <v>11.716593810022657</v>
      </c>
      <c r="D22" s="17">
        <f t="shared" si="9"/>
        <v>68</v>
      </c>
      <c r="E22" s="17">
        <f t="shared" si="3"/>
        <v>796.7283790815407</v>
      </c>
      <c r="F22" s="17">
        <f t="shared" si="4"/>
        <v>31.669252034690405</v>
      </c>
      <c r="G22" s="17">
        <f t="shared" si="0"/>
        <v>571.055762357701</v>
      </c>
      <c r="H22" s="17">
        <f t="shared" si="1"/>
        <v>0</v>
      </c>
      <c r="I22" s="17">
        <f t="shared" si="5"/>
        <v>225.6726167238396</v>
      </c>
      <c r="J22" s="17">
        <f t="shared" si="6"/>
        <v>78.98541585334385</v>
      </c>
      <c r="K22" s="17">
        <f t="shared" si="7"/>
        <v>146.68720087049576</v>
      </c>
    </row>
    <row r="23" spans="2:11" ht="12.75">
      <c r="B23">
        <f t="shared" si="2"/>
        <v>2017</v>
      </c>
      <c r="C23" s="17">
        <f t="shared" si="8"/>
        <v>11.95092568622311</v>
      </c>
      <c r="D23" s="17">
        <f t="shared" si="9"/>
        <v>69</v>
      </c>
      <c r="E23" s="17">
        <f t="shared" si="3"/>
        <v>824.6138723493946</v>
      </c>
      <c r="F23" s="17">
        <f t="shared" si="4"/>
        <v>32.61932959573112</v>
      </c>
      <c r="G23" s="17">
        <f t="shared" si="0"/>
        <v>589.8311839330007</v>
      </c>
      <c r="H23" s="17">
        <f t="shared" si="1"/>
        <v>0</v>
      </c>
      <c r="I23" s="17">
        <f t="shared" si="5"/>
        <v>234.78268841639385</v>
      </c>
      <c r="J23" s="17">
        <f t="shared" si="6"/>
        <v>82.17394094573784</v>
      </c>
      <c r="K23" s="17">
        <f t="shared" si="7"/>
        <v>152.608747470656</v>
      </c>
    </row>
    <row r="24" spans="2:11" ht="12.75">
      <c r="B24">
        <f t="shared" si="2"/>
        <v>2018</v>
      </c>
      <c r="C24" s="17">
        <f t="shared" si="8"/>
        <v>12.189944199947572</v>
      </c>
      <c r="D24" s="17">
        <f t="shared" si="9"/>
        <v>70</v>
      </c>
      <c r="E24" s="17">
        <f t="shared" si="3"/>
        <v>853.29609399633</v>
      </c>
      <c r="F24" s="17">
        <f t="shared" si="4"/>
        <v>33.597909483603054</v>
      </c>
      <c r="G24" s="17">
        <f t="shared" si="0"/>
        <v>609.5566418400106</v>
      </c>
      <c r="H24" s="17">
        <f t="shared" si="1"/>
        <v>0</v>
      </c>
      <c r="I24" s="17">
        <f t="shared" si="5"/>
        <v>243.73945215631943</v>
      </c>
      <c r="J24" s="17">
        <f t="shared" si="6"/>
        <v>85.30880825471179</v>
      </c>
      <c r="K24" s="17">
        <f t="shared" si="7"/>
        <v>158.43064390160765</v>
      </c>
    </row>
    <row r="25" spans="2:11" ht="13.5" thickBot="1">
      <c r="B25" s="18">
        <f t="shared" si="2"/>
        <v>2019</v>
      </c>
      <c r="C25" s="19">
        <f t="shared" si="8"/>
        <v>12.433743083946524</v>
      </c>
      <c r="D25" s="19">
        <f t="shared" si="9"/>
        <v>71</v>
      </c>
      <c r="E25" s="19">
        <f t="shared" si="3"/>
        <v>882.7957589602032</v>
      </c>
      <c r="F25" s="19">
        <f t="shared" si="4"/>
        <v>34.60584676811115</v>
      </c>
      <c r="G25" s="19">
        <f t="shared" si="0"/>
        <v>630.2802079171151</v>
      </c>
      <c r="H25" s="19">
        <f t="shared" si="1"/>
        <v>0</v>
      </c>
      <c r="I25" s="19">
        <f t="shared" si="5"/>
        <v>252.51555104308807</v>
      </c>
      <c r="J25" s="19">
        <f t="shared" si="6"/>
        <v>88.38044286508082</v>
      </c>
      <c r="K25" s="19">
        <f t="shared" si="7"/>
        <v>164.13510817800724</v>
      </c>
    </row>
  </sheetData>
  <sheetProtection/>
  <printOptions gridLines="1" headings="1"/>
  <pageMargins left="0.75" right="0.75" top="1" bottom="1" header="0.5" footer="0.5"/>
  <pageSetup fitToHeight="1" fitToWidth="1" horizontalDpi="300" verticalDpi="3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34"/>
  <sheetViews>
    <sheetView tabSelected="1" zoomScale="80" zoomScaleNormal="80" zoomScalePageLayoutView="0" workbookViewId="0" topLeftCell="B4">
      <selection activeCell="N16" sqref="N16"/>
    </sheetView>
  </sheetViews>
  <sheetFormatPr defaultColWidth="9.140625" defaultRowHeight="12.75"/>
  <cols>
    <col min="3" max="3" width="10.28125" style="0" customWidth="1"/>
    <col min="4" max="4" width="10.8515625" style="0" customWidth="1"/>
    <col min="5" max="5" width="10.57421875" style="0" customWidth="1"/>
    <col min="6" max="6" width="11.28125" style="0" customWidth="1"/>
    <col min="7" max="7" width="10.7109375" style="0" customWidth="1"/>
    <col min="8" max="10" width="13.140625" style="0" customWidth="1"/>
    <col min="11" max="11" width="11.28125" style="0" customWidth="1"/>
    <col min="13" max="13" width="10.140625" style="0" customWidth="1"/>
  </cols>
  <sheetData>
    <row r="3" ht="15">
      <c r="D3" s="1" t="s">
        <v>0</v>
      </c>
    </row>
    <row r="5" spans="2:8" ht="15">
      <c r="B5" s="33" t="s">
        <v>1</v>
      </c>
      <c r="C5" s="34"/>
      <c r="D5" s="34"/>
      <c r="E5" s="34"/>
      <c r="F5" s="34"/>
      <c r="G5" s="34"/>
      <c r="H5" s="35"/>
    </row>
    <row r="6" spans="2:10" ht="12.75">
      <c r="B6" s="5" t="s">
        <v>2</v>
      </c>
      <c r="C6" s="6"/>
      <c r="D6" s="7">
        <v>6</v>
      </c>
      <c r="E6" s="6"/>
      <c r="F6" s="6" t="s">
        <v>3</v>
      </c>
      <c r="G6" s="6"/>
      <c r="H6" s="8">
        <v>0.02</v>
      </c>
      <c r="J6" s="20"/>
    </row>
    <row r="7" spans="2:8" ht="12.75">
      <c r="B7" s="5" t="s">
        <v>4</v>
      </c>
      <c r="C7" s="6"/>
      <c r="D7" s="9">
        <v>0.25</v>
      </c>
      <c r="E7" s="6"/>
      <c r="F7" s="6" t="s">
        <v>5</v>
      </c>
      <c r="G7" s="6"/>
      <c r="H7" s="8">
        <v>0.03</v>
      </c>
    </row>
    <row r="8" spans="2:8" ht="12.75">
      <c r="B8" s="5" t="s">
        <v>6</v>
      </c>
      <c r="C8" s="6"/>
      <c r="D8" s="7">
        <v>1000</v>
      </c>
      <c r="E8" s="6"/>
      <c r="F8" s="6" t="s">
        <v>7</v>
      </c>
      <c r="G8" s="6"/>
      <c r="H8" s="10">
        <v>1</v>
      </c>
    </row>
    <row r="9" spans="2:8" ht="12.75">
      <c r="B9" s="5" t="s">
        <v>8</v>
      </c>
      <c r="C9" s="6"/>
      <c r="D9" s="7">
        <v>100</v>
      </c>
      <c r="E9" s="6"/>
      <c r="F9" s="6" t="s">
        <v>9</v>
      </c>
      <c r="G9" s="6"/>
      <c r="H9" s="10">
        <v>25</v>
      </c>
    </row>
    <row r="10" spans="2:8" ht="12.75">
      <c r="B10" s="21" t="s">
        <v>25</v>
      </c>
      <c r="C10" s="6"/>
      <c r="D10" s="9">
        <v>0.12</v>
      </c>
      <c r="E10" s="6"/>
      <c r="F10" s="22" t="s">
        <v>26</v>
      </c>
      <c r="G10" s="6"/>
      <c r="H10" s="10">
        <v>8</v>
      </c>
    </row>
    <row r="11" spans="2:8" ht="12.75">
      <c r="B11" s="21" t="s">
        <v>27</v>
      </c>
      <c r="C11" s="6"/>
      <c r="D11" s="7">
        <v>1500</v>
      </c>
      <c r="E11" s="6"/>
      <c r="F11" s="6" t="s">
        <v>10</v>
      </c>
      <c r="G11" s="6"/>
      <c r="H11" s="10">
        <v>200</v>
      </c>
    </row>
    <row r="12" spans="2:8" ht="12.75">
      <c r="B12" s="21" t="s">
        <v>28</v>
      </c>
      <c r="C12" s="6"/>
      <c r="D12" s="7">
        <v>3000</v>
      </c>
      <c r="E12" s="6"/>
      <c r="F12" s="6"/>
      <c r="G12" s="6"/>
      <c r="H12" s="23"/>
    </row>
    <row r="13" spans="2:8" ht="12.75">
      <c r="B13" s="21" t="s">
        <v>33</v>
      </c>
      <c r="C13" s="6"/>
      <c r="D13" s="7">
        <v>0.18</v>
      </c>
      <c r="E13" s="6"/>
      <c r="F13" s="6"/>
      <c r="G13" s="6"/>
      <c r="H13" s="23"/>
    </row>
    <row r="14" spans="2:8" ht="12.75">
      <c r="B14" s="21"/>
      <c r="C14" s="6"/>
      <c r="D14" s="24"/>
      <c r="E14" s="6"/>
      <c r="F14" s="6"/>
      <c r="G14" s="6"/>
      <c r="H14" s="23"/>
    </row>
    <row r="15" spans="2:8" ht="15">
      <c r="B15" s="33" t="s">
        <v>34</v>
      </c>
      <c r="C15" s="34"/>
      <c r="D15" s="34"/>
      <c r="E15" s="34"/>
      <c r="F15" s="34"/>
      <c r="G15" s="34"/>
      <c r="H15" s="35"/>
    </row>
    <row r="16" spans="2:8" ht="45" customHeight="1">
      <c r="B16" s="26" t="s">
        <v>36</v>
      </c>
      <c r="C16" s="27"/>
      <c r="D16" s="28">
        <f>Q22+NPV(D13,Q23:Q34)</f>
        <v>-35.31060873869319</v>
      </c>
      <c r="E16" s="29"/>
      <c r="F16" s="30" t="s">
        <v>35</v>
      </c>
      <c r="G16" s="31">
        <f>IRR(Q22:Q34)</f>
        <v>0.1750999995931002</v>
      </c>
      <c r="H16" s="32"/>
    </row>
    <row r="17" spans="2:8" ht="12.75">
      <c r="B17" s="11"/>
      <c r="C17" s="12"/>
      <c r="D17" s="12"/>
      <c r="E17" s="12"/>
      <c r="F17" s="12"/>
      <c r="G17" s="12"/>
      <c r="H17" s="13"/>
    </row>
    <row r="18" spans="2:8" ht="12.75">
      <c r="B18" s="6"/>
      <c r="C18" s="6"/>
      <c r="D18" s="6"/>
      <c r="E18" s="6"/>
      <c r="F18" s="6"/>
      <c r="G18" s="6"/>
      <c r="H18" s="6"/>
    </row>
    <row r="19" spans="2:8" ht="12.75">
      <c r="B19" s="6"/>
      <c r="C19" s="6"/>
      <c r="D19" s="6"/>
      <c r="E19" s="6"/>
      <c r="F19" s="6"/>
      <c r="G19" s="6"/>
      <c r="H19" s="6"/>
    </row>
    <row r="20" spans="2:4" ht="12.75">
      <c r="B20" s="6"/>
      <c r="C20" s="6"/>
      <c r="D20" s="15"/>
    </row>
    <row r="21" spans="2:17" ht="56.25" customHeight="1" thickBot="1">
      <c r="B21" s="36" t="s">
        <v>12</v>
      </c>
      <c r="C21" s="16" t="s">
        <v>22</v>
      </c>
      <c r="D21" s="16" t="s">
        <v>23</v>
      </c>
      <c r="E21" s="16" t="s">
        <v>29</v>
      </c>
      <c r="F21" s="16" t="s">
        <v>24</v>
      </c>
      <c r="G21" s="16" t="s">
        <v>30</v>
      </c>
      <c r="H21" s="16" t="s">
        <v>14</v>
      </c>
      <c r="I21" s="16" t="s">
        <v>15</v>
      </c>
      <c r="J21" s="16" t="s">
        <v>16</v>
      </c>
      <c r="K21" s="16" t="s">
        <v>17</v>
      </c>
      <c r="L21" s="16" t="s">
        <v>31</v>
      </c>
      <c r="M21" s="16" t="s">
        <v>18</v>
      </c>
      <c r="N21" s="16" t="s">
        <v>32</v>
      </c>
      <c r="O21" s="16" t="s">
        <v>19</v>
      </c>
      <c r="P21" s="16" t="s">
        <v>20</v>
      </c>
      <c r="Q21" s="37" t="s">
        <v>21</v>
      </c>
    </row>
    <row r="22" spans="2:17" ht="12.75">
      <c r="B22" s="5">
        <v>0</v>
      </c>
      <c r="C22" s="25">
        <f>D12</f>
        <v>3000</v>
      </c>
      <c r="D22" s="25">
        <f>D11</f>
        <v>1500</v>
      </c>
      <c r="E22" s="25">
        <f>D22</f>
        <v>1500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38">
        <f>-C22+D22</f>
        <v>-1500</v>
      </c>
    </row>
    <row r="23" spans="2:17" ht="12.75">
      <c r="B23" s="5">
        <f aca="true" t="shared" si="0" ref="B23:B34">B22+1</f>
        <v>1</v>
      </c>
      <c r="C23" s="25"/>
      <c r="D23" s="25">
        <f>IF(B23&lt;=$H$10,$D$22/$H$10,0)</f>
        <v>187.5</v>
      </c>
      <c r="E23" s="25">
        <f>E22-D23</f>
        <v>1312.5</v>
      </c>
      <c r="F23" s="25">
        <f>$D$10*E22</f>
        <v>180</v>
      </c>
      <c r="G23" s="25">
        <v>10</v>
      </c>
      <c r="H23" s="25">
        <f>D9</f>
        <v>100</v>
      </c>
      <c r="I23" s="25">
        <f>H23*G23</f>
        <v>1000</v>
      </c>
      <c r="J23" s="25">
        <f>H9</f>
        <v>25</v>
      </c>
      <c r="K23" s="25">
        <f>$H$11+J23*G23</f>
        <v>450</v>
      </c>
      <c r="L23" s="25">
        <f>I23-K23</f>
        <v>550</v>
      </c>
      <c r="M23" s="25">
        <f>IF(B22-$B$22+1&gt;$D$6,0,$D$12/$D$6)</f>
        <v>500</v>
      </c>
      <c r="N23" s="25">
        <f>D23+F23</f>
        <v>367.5</v>
      </c>
      <c r="O23" s="25">
        <f>I23-K23-M23-F23</f>
        <v>-130</v>
      </c>
      <c r="P23" s="25">
        <f>IF(O23&lt;0,0,O23*$D$7)</f>
        <v>0</v>
      </c>
      <c r="Q23" s="38">
        <f>I23-K23-P23-D23-F23</f>
        <v>182.5</v>
      </c>
    </row>
    <row r="24" spans="2:17" ht="12.75">
      <c r="B24" s="5">
        <f t="shared" si="0"/>
        <v>2</v>
      </c>
      <c r="C24" s="25"/>
      <c r="D24" s="25">
        <f>IF(B24&lt;=$H$10,$D$22/$H$10,0)</f>
        <v>187.5</v>
      </c>
      <c r="E24" s="25">
        <f aca="true" t="shared" si="1" ref="E24:E34">E23-D24</f>
        <v>1125</v>
      </c>
      <c r="F24" s="25">
        <f aca="true" t="shared" si="2" ref="F24:F34">$D$10*E23</f>
        <v>157.5</v>
      </c>
      <c r="G24" s="25">
        <f>G23*(1+$H$6)</f>
        <v>10.2</v>
      </c>
      <c r="H24" s="25">
        <f>H23+$H$8</f>
        <v>101</v>
      </c>
      <c r="I24" s="25">
        <f aca="true" t="shared" si="3" ref="I24:I34">H24*G24</f>
        <v>1030.1999999999998</v>
      </c>
      <c r="J24" s="25">
        <f>J23*(1+$H$7)</f>
        <v>25.75</v>
      </c>
      <c r="K24" s="25">
        <f>$H$11+J24*G24</f>
        <v>462.65</v>
      </c>
      <c r="L24" s="25">
        <f aca="true" t="shared" si="4" ref="L24:L34">I24-K24</f>
        <v>567.5499999999998</v>
      </c>
      <c r="M24" s="25">
        <f>IF(B23-$B$22+1&gt;$D$6,0,$D$12/$D$6)</f>
        <v>500</v>
      </c>
      <c r="N24" s="25">
        <f aca="true" t="shared" si="5" ref="N24:N34">D24+F24</f>
        <v>345</v>
      </c>
      <c r="O24" s="25">
        <f>I24-K24-M24-F24</f>
        <v>-89.95000000000016</v>
      </c>
      <c r="P24" s="25">
        <f aca="true" t="shared" si="6" ref="P24:P34">IF(O24&lt;0,0,O24*$D$7)</f>
        <v>0</v>
      </c>
      <c r="Q24" s="38">
        <f>I24-K24-P24-D24-F24</f>
        <v>222.54999999999984</v>
      </c>
    </row>
    <row r="25" spans="2:17" ht="12.75">
      <c r="B25" s="5">
        <f t="shared" si="0"/>
        <v>3</v>
      </c>
      <c r="C25" s="25"/>
      <c r="D25" s="25">
        <f>IF(B25&lt;=$H$10,$D$22/$H$10,0)</f>
        <v>187.5</v>
      </c>
      <c r="E25" s="25">
        <f t="shared" si="1"/>
        <v>937.5</v>
      </c>
      <c r="F25" s="25">
        <f t="shared" si="2"/>
        <v>135</v>
      </c>
      <c r="G25" s="25">
        <f aca="true" t="shared" si="7" ref="G25:G34">G24*(1+$H$6)</f>
        <v>10.404</v>
      </c>
      <c r="H25" s="25">
        <f aca="true" t="shared" si="8" ref="H25:H34">H24+$H$8</f>
        <v>102</v>
      </c>
      <c r="I25" s="25">
        <f t="shared" si="3"/>
        <v>1061.208</v>
      </c>
      <c r="J25" s="25">
        <f aca="true" t="shared" si="9" ref="J25:J34">J24*(1+$H$7)</f>
        <v>26.5225</v>
      </c>
      <c r="K25" s="25">
        <f>$H$11+J25*G25</f>
        <v>475.94009</v>
      </c>
      <c r="L25" s="25">
        <f t="shared" si="4"/>
        <v>585.26791</v>
      </c>
      <c r="M25" s="25">
        <f>IF(B24-$B$22+1&gt;$D$6,0,$D$12/$D$6)</f>
        <v>500</v>
      </c>
      <c r="N25" s="25">
        <f t="shared" si="5"/>
        <v>322.5</v>
      </c>
      <c r="O25" s="25">
        <f>I25-K25-M25-F25</f>
        <v>-49.73208999999997</v>
      </c>
      <c r="P25" s="25">
        <f t="shared" si="6"/>
        <v>0</v>
      </c>
      <c r="Q25" s="38">
        <f>I25-K25-P25-D25-F25</f>
        <v>262.76791000000003</v>
      </c>
    </row>
    <row r="26" spans="2:17" ht="12.75">
      <c r="B26" s="5">
        <f t="shared" si="0"/>
        <v>4</v>
      </c>
      <c r="C26" s="25"/>
      <c r="D26" s="25">
        <f>IF(B26&lt;=$H$10,$D$22/$H$10,0)</f>
        <v>187.5</v>
      </c>
      <c r="E26" s="25">
        <f t="shared" si="1"/>
        <v>750</v>
      </c>
      <c r="F26" s="25">
        <f t="shared" si="2"/>
        <v>112.5</v>
      </c>
      <c r="G26" s="25">
        <f t="shared" si="7"/>
        <v>10.61208</v>
      </c>
      <c r="H26" s="25">
        <f t="shared" si="8"/>
        <v>103</v>
      </c>
      <c r="I26" s="25">
        <f t="shared" si="3"/>
        <v>1093.0442400000002</v>
      </c>
      <c r="J26" s="25">
        <f t="shared" si="9"/>
        <v>27.318175</v>
      </c>
      <c r="K26" s="25">
        <f>$H$11+J26*G26</f>
        <v>489.902658554</v>
      </c>
      <c r="L26" s="25">
        <f t="shared" si="4"/>
        <v>603.1415814460001</v>
      </c>
      <c r="M26" s="25">
        <f>IF(B25-$B$22+1&gt;$D$6,0,$D$12/$D$6)</f>
        <v>500</v>
      </c>
      <c r="N26" s="25">
        <f t="shared" si="5"/>
        <v>300</v>
      </c>
      <c r="O26" s="25">
        <f>I26-K26-M26-F26</f>
        <v>-9.358418553999854</v>
      </c>
      <c r="P26" s="25">
        <f t="shared" si="6"/>
        <v>0</v>
      </c>
      <c r="Q26" s="38">
        <f>I26-K26-P26-D26-F26</f>
        <v>303.14158144600015</v>
      </c>
    </row>
    <row r="27" spans="2:17" ht="12.75">
      <c r="B27" s="5">
        <f t="shared" si="0"/>
        <v>5</v>
      </c>
      <c r="C27" s="25"/>
      <c r="D27" s="25">
        <f>IF(B27&lt;=$H$10,$D$22/$H$10,0)</f>
        <v>187.5</v>
      </c>
      <c r="E27" s="25">
        <f t="shared" si="1"/>
        <v>562.5</v>
      </c>
      <c r="F27" s="25">
        <f t="shared" si="2"/>
        <v>90</v>
      </c>
      <c r="G27" s="25">
        <f t="shared" si="7"/>
        <v>10.824321600000001</v>
      </c>
      <c r="H27" s="25">
        <f t="shared" si="8"/>
        <v>104</v>
      </c>
      <c r="I27" s="25">
        <f t="shared" si="3"/>
        <v>1125.7294464000001</v>
      </c>
      <c r="J27" s="25">
        <f t="shared" si="9"/>
        <v>28.13772025</v>
      </c>
      <c r="K27" s="25">
        <f>$H$11+J27*G27</f>
        <v>504.57173307683246</v>
      </c>
      <c r="L27" s="25">
        <f t="shared" si="4"/>
        <v>621.1577133231676</v>
      </c>
      <c r="M27" s="25">
        <f>IF(B26-$B$22+1&gt;$D$6,0,$D$12/$D$6)</f>
        <v>500</v>
      </c>
      <c r="N27" s="25">
        <f t="shared" si="5"/>
        <v>277.5</v>
      </c>
      <c r="O27" s="25">
        <f>I27-K27-M27-F27</f>
        <v>31.157713323167627</v>
      </c>
      <c r="P27" s="25">
        <f t="shared" si="6"/>
        <v>7.789428330791907</v>
      </c>
      <c r="Q27" s="38">
        <f>I27-K27-P27-D27-F27</f>
        <v>335.8682849923757</v>
      </c>
    </row>
    <row r="28" spans="2:17" ht="12.75">
      <c r="B28" s="5">
        <f t="shared" si="0"/>
        <v>6</v>
      </c>
      <c r="C28" s="25"/>
      <c r="D28" s="25">
        <f>IF(B28&lt;=$H$10,$D$22/$H$10,0)</f>
        <v>187.5</v>
      </c>
      <c r="E28" s="25">
        <f t="shared" si="1"/>
        <v>375</v>
      </c>
      <c r="F28" s="25">
        <f t="shared" si="2"/>
        <v>67.5</v>
      </c>
      <c r="G28" s="25">
        <f t="shared" si="7"/>
        <v>11.040808032000001</v>
      </c>
      <c r="H28" s="25">
        <f t="shared" si="8"/>
        <v>105</v>
      </c>
      <c r="I28" s="25">
        <f t="shared" si="3"/>
        <v>1159.2848433600002</v>
      </c>
      <c r="J28" s="25">
        <f t="shared" si="9"/>
        <v>28.9818518575</v>
      </c>
      <c r="K28" s="25">
        <f>$H$11+J28*G28</f>
        <v>519.9830627705202</v>
      </c>
      <c r="L28" s="25">
        <f t="shared" si="4"/>
        <v>639.30178058948</v>
      </c>
      <c r="M28" s="25">
        <f>IF(B27-$B$22+1&gt;$D$6,0,$D$12/$D$6)</f>
        <v>500</v>
      </c>
      <c r="N28" s="25">
        <f t="shared" si="5"/>
        <v>255</v>
      </c>
      <c r="O28" s="25">
        <f>I28-K28-M28-F28</f>
        <v>71.80178058948002</v>
      </c>
      <c r="P28" s="25">
        <f t="shared" si="6"/>
        <v>17.950445147370004</v>
      </c>
      <c r="Q28" s="38">
        <f>I28-K28-P28-D28-F28</f>
        <v>366.35133544211</v>
      </c>
    </row>
    <row r="29" spans="2:17" ht="12.75">
      <c r="B29" s="5">
        <f t="shared" si="0"/>
        <v>7</v>
      </c>
      <c r="C29" s="25"/>
      <c r="D29" s="25">
        <f>IF(B29&lt;=$H$10,$D$22/$H$10,0)</f>
        <v>187.5</v>
      </c>
      <c r="E29" s="25">
        <f t="shared" si="1"/>
        <v>187.5</v>
      </c>
      <c r="F29" s="25">
        <f t="shared" si="2"/>
        <v>45</v>
      </c>
      <c r="G29" s="25">
        <f t="shared" si="7"/>
        <v>11.261624192640001</v>
      </c>
      <c r="H29" s="25">
        <f t="shared" si="8"/>
        <v>106</v>
      </c>
      <c r="I29" s="25">
        <f t="shared" si="3"/>
        <v>1193.73216441984</v>
      </c>
      <c r="J29" s="25">
        <f t="shared" si="9"/>
        <v>29.851307413225</v>
      </c>
      <c r="K29" s="25">
        <f>$H$11+J29*G29</f>
        <v>536.1742057467085</v>
      </c>
      <c r="L29" s="25">
        <f t="shared" si="4"/>
        <v>657.5579586731316</v>
      </c>
      <c r="M29" s="25">
        <f>IF(B28-$B$22+1&gt;$D$6,0,$D$12/$D$6)</f>
        <v>0</v>
      </c>
      <c r="N29" s="25">
        <f t="shared" si="5"/>
        <v>232.5</v>
      </c>
      <c r="O29" s="25">
        <f>I29-K29-M29-F29</f>
        <v>612.5579586731316</v>
      </c>
      <c r="P29" s="25">
        <f t="shared" si="6"/>
        <v>153.1394896682829</v>
      </c>
      <c r="Q29" s="38">
        <f>I29-K29-P29-D29-F29</f>
        <v>271.9184690048487</v>
      </c>
    </row>
    <row r="30" spans="2:17" ht="12.75">
      <c r="B30" s="5">
        <f t="shared" si="0"/>
        <v>8</v>
      </c>
      <c r="C30" s="25"/>
      <c r="D30" s="25">
        <f>IF(B30&lt;=$H$10,$D$22/$H$10,0)</f>
        <v>187.5</v>
      </c>
      <c r="E30" s="25">
        <f t="shared" si="1"/>
        <v>0</v>
      </c>
      <c r="F30" s="25">
        <f t="shared" si="2"/>
        <v>22.5</v>
      </c>
      <c r="G30" s="25">
        <f t="shared" si="7"/>
        <v>11.4868566764928</v>
      </c>
      <c r="H30" s="25">
        <f t="shared" si="8"/>
        <v>107</v>
      </c>
      <c r="I30" s="25">
        <f t="shared" si="3"/>
        <v>1229.0936643847297</v>
      </c>
      <c r="J30" s="25">
        <f t="shared" si="9"/>
        <v>30.74684663562175</v>
      </c>
      <c r="K30" s="25">
        <f>$H$11+J30*G30</f>
        <v>553.1846205574919</v>
      </c>
      <c r="L30" s="25">
        <f t="shared" si="4"/>
        <v>675.9090438272377</v>
      </c>
      <c r="M30" s="25">
        <f>IF(B29-$B$22+1&gt;$D$6,0,$D$12/$D$6)</f>
        <v>0</v>
      </c>
      <c r="N30" s="25">
        <f t="shared" si="5"/>
        <v>210</v>
      </c>
      <c r="O30" s="25">
        <f>I30-K30-M30-F30</f>
        <v>653.4090438272377</v>
      </c>
      <c r="P30" s="25">
        <f t="shared" si="6"/>
        <v>163.35226095680943</v>
      </c>
      <c r="Q30" s="38">
        <f>I30-K30-P30-D30-F30</f>
        <v>302.55678287042826</v>
      </c>
    </row>
    <row r="31" spans="2:17" ht="12.75">
      <c r="B31" s="5">
        <f t="shared" si="0"/>
        <v>9</v>
      </c>
      <c r="C31" s="25"/>
      <c r="D31" s="25">
        <f>IF(B31&lt;=$H$10,$D$22/$H$10,0)</f>
        <v>0</v>
      </c>
      <c r="E31" s="25">
        <f t="shared" si="1"/>
        <v>0</v>
      </c>
      <c r="F31" s="25">
        <f t="shared" si="2"/>
        <v>0</v>
      </c>
      <c r="G31" s="25">
        <f t="shared" si="7"/>
        <v>11.716593810022657</v>
      </c>
      <c r="H31" s="25">
        <f t="shared" si="8"/>
        <v>108</v>
      </c>
      <c r="I31" s="25">
        <f t="shared" si="3"/>
        <v>1265.392131482447</v>
      </c>
      <c r="J31" s="25">
        <f t="shared" si="9"/>
        <v>31.669252034690405</v>
      </c>
      <c r="K31" s="25">
        <f>$H$11+J31*G31</f>
        <v>571.055762357701</v>
      </c>
      <c r="L31" s="25">
        <f t="shared" si="4"/>
        <v>694.3363691247459</v>
      </c>
      <c r="M31" s="25">
        <f>IF(B30-$B$22+1&gt;$D$6,0,$D$12/$D$6)</f>
        <v>0</v>
      </c>
      <c r="N31" s="25">
        <f t="shared" si="5"/>
        <v>0</v>
      </c>
      <c r="O31" s="25">
        <f>I31-K31-M31-F31</f>
        <v>694.3363691247459</v>
      </c>
      <c r="P31" s="25">
        <f t="shared" si="6"/>
        <v>173.58409228118649</v>
      </c>
      <c r="Q31" s="38">
        <f>I31-K31-P31-D31-F31</f>
        <v>520.7522768435595</v>
      </c>
    </row>
    <row r="32" spans="2:17" ht="12.75">
      <c r="B32" s="5">
        <f t="shared" si="0"/>
        <v>10</v>
      </c>
      <c r="C32" s="25"/>
      <c r="D32" s="25">
        <f>IF(B32&lt;=$H$10,$D$22/$H$10,0)</f>
        <v>0</v>
      </c>
      <c r="E32" s="25">
        <f t="shared" si="1"/>
        <v>0</v>
      </c>
      <c r="F32" s="25">
        <f t="shared" si="2"/>
        <v>0</v>
      </c>
      <c r="G32" s="25">
        <f t="shared" si="7"/>
        <v>11.95092568622311</v>
      </c>
      <c r="H32" s="25">
        <f t="shared" si="8"/>
        <v>109</v>
      </c>
      <c r="I32" s="25">
        <f t="shared" si="3"/>
        <v>1302.650899798319</v>
      </c>
      <c r="J32" s="25">
        <f t="shared" si="9"/>
        <v>32.61932959573112</v>
      </c>
      <c r="K32" s="25">
        <f>$H$11+J32*G32</f>
        <v>589.8311839330007</v>
      </c>
      <c r="L32" s="25">
        <f t="shared" si="4"/>
        <v>712.8197158653182</v>
      </c>
      <c r="M32" s="25">
        <f>IF(B31-$B$22+1&gt;$D$6,0,$D$12/$D$6)</f>
        <v>0</v>
      </c>
      <c r="N32" s="25">
        <f t="shared" si="5"/>
        <v>0</v>
      </c>
      <c r="O32" s="25">
        <f>I32-K32-M32-F32</f>
        <v>712.8197158653182</v>
      </c>
      <c r="P32" s="25">
        <f t="shared" si="6"/>
        <v>178.20492896632956</v>
      </c>
      <c r="Q32" s="38">
        <f>I32-K32-P32-D32-F32</f>
        <v>534.6147868989887</v>
      </c>
    </row>
    <row r="33" spans="2:17" ht="12.75">
      <c r="B33" s="5">
        <f t="shared" si="0"/>
        <v>11</v>
      </c>
      <c r="C33" s="25"/>
      <c r="D33" s="25">
        <f>IF(B33&lt;=$H$10,$D$22/$H$10,0)</f>
        <v>0</v>
      </c>
      <c r="E33" s="25">
        <f t="shared" si="1"/>
        <v>0</v>
      </c>
      <c r="F33" s="25">
        <f t="shared" si="2"/>
        <v>0</v>
      </c>
      <c r="G33" s="25">
        <f t="shared" si="7"/>
        <v>12.189944199947572</v>
      </c>
      <c r="H33" s="25">
        <f t="shared" si="8"/>
        <v>110</v>
      </c>
      <c r="I33" s="25">
        <f t="shared" si="3"/>
        <v>1340.893861994233</v>
      </c>
      <c r="J33" s="25">
        <f t="shared" si="9"/>
        <v>33.597909483603054</v>
      </c>
      <c r="K33" s="25">
        <f>$H$11+J33*G33</f>
        <v>609.5566418400106</v>
      </c>
      <c r="L33" s="25">
        <f t="shared" si="4"/>
        <v>731.3372201542225</v>
      </c>
      <c r="M33" s="25">
        <f>IF(B32-$B$22+1&gt;$D$6,0,$D$12/$D$6)</f>
        <v>0</v>
      </c>
      <c r="N33" s="25">
        <f t="shared" si="5"/>
        <v>0</v>
      </c>
      <c r="O33" s="25">
        <f>I33-K33-M33-F33</f>
        <v>731.3372201542225</v>
      </c>
      <c r="P33" s="25">
        <f t="shared" si="6"/>
        <v>182.8343050385556</v>
      </c>
      <c r="Q33" s="38">
        <f>I33-K33-P33-D33-F33</f>
        <v>548.5029151156668</v>
      </c>
    </row>
    <row r="34" spans="2:17" ht="12.75">
      <c r="B34" s="11">
        <f t="shared" si="0"/>
        <v>12</v>
      </c>
      <c r="C34" s="12"/>
      <c r="D34" s="39">
        <f>IF(B34&lt;=$H$10,$D$22/$H$10,0)</f>
        <v>0</v>
      </c>
      <c r="E34" s="39">
        <f t="shared" si="1"/>
        <v>0</v>
      </c>
      <c r="F34" s="39">
        <f t="shared" si="2"/>
        <v>0</v>
      </c>
      <c r="G34" s="39">
        <f t="shared" si="7"/>
        <v>12.433743083946524</v>
      </c>
      <c r="H34" s="39">
        <f t="shared" si="8"/>
        <v>111</v>
      </c>
      <c r="I34" s="39">
        <f t="shared" si="3"/>
        <v>1380.1454823180643</v>
      </c>
      <c r="J34" s="39">
        <f t="shared" si="9"/>
        <v>34.60584676811115</v>
      </c>
      <c r="K34" s="39">
        <f>$H$11+J34*G34</f>
        <v>630.2802079171151</v>
      </c>
      <c r="L34" s="39">
        <f t="shared" si="4"/>
        <v>749.8652744009491</v>
      </c>
      <c r="M34" s="39">
        <f>IF(B33-$B$22+1&gt;$D$6,0,$D$12/$D$6)</f>
        <v>0</v>
      </c>
      <c r="N34" s="39">
        <f t="shared" si="5"/>
        <v>0</v>
      </c>
      <c r="O34" s="39">
        <f>I34-K34-M34-F34</f>
        <v>749.8652744009491</v>
      </c>
      <c r="P34" s="39">
        <f t="shared" si="6"/>
        <v>187.4663186002373</v>
      </c>
      <c r="Q34" s="40">
        <f>I34-K34-P34-D34-F34</f>
        <v>562.3989558007119</v>
      </c>
    </row>
  </sheetData>
  <sheetProtection/>
  <mergeCells count="3">
    <mergeCell ref="B16:C16"/>
    <mergeCell ref="B5:H5"/>
    <mergeCell ref="B15:H15"/>
  </mergeCells>
  <printOptions gridLines="1" headings="1"/>
  <pageMargins left="0.75" right="0.75" top="1" bottom="1" header="0.5" footer="0.5"/>
  <pageSetup fitToHeight="1" fitToWidth="1" horizontalDpi="300" verticalDpi="300" orientation="landscape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Evangelos Mageirou</dc:creator>
  <cp:keywords/>
  <dc:description/>
  <cp:lastModifiedBy>Magirou</cp:lastModifiedBy>
  <cp:lastPrinted>2008-10-20T13:31:22Z</cp:lastPrinted>
  <dcterms:created xsi:type="dcterms:W3CDTF">2005-12-22T08:20:09Z</dcterms:created>
  <dcterms:modified xsi:type="dcterms:W3CDTF">2013-01-10T13:00:59Z</dcterms:modified>
  <cp:category/>
  <cp:version/>
  <cp:contentType/>
  <cp:contentStatus/>
</cp:coreProperties>
</file>