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campus.eur.nl\users\home\47036epe\Documents\PHP5thE\Web resources\Lecturer resources\Solution spreadsheets\"/>
    </mc:Choice>
  </mc:AlternateContent>
  <bookViews>
    <workbookView xWindow="480" yWindow="108" windowWidth="15192" windowHeight="9216"/>
  </bookViews>
  <sheets>
    <sheet name="Income statement" sheetId="1" r:id="rId1"/>
    <sheet name="Balance sheet" sheetId="2" r:id="rId2"/>
    <sheet name="Cash flow statement" sheetId="3" r:id="rId3"/>
    <sheet name="Ratio analysis" sheetId="4" r:id="rId4"/>
  </sheets>
  <calcPr calcId="152511"/>
</workbook>
</file>

<file path=xl/calcChain.xml><?xml version="1.0" encoding="utf-8"?>
<calcChain xmlns="http://schemas.openxmlformats.org/spreadsheetml/2006/main">
  <c r="D43" i="4" l="1"/>
  <c r="C43" i="4"/>
  <c r="B43" i="4"/>
  <c r="D41" i="4"/>
  <c r="C41" i="4"/>
  <c r="B41" i="4"/>
  <c r="D39" i="4"/>
  <c r="C39" i="4"/>
  <c r="B39" i="4"/>
  <c r="D35" i="4"/>
  <c r="D34" i="4"/>
  <c r="D33" i="4"/>
  <c r="C35" i="4"/>
  <c r="C34" i="4"/>
  <c r="C33" i="4"/>
  <c r="B35" i="4"/>
  <c r="B34" i="4"/>
  <c r="B33" i="4"/>
  <c r="D33" i="1"/>
  <c r="C33" i="1"/>
  <c r="C26" i="4" s="1"/>
  <c r="B33" i="1"/>
  <c r="D29" i="4"/>
  <c r="C29" i="4"/>
  <c r="D27" i="4"/>
  <c r="C27" i="4"/>
  <c r="B27" i="4"/>
  <c r="B29" i="4"/>
  <c r="D28" i="4"/>
  <c r="C28" i="4"/>
  <c r="B28" i="4"/>
  <c r="D26" i="4"/>
  <c r="B26" i="4"/>
  <c r="C35" i="1"/>
  <c r="D24" i="4"/>
  <c r="C24" i="4"/>
  <c r="B24" i="4"/>
  <c r="D23" i="4"/>
  <c r="C23" i="4"/>
  <c r="B23" i="4"/>
  <c r="D22" i="4"/>
  <c r="C22" i="4"/>
  <c r="B22" i="4"/>
  <c r="D21" i="4"/>
  <c r="C21" i="4"/>
  <c r="B21" i="4"/>
  <c r="D15" i="4"/>
  <c r="C15" i="4"/>
  <c r="B15" i="4"/>
  <c r="D10" i="4"/>
  <c r="C10" i="4"/>
  <c r="B10" i="4"/>
  <c r="D9" i="4"/>
  <c r="C9" i="4"/>
  <c r="B9" i="4"/>
  <c r="D5" i="4"/>
  <c r="C5" i="4"/>
  <c r="B5" i="4"/>
  <c r="D68" i="2"/>
  <c r="C68" i="2"/>
  <c r="B68" i="2"/>
  <c r="D67" i="2"/>
  <c r="C67" i="2"/>
  <c r="B67" i="2"/>
  <c r="D66" i="2"/>
  <c r="C66" i="2"/>
  <c r="D65" i="2"/>
  <c r="C65" i="2"/>
  <c r="D64" i="2"/>
  <c r="C64" i="2"/>
  <c r="B66" i="2"/>
  <c r="B65" i="2"/>
  <c r="B64" i="2"/>
  <c r="D62" i="2"/>
  <c r="C62" i="2"/>
  <c r="B62" i="2"/>
  <c r="D60" i="2"/>
  <c r="C60" i="2"/>
  <c r="B60" i="2"/>
  <c r="D59" i="2"/>
  <c r="C59" i="2"/>
  <c r="B59" i="2"/>
  <c r="D56" i="2"/>
  <c r="C56" i="2"/>
  <c r="B56" i="2"/>
  <c r="D55" i="2"/>
  <c r="C55" i="2"/>
  <c r="B55" i="2"/>
  <c r="D54" i="2"/>
  <c r="C54" i="2"/>
  <c r="B54" i="2"/>
  <c r="D53" i="2"/>
  <c r="C53" i="2"/>
  <c r="B53" i="2"/>
  <c r="D52" i="2"/>
  <c r="C52" i="2"/>
  <c r="B52" i="2"/>
  <c r="D50" i="2"/>
  <c r="C50" i="2"/>
  <c r="B50" i="2"/>
  <c r="D48" i="2"/>
  <c r="C48" i="2"/>
  <c r="B48" i="2"/>
  <c r="D46" i="2"/>
  <c r="C46" i="2"/>
  <c r="B46" i="2"/>
  <c r="D45" i="2"/>
  <c r="C45" i="2"/>
  <c r="B45" i="2"/>
  <c r="D43" i="2"/>
  <c r="C43" i="2"/>
  <c r="B43" i="2"/>
  <c r="D42" i="2"/>
  <c r="C42" i="2"/>
  <c r="B42" i="2"/>
  <c r="D41" i="2"/>
  <c r="C41" i="2"/>
  <c r="B41" i="2"/>
  <c r="D40" i="2"/>
  <c r="C40" i="2"/>
  <c r="B40" i="2"/>
  <c r="D39" i="2"/>
  <c r="C39" i="2"/>
  <c r="B39" i="2"/>
  <c r="D38" i="2"/>
  <c r="C38" i="2"/>
  <c r="B38" i="2"/>
  <c r="D37" i="2"/>
  <c r="C37" i="2"/>
  <c r="B37" i="2"/>
  <c r="D40" i="1"/>
  <c r="C40" i="1"/>
  <c r="B40" i="1"/>
  <c r="D39" i="1"/>
  <c r="C39" i="1"/>
  <c r="B39" i="1"/>
  <c r="D30" i="1"/>
  <c r="C30" i="1"/>
  <c r="B30" i="1"/>
  <c r="B31" i="1" s="1"/>
  <c r="D29" i="1"/>
  <c r="D31" i="1" s="1"/>
  <c r="C29" i="1"/>
  <c r="B29" i="1"/>
  <c r="D34" i="1"/>
  <c r="D35" i="1" s="1"/>
  <c r="D2" i="4" s="1"/>
  <c r="C34" i="1"/>
  <c r="B34" i="1"/>
  <c r="D37" i="1"/>
  <c r="C37" i="1"/>
  <c r="B37" i="1"/>
  <c r="D27" i="1"/>
  <c r="C27" i="1"/>
  <c r="B27" i="1"/>
  <c r="D26" i="1"/>
  <c r="C26" i="1"/>
  <c r="B26" i="1"/>
  <c r="D25" i="1"/>
  <c r="C25" i="1"/>
  <c r="B25" i="1"/>
  <c r="D23" i="1"/>
  <c r="C23" i="1"/>
  <c r="B23" i="1"/>
  <c r="D25" i="4" l="1"/>
  <c r="D30" i="4" s="1"/>
  <c r="B25" i="4"/>
  <c r="B30" i="4" s="1"/>
  <c r="C25" i="4"/>
  <c r="C30" i="4" s="1"/>
  <c r="C2" i="4"/>
  <c r="C38" i="1"/>
  <c r="C41" i="1" s="1"/>
  <c r="C4" i="4" s="1"/>
  <c r="D38" i="1"/>
  <c r="D41" i="1" s="1"/>
  <c r="D4" i="4" s="1"/>
  <c r="B35" i="1"/>
  <c r="C31" i="1"/>
  <c r="B38" i="1" l="1"/>
  <c r="B41" i="1" s="1"/>
  <c r="B4" i="4" s="1"/>
  <c r="B2" i="4"/>
  <c r="B42" i="4" l="1"/>
  <c r="B44" i="4"/>
  <c r="B40" i="4" l="1"/>
  <c r="B45" i="4" s="1"/>
  <c r="C44" i="4"/>
  <c r="C42" i="4"/>
  <c r="B36" i="4" l="1"/>
  <c r="C40" i="4"/>
  <c r="C45" i="4" s="1"/>
  <c r="C36" i="4" l="1"/>
  <c r="B38" i="4" l="1"/>
  <c r="B37" i="4" l="1"/>
  <c r="B11" i="4" l="1"/>
  <c r="B6" i="4"/>
  <c r="B8" i="4" s="1"/>
  <c r="B12" i="4" l="1"/>
  <c r="B14" i="4" l="1"/>
  <c r="B16" i="4" s="1"/>
  <c r="B18" i="4" s="1"/>
  <c r="D42" i="4" l="1"/>
  <c r="D44" i="4" l="1"/>
  <c r="D40" i="4" l="1"/>
  <c r="D45" i="4" s="1"/>
  <c r="D36" i="4" l="1"/>
  <c r="C38" i="4" l="1"/>
  <c r="D38" i="4" l="1"/>
  <c r="C37" i="4"/>
  <c r="C6" i="4"/>
  <c r="C8" i="4" s="1"/>
  <c r="C11" i="4" l="1"/>
  <c r="C12" i="4" s="1"/>
  <c r="C14" i="4" l="1"/>
  <c r="C16" i="4" s="1"/>
  <c r="C18" i="4" s="1"/>
  <c r="D37" i="4" l="1"/>
  <c r="D11" i="4" l="1"/>
  <c r="D6" i="4" l="1"/>
  <c r="D8" i="4" l="1"/>
  <c r="D12" i="4"/>
  <c r="D14" i="4" l="1"/>
  <c r="D16" i="4" s="1"/>
  <c r="D18" i="4" s="1"/>
  <c r="D19" i="3" l="1"/>
  <c r="D11" i="3"/>
  <c r="D33" i="2"/>
  <c r="D17" i="2"/>
  <c r="D9" i="2"/>
  <c r="D19" i="2" s="1"/>
  <c r="D7" i="1"/>
  <c r="D11" i="1" s="1"/>
  <c r="D16" i="1" s="1"/>
  <c r="D18" i="1" s="1"/>
  <c r="D20" i="1" s="1"/>
  <c r="C11" i="3"/>
  <c r="C19" i="3" s="1"/>
  <c r="B11" i="3"/>
  <c r="B19" i="3" s="1"/>
  <c r="C33" i="2"/>
  <c r="B33" i="2"/>
  <c r="C9" i="2"/>
  <c r="C17" i="2"/>
  <c r="C19" i="2"/>
  <c r="B9" i="2"/>
  <c r="B19" i="2" s="1"/>
  <c r="B17" i="2"/>
  <c r="C7" i="1"/>
  <c r="C11" i="1" s="1"/>
  <c r="C16" i="1" s="1"/>
  <c r="C18" i="1" s="1"/>
  <c r="C20" i="1" s="1"/>
  <c r="B7" i="1"/>
  <c r="B11" i="1" s="1"/>
  <c r="B16" i="1" s="1"/>
  <c r="B18" i="1" s="1"/>
  <c r="B20" i="1" s="1"/>
</calcChain>
</file>

<file path=xl/sharedStrings.xml><?xml version="1.0" encoding="utf-8"?>
<sst xmlns="http://schemas.openxmlformats.org/spreadsheetml/2006/main" count="153" uniqueCount="145">
  <si>
    <t>Net revenues</t>
  </si>
  <si>
    <t>Cost of sales</t>
  </si>
  <si>
    <t>Selling, general and administrative costs</t>
  </si>
  <si>
    <t>Research and development costs</t>
  </si>
  <si>
    <t>Other income (expenses)</t>
  </si>
  <si>
    <t>Trading profit</t>
  </si>
  <si>
    <t>Gains (losses) on the disposal of investments</t>
  </si>
  <si>
    <t>Restructuring costs</t>
  </si>
  <si>
    <t>Other unusual income (expenses)</t>
  </si>
  <si>
    <t>Operating profit/(loss)</t>
  </si>
  <si>
    <t>Profit before taxes</t>
  </si>
  <si>
    <t>Income taxes</t>
  </si>
  <si>
    <t>Profit from continuing operations</t>
  </si>
  <si>
    <t>Profit from discontinued operations</t>
  </si>
  <si>
    <t>Net profit/(loss)</t>
  </si>
  <si>
    <t>Result from investments</t>
  </si>
  <si>
    <t>Intangible assets</t>
  </si>
  <si>
    <t>Property, plant and equipment</t>
  </si>
  <si>
    <t>Investment property</t>
  </si>
  <si>
    <t>Investments and other financial assets:</t>
  </si>
  <si>
    <t>Leased assets</t>
  </si>
  <si>
    <t>Defined benefit plan assets</t>
  </si>
  <si>
    <t>Deferred tax assets</t>
  </si>
  <si>
    <t>Total Non-current assets</t>
  </si>
  <si>
    <t>Inventories</t>
  </si>
  <si>
    <t>Trade receivables</t>
  </si>
  <si>
    <t>Receivables from financing activities</t>
  </si>
  <si>
    <t>Current tax receivables</t>
  </si>
  <si>
    <t>Other current assets</t>
  </si>
  <si>
    <t>Cash and cash equivalents</t>
  </si>
  <si>
    <t>Total Current assets</t>
  </si>
  <si>
    <t>Assets held for sale</t>
  </si>
  <si>
    <t>TOTAL ASSETS</t>
  </si>
  <si>
    <t>Current financial assets</t>
  </si>
  <si>
    <t>Minority interest</t>
  </si>
  <si>
    <t>Employee benefits</t>
  </si>
  <si>
    <t>Other provisions</t>
  </si>
  <si>
    <t>Asset-backed financing</t>
  </si>
  <si>
    <t>Other debt</t>
  </si>
  <si>
    <t>Other financial liabilities</t>
  </si>
  <si>
    <t>Trade payables</t>
  </si>
  <si>
    <t>Current tax payables</t>
  </si>
  <si>
    <t>Deferred tax liabilities</t>
  </si>
  <si>
    <t>Other current liabilities</t>
  </si>
  <si>
    <t>Liabilities held for sale</t>
  </si>
  <si>
    <t>TOTAL SHAREHOLDERS’ EQUITY AND LIABILITIES</t>
  </si>
  <si>
    <t>Amortisation and depreciation (net of vehicles sold under buy-back commitments)</t>
  </si>
  <si>
    <t>(Gains) losses on disposal</t>
  </si>
  <si>
    <t>Other non-cash items</t>
  </si>
  <si>
    <t>Dividends received</t>
  </si>
  <si>
    <t>Change in provisions</t>
  </si>
  <si>
    <t>Change in deferred taxes</t>
  </si>
  <si>
    <t>Change in items due to buy-back commitments</t>
  </si>
  <si>
    <t>Change in working capital</t>
  </si>
  <si>
    <t>Cash flows from (used in) financing activities</t>
  </si>
  <si>
    <t>Cash flows from (used in) investment activities</t>
  </si>
  <si>
    <t>Translation exchange differences</t>
  </si>
  <si>
    <t>Total change in cash and cash equivalents</t>
  </si>
  <si>
    <t>Interest income</t>
  </si>
  <si>
    <t>Interest expense</t>
  </si>
  <si>
    <t>Other financial income (expenses)</t>
  </si>
  <si>
    <t>Profit or loss</t>
  </si>
  <si>
    <t>Shareholders’ equity</t>
  </si>
  <si>
    <t>Cash flows from (used in) operating activities</t>
  </si>
  <si>
    <t>+ Interest expense after tax</t>
  </si>
  <si>
    <t>Revenue</t>
  </si>
  <si>
    <t>x (1 - tax rate)</t>
  </si>
  <si>
    <t>Interest expense after tax</t>
  </si>
  <si>
    <t>Interest and investment income</t>
  </si>
  <si>
    <t>Net investment profit after tax (NIPAT)</t>
  </si>
  <si>
    <t>- NIPAT</t>
  </si>
  <si>
    <t>= Net operating profit after tax</t>
  </si>
  <si>
    <t>+ Net non-recurring expense (income) after tax</t>
  </si>
  <si>
    <t>Net non-recurring expense (income)</t>
  </si>
  <si>
    <t>Net non-recurring expense (income) after tax</t>
  </si>
  <si>
    <t>CONDENSED INCOME STATEMENTS</t>
  </si>
  <si>
    <t>INCOME STATEMENTS</t>
  </si>
  <si>
    <t>CONDENSED BALANCE SHEETS</t>
  </si>
  <si>
    <t>Ending Net Working Capital</t>
  </si>
  <si>
    <t>+ Trade receivables</t>
  </si>
  <si>
    <t>+ Inventories</t>
  </si>
  <si>
    <t>+ Other current assets</t>
  </si>
  <si>
    <t>– Trade payables</t>
  </si>
  <si>
    <t>– Other current liabilities</t>
  </si>
  <si>
    <t xml:space="preserve"> = Ending Net Working Capital</t>
  </si>
  <si>
    <t>+ Ending Net Non-Current Operating Assets</t>
  </si>
  <si>
    <t>Non-current tangible assets</t>
  </si>
  <si>
    <t>+ Non-current intangible assets</t>
  </si>
  <si>
    <t>+ Derivatives (assets net of liabilities)</t>
  </si>
  <si>
    <t>– Deferred tax liabilities (net of assets)</t>
  </si>
  <si>
    <t>– Other non-current liabilities (non-interest-bearing)</t>
  </si>
  <si>
    <t xml:space="preserve"> = Ending Net Non-Current Operating Assets</t>
  </si>
  <si>
    <t>+ Ending Investment Assets</t>
  </si>
  <si>
    <t>Excess cash</t>
  </si>
  <si>
    <t>Minority equity investments</t>
  </si>
  <si>
    <t>+ Other Non-Operating investments</t>
  </si>
  <si>
    <t xml:space="preserve"> = Ending Investment Assets</t>
  </si>
  <si>
    <t xml:space="preserve"> = Total Business Assets</t>
  </si>
  <si>
    <t>Ending Debt</t>
  </si>
  <si>
    <t>Current debt</t>
  </si>
  <si>
    <t>+ Non-current debt</t>
  </si>
  <si>
    <t>+ Preference shares</t>
  </si>
  <si>
    <t xml:space="preserve"> = Ending Debt</t>
  </si>
  <si>
    <t>+ Ending Group Equity</t>
  </si>
  <si>
    <t>Ordinary shareholders' equity</t>
  </si>
  <si>
    <t>+ Minority interests</t>
  </si>
  <si>
    <t>- Net assets held for sale</t>
  </si>
  <si>
    <t>= Group Equity</t>
  </si>
  <si>
    <t xml:space="preserve"> = Total Capital</t>
  </si>
  <si>
    <t>BALANCE SHEETS</t>
  </si>
  <si>
    <t>Operating cash (@ 5%)</t>
  </si>
  <si>
    <t>Return on equity</t>
  </si>
  <si>
    <t>× Financial leverage</t>
  </si>
  <si>
    <t>Net operating profit margin</t>
  </si>
  <si>
    <t>× Operating asset turnover</t>
  </si>
  <si>
    <t xml:space="preserve"> = Return on Operating Assets</t>
  </si>
  <si>
    <t>Return on Operating Assets</t>
  </si>
  <si>
    <t>x (Operating Assets/Business Assets)</t>
  </si>
  <si>
    <t>+ Return on Investment Assets</t>
  </si>
  <si>
    <t>x (Investment Assets/Business Assets)</t>
  </si>
  <si>
    <t>= Return on Business Assets</t>
  </si>
  <si>
    <t>Spread</t>
  </si>
  <si>
    <t xml:space="preserve"> = Financial leverage gain</t>
  </si>
  <si>
    <t>ROE = Return on Business Assets + Financial leverage gain</t>
  </si>
  <si>
    <t>Line items as a percent of sales</t>
  </si>
  <si>
    <t>Net operating profit before tax</t>
  </si>
  <si>
    <t>Tax expense</t>
  </si>
  <si>
    <t>Selling, general, and admin. expense</t>
  </si>
  <si>
    <t>Other operating income/expense</t>
  </si>
  <si>
    <t>Operating working capital/Sales</t>
  </si>
  <si>
    <t>Net non-current assets/Sales</t>
  </si>
  <si>
    <t>PP&amp;E/Sales</t>
  </si>
  <si>
    <t>Operating working capital turnover</t>
  </si>
  <si>
    <t>Net non-current asset turnover</t>
  </si>
  <si>
    <t>PP&amp;E turnover</t>
  </si>
  <si>
    <t>Trade receivables turnover</t>
  </si>
  <si>
    <t>Days’ receivables</t>
  </si>
  <si>
    <t>Inventories turnover</t>
  </si>
  <si>
    <t>Days’ inventories</t>
  </si>
  <si>
    <t>Trade payables turnover</t>
  </si>
  <si>
    <t>Days’ payables</t>
  </si>
  <si>
    <t>Cash conversion cycle</t>
  </si>
  <si>
    <t>Net non-recurring income/expense</t>
  </si>
  <si>
    <t>Investment and interest income</t>
  </si>
  <si>
    <t>Turnover ratios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</si>
</sst>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5" formatCode="0.0000"/>
    <numFmt numFmtId="167" formatCode="0.0"/>
    <numFmt numFmtId="168" formatCode="0.0%"/>
  </numFmts>
  <fonts count="7" x14ac:knownFonts="1">
    <font>
      <sz val="10"/>
      <name val="Arial"/>
    </font>
    <font>
      <sz val="8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/>
    <xf numFmtId="0" fontId="3" fillId="0" borderId="0" xfId="0" applyFont="1"/>
    <xf numFmtId="3" fontId="2" fillId="0" borderId="0" xfId="0" applyNumberFormat="1" applyFont="1"/>
    <xf numFmtId="0" fontId="2" fillId="0" borderId="1" xfId="0" applyFont="1" applyBorder="1"/>
    <xf numFmtId="0" fontId="2" fillId="0" borderId="0" xfId="0" applyFont="1" applyFill="1" applyBorder="1"/>
    <xf numFmtId="0" fontId="3" fillId="0" borderId="0" xfId="0" applyFont="1" applyAlignment="1">
      <alignment horizontal="center"/>
    </xf>
    <xf numFmtId="3" fontId="2" fillId="0" borderId="1" xfId="0" applyNumberFormat="1" applyFont="1" applyBorder="1"/>
    <xf numFmtId="3" fontId="3" fillId="0" borderId="0" xfId="0" applyNumberFormat="1" applyFont="1"/>
    <xf numFmtId="0" fontId="3" fillId="0" borderId="1" xfId="0" applyFont="1" applyBorder="1"/>
    <xf numFmtId="165" fontId="2" fillId="0" borderId="1" xfId="0" applyNumberFormat="1" applyFont="1" applyBorder="1"/>
    <xf numFmtId="0" fontId="2" fillId="0" borderId="0" xfId="0" quotePrefix="1" applyFont="1"/>
    <xf numFmtId="0" fontId="4" fillId="0" borderId="0" xfId="0" applyFont="1" applyAlignment="1">
      <alignment vertical="justify"/>
    </xf>
    <xf numFmtId="0" fontId="5" fillId="0" borderId="0" xfId="0" applyFont="1" applyAlignment="1">
      <alignment horizontal="left" vertical="justify" indent="3"/>
    </xf>
    <xf numFmtId="0" fontId="5" fillId="0" borderId="0" xfId="0" quotePrefix="1" applyFont="1" applyAlignment="1">
      <alignment horizontal="left" vertical="justify" indent="3"/>
    </xf>
    <xf numFmtId="0" fontId="4" fillId="0" borderId="0" xfId="0" applyFont="1" applyAlignment="1">
      <alignment horizontal="left" vertical="justify" indent="3"/>
    </xf>
    <xf numFmtId="0" fontId="4" fillId="0" borderId="0" xfId="0" quotePrefix="1" applyFont="1" applyAlignment="1">
      <alignment vertical="justify"/>
    </xf>
    <xf numFmtId="0" fontId="4" fillId="0" borderId="0" xfId="0" quotePrefix="1" applyFont="1" applyAlignment="1">
      <alignment horizontal="left" vertical="justify" indent="3"/>
    </xf>
    <xf numFmtId="0" fontId="5" fillId="0" borderId="0" xfId="0" applyFont="1"/>
    <xf numFmtId="0" fontId="6" fillId="0" borderId="1" xfId="0" applyFont="1" applyBorder="1" applyAlignment="1">
      <alignment vertical="justify"/>
    </xf>
    <xf numFmtId="0" fontId="6" fillId="0" borderId="1" xfId="0" applyFont="1" applyBorder="1" applyAlignment="1">
      <alignment horizontal="center" vertical="justify"/>
    </xf>
    <xf numFmtId="168" fontId="5" fillId="0" borderId="0" xfId="0" applyNumberFormat="1" applyFont="1" applyAlignment="1">
      <alignment horizontal="center"/>
    </xf>
    <xf numFmtId="168" fontId="5" fillId="0" borderId="0" xfId="0" applyNumberFormat="1" applyFont="1"/>
    <xf numFmtId="2" fontId="5" fillId="0" borderId="1" xfId="0" applyNumberFormat="1" applyFont="1" applyBorder="1" applyAlignment="1">
      <alignment horizontal="center"/>
    </xf>
    <xf numFmtId="2" fontId="5" fillId="0" borderId="0" xfId="0" applyNumberFormat="1" applyFont="1" applyBorder="1" applyAlignment="1">
      <alignment horizontal="center"/>
    </xf>
    <xf numFmtId="168" fontId="5" fillId="0" borderId="0" xfId="0" applyNumberFormat="1" applyFont="1" applyBorder="1" applyAlignment="1">
      <alignment horizontal="center"/>
    </xf>
    <xf numFmtId="168" fontId="5" fillId="0" borderId="1" xfId="0" applyNumberFormat="1" applyFont="1" applyBorder="1" applyAlignment="1">
      <alignment horizontal="center"/>
    </xf>
    <xf numFmtId="2" fontId="5" fillId="0" borderId="0" xfId="0" applyNumberFormat="1" applyFont="1" applyAlignment="1">
      <alignment horizontal="center"/>
    </xf>
    <xf numFmtId="167" fontId="5" fillId="0" borderId="0" xfId="0" applyNumberFormat="1" applyFont="1" applyAlignment="1">
      <alignment horizontal="center"/>
    </xf>
    <xf numFmtId="0" fontId="4" fillId="0" borderId="1" xfId="0" applyFont="1" applyBorder="1" applyAlignment="1">
      <alignment horizontal="center" vertical="justify"/>
    </xf>
    <xf numFmtId="0" fontId="5" fillId="0" borderId="0" xfId="0" applyFont="1" applyAlignment="1">
      <alignment vertical="justify"/>
    </xf>
    <xf numFmtId="0" fontId="5" fillId="0" borderId="1" xfId="0" applyFont="1" applyBorder="1" applyAlignment="1">
      <alignment vertical="justify"/>
    </xf>
    <xf numFmtId="0" fontId="5" fillId="0" borderId="0" xfId="0" applyFont="1" applyBorder="1" applyAlignment="1">
      <alignment vertical="justify"/>
    </xf>
    <xf numFmtId="0" fontId="5" fillId="0" borderId="0" xfId="0" quotePrefix="1" applyFont="1" applyBorder="1" applyAlignment="1">
      <alignment vertical="justify"/>
    </xf>
    <xf numFmtId="0" fontId="4" fillId="0" borderId="1" xfId="0" applyFont="1" applyBorder="1" applyAlignment="1">
      <alignment vertical="justify"/>
    </xf>
    <xf numFmtId="0" fontId="5" fillId="0" borderId="2" xfId="0" applyFont="1" applyBorder="1"/>
    <xf numFmtId="0" fontId="5" fillId="0" borderId="2" xfId="0" applyFont="1" applyBorder="1" applyAlignment="1">
      <alignment vertical="justify"/>
    </xf>
    <xf numFmtId="168" fontId="5" fillId="0" borderId="2" xfId="0" applyNumberFormat="1" applyFont="1" applyBorder="1" applyAlignment="1">
      <alignment horizontal="center"/>
    </xf>
    <xf numFmtId="167" fontId="5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1"/>
  <sheetViews>
    <sheetView tabSelected="1" workbookViewId="0"/>
  </sheetViews>
  <sheetFormatPr defaultRowHeight="13.8" x14ac:dyDescent="0.3"/>
  <cols>
    <col min="1" max="1" width="61.44140625" style="1" bestFit="1" customWidth="1"/>
    <col min="2" max="16384" width="8.88671875" style="1"/>
  </cols>
  <sheetData>
    <row r="1" spans="1:4" x14ac:dyDescent="0.3">
      <c r="A1" s="2" t="s">
        <v>76</v>
      </c>
      <c r="B1" s="6">
        <v>2008</v>
      </c>
      <c r="C1" s="6">
        <v>2007</v>
      </c>
      <c r="D1" s="6">
        <v>2006</v>
      </c>
    </row>
    <row r="2" spans="1:4" x14ac:dyDescent="0.3">
      <c r="A2" s="1" t="s">
        <v>0</v>
      </c>
      <c r="B2" s="3">
        <v>58421</v>
      </c>
      <c r="C2" s="3">
        <v>57550</v>
      </c>
      <c r="D2" s="1">
        <v>50755</v>
      </c>
    </row>
    <row r="3" spans="1:4" x14ac:dyDescent="0.3">
      <c r="A3" s="1" t="s">
        <v>1</v>
      </c>
      <c r="B3" s="3">
        <v>-48646</v>
      </c>
      <c r="C3" s="3">
        <v>-48168</v>
      </c>
      <c r="D3" s="1">
        <v>-42991</v>
      </c>
    </row>
    <row r="4" spans="1:4" x14ac:dyDescent="0.3">
      <c r="A4" s="1" t="s">
        <v>2</v>
      </c>
      <c r="B4" s="3">
        <v>-5075</v>
      </c>
      <c r="C4" s="3">
        <v>-4924</v>
      </c>
      <c r="D4" s="1">
        <v>-4697</v>
      </c>
    </row>
    <row r="5" spans="1:4" x14ac:dyDescent="0.3">
      <c r="A5" s="1" t="s">
        <v>3</v>
      </c>
      <c r="B5" s="3">
        <v>-1497</v>
      </c>
      <c r="C5" s="3">
        <v>-1536</v>
      </c>
      <c r="D5" s="1">
        <v>-1401</v>
      </c>
    </row>
    <row r="6" spans="1:4" x14ac:dyDescent="0.3">
      <c r="A6" s="1" t="s">
        <v>4</v>
      </c>
      <c r="B6" s="4">
        <v>-23</v>
      </c>
      <c r="C6" s="4">
        <v>88</v>
      </c>
      <c r="D6" s="4">
        <v>105</v>
      </c>
    </row>
    <row r="7" spans="1:4" x14ac:dyDescent="0.3">
      <c r="A7" s="1" t="s">
        <v>5</v>
      </c>
      <c r="B7" s="3">
        <f>SUM(B2:B6)</f>
        <v>3180</v>
      </c>
      <c r="C7" s="3">
        <f>SUM(C2:C6)</f>
        <v>3010</v>
      </c>
      <c r="D7" s="3">
        <f>SUM(D2:D6)</f>
        <v>1771</v>
      </c>
    </row>
    <row r="8" spans="1:4" x14ac:dyDescent="0.3">
      <c r="A8" s="1" t="s">
        <v>6</v>
      </c>
      <c r="B8" s="1">
        <v>20</v>
      </c>
      <c r="C8" s="1">
        <v>190</v>
      </c>
      <c r="D8" s="5">
        <v>607</v>
      </c>
    </row>
    <row r="9" spans="1:4" x14ac:dyDescent="0.3">
      <c r="A9" s="1" t="s">
        <v>7</v>
      </c>
      <c r="B9" s="1">
        <v>-165</v>
      </c>
      <c r="C9" s="1">
        <v>-105</v>
      </c>
      <c r="D9" s="5">
        <v>-450</v>
      </c>
    </row>
    <row r="10" spans="1:4" x14ac:dyDescent="0.3">
      <c r="A10" s="1" t="s">
        <v>8</v>
      </c>
      <c r="B10" s="4">
        <v>-245</v>
      </c>
      <c r="C10" s="4">
        <v>-166</v>
      </c>
      <c r="D10" s="4">
        <v>-47</v>
      </c>
    </row>
    <row r="11" spans="1:4" x14ac:dyDescent="0.3">
      <c r="A11" s="1" t="s">
        <v>9</v>
      </c>
      <c r="B11" s="3">
        <f>SUM(B7:B10)</f>
        <v>2790</v>
      </c>
      <c r="C11" s="3">
        <f>SUM(C7:C10)</f>
        <v>2929</v>
      </c>
      <c r="D11" s="3">
        <f>SUM(D7:D10)</f>
        <v>1881</v>
      </c>
    </row>
    <row r="12" spans="1:4" x14ac:dyDescent="0.3">
      <c r="A12" s="1" t="s">
        <v>58</v>
      </c>
      <c r="B12" s="3">
        <v>1188</v>
      </c>
      <c r="C12" s="3">
        <v>1301</v>
      </c>
      <c r="D12" s="3">
        <v>1372</v>
      </c>
    </row>
    <row r="13" spans="1:4" x14ac:dyDescent="0.3">
      <c r="A13" s="1" t="s">
        <v>59</v>
      </c>
      <c r="B13" s="3">
        <v>-1526</v>
      </c>
      <c r="C13" s="3">
        <v>-1651</v>
      </c>
      <c r="D13" s="3">
        <v>-1782</v>
      </c>
    </row>
    <row r="14" spans="1:4" x14ac:dyDescent="0.3">
      <c r="A14" s="1" t="s">
        <v>60</v>
      </c>
      <c r="B14" s="1">
        <v>-427</v>
      </c>
      <c r="C14" s="1">
        <v>9</v>
      </c>
      <c r="D14" s="5">
        <v>14</v>
      </c>
    </row>
    <row r="15" spans="1:4" x14ac:dyDescent="0.3">
      <c r="A15" s="1" t="s">
        <v>15</v>
      </c>
      <c r="B15" s="4">
        <v>162</v>
      </c>
      <c r="C15" s="4">
        <v>185</v>
      </c>
      <c r="D15" s="4">
        <v>156</v>
      </c>
    </row>
    <row r="16" spans="1:4" x14ac:dyDescent="0.3">
      <c r="A16" s="1" t="s">
        <v>10</v>
      </c>
      <c r="B16" s="3">
        <f>SUM(B11:B15)</f>
        <v>2187</v>
      </c>
      <c r="C16" s="3">
        <f>SUM(C11:C15)</f>
        <v>2773</v>
      </c>
      <c r="D16" s="3">
        <f>SUM(D11:D15)</f>
        <v>1641</v>
      </c>
    </row>
    <row r="17" spans="1:4" x14ac:dyDescent="0.3">
      <c r="A17" s="1" t="s">
        <v>11</v>
      </c>
      <c r="B17" s="4">
        <v>-466</v>
      </c>
      <c r="C17" s="4">
        <v>-719</v>
      </c>
      <c r="D17" s="4">
        <v>-490</v>
      </c>
    </row>
    <row r="18" spans="1:4" x14ac:dyDescent="0.3">
      <c r="A18" s="1" t="s">
        <v>12</v>
      </c>
      <c r="B18" s="3">
        <f>SUM(B16:B17)</f>
        <v>1721</v>
      </c>
      <c r="C18" s="3">
        <f>SUM(C16:C17)</f>
        <v>2054</v>
      </c>
      <c r="D18" s="3">
        <f>SUM(D16:D17)</f>
        <v>1151</v>
      </c>
    </row>
    <row r="19" spans="1:4" x14ac:dyDescent="0.3">
      <c r="A19" s="1" t="s">
        <v>13</v>
      </c>
      <c r="B19" s="4">
        <v>0</v>
      </c>
      <c r="C19" s="4">
        <v>0</v>
      </c>
      <c r="D19" s="4">
        <v>0</v>
      </c>
    </row>
    <row r="20" spans="1:4" x14ac:dyDescent="0.3">
      <c r="A20" s="1" t="s">
        <v>61</v>
      </c>
      <c r="B20" s="3">
        <f>SUM(B18:B19)</f>
        <v>1721</v>
      </c>
      <c r="C20" s="3">
        <f>SUM(C18:C19)</f>
        <v>2054</v>
      </c>
      <c r="D20" s="3">
        <f>SUM(D18:D19)</f>
        <v>1151</v>
      </c>
    </row>
    <row r="22" spans="1:4" x14ac:dyDescent="0.3">
      <c r="A22" s="2" t="s">
        <v>75</v>
      </c>
      <c r="B22" s="6">
        <v>2008</v>
      </c>
      <c r="C22" s="6">
        <v>2007</v>
      </c>
      <c r="D22" s="6">
        <v>2006</v>
      </c>
    </row>
    <row r="23" spans="1:4" x14ac:dyDescent="0.3">
      <c r="A23" s="1" t="s">
        <v>65</v>
      </c>
      <c r="B23" s="3">
        <f>B2</f>
        <v>58421</v>
      </c>
      <c r="C23" s="3">
        <f>C2</f>
        <v>57550</v>
      </c>
      <c r="D23" s="3">
        <f>D2</f>
        <v>50755</v>
      </c>
    </row>
    <row r="25" spans="1:4" x14ac:dyDescent="0.3">
      <c r="A25" s="1" t="s">
        <v>59</v>
      </c>
      <c r="B25" s="3">
        <f>-B13</f>
        <v>1526</v>
      </c>
      <c r="C25" s="3">
        <f>-C13</f>
        <v>1651</v>
      </c>
      <c r="D25" s="3">
        <f>-D13</f>
        <v>1782</v>
      </c>
    </row>
    <row r="26" spans="1:4" x14ac:dyDescent="0.3">
      <c r="A26" s="1" t="s">
        <v>66</v>
      </c>
      <c r="B26" s="10">
        <f>1-(-B17/B16)</f>
        <v>0.78692272519433015</v>
      </c>
      <c r="C26" s="10">
        <f>1-(-C17/C16)</f>
        <v>0.74071402812838083</v>
      </c>
      <c r="D26" s="10">
        <f>1-(-D17/D16)</f>
        <v>0.70140158439975631</v>
      </c>
    </row>
    <row r="27" spans="1:4" x14ac:dyDescent="0.3">
      <c r="A27" s="1" t="s">
        <v>67</v>
      </c>
      <c r="B27" s="3">
        <f>B25*B26</f>
        <v>1200.8440786465478</v>
      </c>
      <c r="C27" s="3">
        <f>C25*C26</f>
        <v>1222.9188604399567</v>
      </c>
      <c r="D27" s="3">
        <f>D25*D26</f>
        <v>1249.8976234003658</v>
      </c>
    </row>
    <row r="29" spans="1:4" x14ac:dyDescent="0.3">
      <c r="A29" s="1" t="s">
        <v>68</v>
      </c>
      <c r="B29" s="3">
        <f>B12+B15</f>
        <v>1350</v>
      </c>
      <c r="C29" s="3">
        <f>C12+C15</f>
        <v>1486</v>
      </c>
      <c r="D29" s="3">
        <f>D12+D15</f>
        <v>1528</v>
      </c>
    </row>
    <row r="30" spans="1:4" x14ac:dyDescent="0.3">
      <c r="A30" s="1" t="s">
        <v>66</v>
      </c>
      <c r="B30" s="10">
        <f>B26</f>
        <v>0.78692272519433015</v>
      </c>
      <c r="C30" s="10">
        <f>C26</f>
        <v>0.74071402812838083</v>
      </c>
      <c r="D30" s="10">
        <f>D26</f>
        <v>0.70140158439975631</v>
      </c>
    </row>
    <row r="31" spans="1:4" x14ac:dyDescent="0.3">
      <c r="A31" s="1" t="s">
        <v>69</v>
      </c>
      <c r="B31" s="3">
        <f>B29*B30</f>
        <v>1062.3456790123457</v>
      </c>
      <c r="C31" s="3">
        <f>C29*C30</f>
        <v>1100.701045798774</v>
      </c>
      <c r="D31" s="3">
        <f>D29*D30</f>
        <v>1071.7416209628277</v>
      </c>
    </row>
    <row r="32" spans="1:4" x14ac:dyDescent="0.3">
      <c r="B32" s="3"/>
      <c r="C32" s="3"/>
      <c r="D32" s="3"/>
    </row>
    <row r="33" spans="1:4" x14ac:dyDescent="0.3">
      <c r="A33" s="1" t="s">
        <v>73</v>
      </c>
      <c r="B33" s="3">
        <f>-SUM(B6,B8,B9,B10,B14)</f>
        <v>840</v>
      </c>
      <c r="C33" s="3">
        <f t="shared" ref="C33:D33" si="0">-SUM(C6,C8,C9,C10,C14)</f>
        <v>-16</v>
      </c>
      <c r="D33" s="3">
        <f t="shared" si="0"/>
        <v>-229</v>
      </c>
    </row>
    <row r="34" spans="1:4" x14ac:dyDescent="0.3">
      <c r="A34" s="1" t="s">
        <v>66</v>
      </c>
      <c r="B34" s="10">
        <f>B26</f>
        <v>0.78692272519433015</v>
      </c>
      <c r="C34" s="10">
        <f>C26</f>
        <v>0.74071402812838083</v>
      </c>
      <c r="D34" s="10">
        <f>D26</f>
        <v>0.70140158439975631</v>
      </c>
    </row>
    <row r="35" spans="1:4" x14ac:dyDescent="0.3">
      <c r="A35" s="1" t="s">
        <v>74</v>
      </c>
      <c r="B35" s="3">
        <f>B33*B34</f>
        <v>661.01508916323735</v>
      </c>
      <c r="C35" s="3">
        <f>C33*C34</f>
        <v>-11.851424450054093</v>
      </c>
      <c r="D35" s="3">
        <f>D33*D34</f>
        <v>-160.62096282754419</v>
      </c>
    </row>
    <row r="37" spans="1:4" x14ac:dyDescent="0.3">
      <c r="A37" s="1" t="s">
        <v>61</v>
      </c>
      <c r="B37" s="3">
        <f>B20</f>
        <v>1721</v>
      </c>
      <c r="C37" s="3">
        <f t="shared" ref="C37:D37" si="1">C20</f>
        <v>2054</v>
      </c>
      <c r="D37" s="3">
        <f t="shared" si="1"/>
        <v>1151</v>
      </c>
    </row>
    <row r="38" spans="1:4" x14ac:dyDescent="0.3">
      <c r="A38" s="11" t="s">
        <v>72</v>
      </c>
      <c r="B38" s="3">
        <f>B35</f>
        <v>661.01508916323735</v>
      </c>
      <c r="C38" s="3">
        <f>C35</f>
        <v>-11.851424450054093</v>
      </c>
      <c r="D38" s="3">
        <f>D35</f>
        <v>-160.62096282754419</v>
      </c>
    </row>
    <row r="39" spans="1:4" x14ac:dyDescent="0.3">
      <c r="A39" s="11" t="s">
        <v>64</v>
      </c>
      <c r="B39" s="3">
        <f>B27</f>
        <v>1200.8440786465478</v>
      </c>
      <c r="C39" s="3">
        <f>C27</f>
        <v>1222.9188604399567</v>
      </c>
      <c r="D39" s="3">
        <f>D27</f>
        <v>1249.8976234003658</v>
      </c>
    </row>
    <row r="40" spans="1:4" x14ac:dyDescent="0.3">
      <c r="A40" s="11" t="s">
        <v>70</v>
      </c>
      <c r="B40" s="7">
        <f>-B31</f>
        <v>-1062.3456790123457</v>
      </c>
      <c r="C40" s="7">
        <f>-C31</f>
        <v>-1100.701045798774</v>
      </c>
      <c r="D40" s="7">
        <f>-D31</f>
        <v>-1071.7416209628277</v>
      </c>
    </row>
    <row r="41" spans="1:4" x14ac:dyDescent="0.3">
      <c r="A41" s="11" t="s">
        <v>71</v>
      </c>
      <c r="B41" s="3">
        <f>SUM(B37:B40)</f>
        <v>2520.51348879744</v>
      </c>
      <c r="C41" s="3">
        <f>SUM(C37:C40)</f>
        <v>2164.3663901911286</v>
      </c>
      <c r="D41" s="3">
        <f>SUM(D37:D40)</f>
        <v>1168.5350396099939</v>
      </c>
    </row>
  </sheetData>
  <phoneticPr fontId="1" type="noConversion"/>
  <pageMargins left="0.75" right="0.75" top="1" bottom="1" header="0.5" footer="0.5"/>
  <pageSetup paperSize="9" orientation="portrait" horizontalDpi="300" verticalDpi="300" r:id="rId1"/>
  <headerFooter alignWithMargins="0"/>
  <ignoredErrors>
    <ignoredError sqref="B7:D7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8"/>
  <sheetViews>
    <sheetView topLeftCell="A16" workbookViewId="0"/>
  </sheetViews>
  <sheetFormatPr defaultRowHeight="13.8" x14ac:dyDescent="0.3"/>
  <cols>
    <col min="1" max="1" width="38.21875" style="1" bestFit="1" customWidth="1"/>
    <col min="2" max="4" width="10.44140625" style="1" customWidth="1"/>
    <col min="5" max="16384" width="8.88671875" style="1"/>
  </cols>
  <sheetData>
    <row r="1" spans="1:4" x14ac:dyDescent="0.3">
      <c r="A1" s="2" t="s">
        <v>109</v>
      </c>
      <c r="B1" s="6">
        <v>2008</v>
      </c>
      <c r="C1" s="6">
        <v>2007</v>
      </c>
      <c r="D1" s="6">
        <v>2006</v>
      </c>
    </row>
    <row r="2" spans="1:4" x14ac:dyDescent="0.3">
      <c r="A2" s="1" t="s">
        <v>16</v>
      </c>
      <c r="B2" s="3">
        <v>7048</v>
      </c>
      <c r="C2" s="3">
        <v>6523</v>
      </c>
      <c r="D2" s="3">
        <v>6421</v>
      </c>
    </row>
    <row r="3" spans="1:4" x14ac:dyDescent="0.3">
      <c r="A3" s="1" t="s">
        <v>17</v>
      </c>
      <c r="B3" s="3">
        <v>12607</v>
      </c>
      <c r="C3" s="3">
        <v>11246</v>
      </c>
      <c r="D3" s="3">
        <v>10540</v>
      </c>
    </row>
    <row r="4" spans="1:4" x14ac:dyDescent="0.3">
      <c r="A4" s="1" t="s">
        <v>18</v>
      </c>
      <c r="B4" s="1">
        <v>0</v>
      </c>
      <c r="C4" s="1">
        <v>10</v>
      </c>
      <c r="D4" s="1">
        <v>19</v>
      </c>
    </row>
    <row r="5" spans="1:4" x14ac:dyDescent="0.3">
      <c r="A5" s="1" t="s">
        <v>19</v>
      </c>
      <c r="B5" s="3">
        <v>2177</v>
      </c>
      <c r="C5" s="3">
        <v>2214</v>
      </c>
      <c r="D5" s="3">
        <v>2280</v>
      </c>
    </row>
    <row r="6" spans="1:4" x14ac:dyDescent="0.3">
      <c r="A6" s="1" t="s">
        <v>20</v>
      </c>
      <c r="B6" s="1">
        <v>505</v>
      </c>
      <c r="C6" s="1">
        <v>396</v>
      </c>
      <c r="D6" s="1">
        <v>247</v>
      </c>
    </row>
    <row r="7" spans="1:4" x14ac:dyDescent="0.3">
      <c r="A7" s="1" t="s">
        <v>21</v>
      </c>
      <c r="B7" s="1">
        <v>120</v>
      </c>
      <c r="C7" s="1">
        <v>31</v>
      </c>
      <c r="D7" s="1">
        <v>11</v>
      </c>
    </row>
    <row r="8" spans="1:4" x14ac:dyDescent="0.3">
      <c r="A8" s="1" t="s">
        <v>22</v>
      </c>
      <c r="B8" s="7">
        <v>2386</v>
      </c>
      <c r="C8" s="7">
        <v>1892</v>
      </c>
      <c r="D8" s="7">
        <v>1860</v>
      </c>
    </row>
    <row r="9" spans="1:4" x14ac:dyDescent="0.3">
      <c r="A9" s="2" t="s">
        <v>23</v>
      </c>
      <c r="B9" s="8">
        <f>SUM(B2:B8)</f>
        <v>24843</v>
      </c>
      <c r="C9" s="8">
        <f>SUM(C2:C8)</f>
        <v>22312</v>
      </c>
      <c r="D9" s="8">
        <f>SUM(D2:D8)</f>
        <v>21378</v>
      </c>
    </row>
    <row r="10" spans="1:4" x14ac:dyDescent="0.3">
      <c r="A10" s="1" t="s">
        <v>24</v>
      </c>
      <c r="B10" s="3">
        <v>11346</v>
      </c>
      <c r="C10" s="3">
        <v>9990</v>
      </c>
      <c r="D10" s="3">
        <v>8548</v>
      </c>
    </row>
    <row r="11" spans="1:4" x14ac:dyDescent="0.3">
      <c r="A11" s="1" t="s">
        <v>25</v>
      </c>
      <c r="B11" s="3">
        <v>4390</v>
      </c>
      <c r="C11" s="3">
        <v>4384</v>
      </c>
      <c r="D11" s="3">
        <v>4944</v>
      </c>
    </row>
    <row r="12" spans="1:4" x14ac:dyDescent="0.3">
      <c r="A12" s="1" t="s">
        <v>26</v>
      </c>
      <c r="B12" s="3">
        <v>13136</v>
      </c>
      <c r="C12" s="3">
        <v>12268</v>
      </c>
      <c r="D12" s="3">
        <v>11743</v>
      </c>
    </row>
    <row r="13" spans="1:4" x14ac:dyDescent="0.3">
      <c r="A13" s="1" t="s">
        <v>27</v>
      </c>
      <c r="B13" s="1">
        <v>770</v>
      </c>
      <c r="C13" s="3">
        <v>1153</v>
      </c>
      <c r="D13" s="3">
        <v>808</v>
      </c>
    </row>
    <row r="14" spans="1:4" x14ac:dyDescent="0.3">
      <c r="A14" s="1" t="s">
        <v>28</v>
      </c>
      <c r="B14" s="3">
        <v>2600</v>
      </c>
      <c r="C14" s="3">
        <v>2291</v>
      </c>
      <c r="D14" s="3">
        <v>2278</v>
      </c>
    </row>
    <row r="15" spans="1:4" x14ac:dyDescent="0.3">
      <c r="A15" s="1" t="s">
        <v>33</v>
      </c>
      <c r="B15" s="1">
        <v>967</v>
      </c>
      <c r="C15" s="3">
        <v>1016</v>
      </c>
      <c r="D15" s="3">
        <v>637</v>
      </c>
    </row>
    <row r="16" spans="1:4" x14ac:dyDescent="0.3">
      <c r="A16" s="1" t="s">
        <v>29</v>
      </c>
      <c r="B16" s="7">
        <v>3683</v>
      </c>
      <c r="C16" s="7">
        <v>6639</v>
      </c>
      <c r="D16" s="7">
        <v>7736</v>
      </c>
    </row>
    <row r="17" spans="1:4" x14ac:dyDescent="0.3">
      <c r="A17" s="2" t="s">
        <v>30</v>
      </c>
      <c r="B17" s="8">
        <f>SUM(B10:B16)</f>
        <v>36892</v>
      </c>
      <c r="C17" s="8">
        <f>SUM(C10:C16)</f>
        <v>37741</v>
      </c>
      <c r="D17" s="8">
        <f>SUM(D10:D16)</f>
        <v>36694</v>
      </c>
    </row>
    <row r="18" spans="1:4" x14ac:dyDescent="0.3">
      <c r="A18" s="2" t="s">
        <v>31</v>
      </c>
      <c r="B18" s="9">
        <v>37</v>
      </c>
      <c r="C18" s="9">
        <v>83</v>
      </c>
      <c r="D18" s="9">
        <v>332</v>
      </c>
    </row>
    <row r="19" spans="1:4" x14ac:dyDescent="0.3">
      <c r="A19" s="2" t="s">
        <v>32</v>
      </c>
      <c r="B19" s="8">
        <f>SUM(B9,B17,B18)</f>
        <v>61772</v>
      </c>
      <c r="C19" s="8">
        <f>SUM(C9,C17,C18)</f>
        <v>60136</v>
      </c>
      <c r="D19" s="8">
        <f>SUM(D9,D17,D18)</f>
        <v>58404</v>
      </c>
    </row>
    <row r="21" spans="1:4" x14ac:dyDescent="0.3">
      <c r="A21" s="2" t="s">
        <v>62</v>
      </c>
      <c r="B21" s="8">
        <v>10354</v>
      </c>
      <c r="C21" s="8">
        <v>10606</v>
      </c>
      <c r="D21" s="8">
        <v>9362</v>
      </c>
    </row>
    <row r="22" spans="1:4" x14ac:dyDescent="0.3">
      <c r="A22" s="2" t="s">
        <v>34</v>
      </c>
      <c r="B22" s="2">
        <v>747</v>
      </c>
      <c r="C22" s="2">
        <v>673</v>
      </c>
      <c r="D22" s="2">
        <v>674</v>
      </c>
    </row>
    <row r="23" spans="1:4" x14ac:dyDescent="0.3">
      <c r="A23" s="1" t="s">
        <v>35</v>
      </c>
      <c r="B23" s="3">
        <v>3366</v>
      </c>
      <c r="C23" s="3">
        <v>3597</v>
      </c>
      <c r="D23" s="3">
        <v>3761</v>
      </c>
    </row>
    <row r="24" spans="1:4" x14ac:dyDescent="0.3">
      <c r="A24" s="1" t="s">
        <v>36</v>
      </c>
      <c r="B24" s="3">
        <v>4778</v>
      </c>
      <c r="C24" s="3">
        <v>4965</v>
      </c>
      <c r="D24" s="3">
        <v>4850</v>
      </c>
    </row>
    <row r="25" spans="1:4" x14ac:dyDescent="0.3">
      <c r="A25" s="1" t="s">
        <v>37</v>
      </c>
      <c r="B25" s="3">
        <v>6663</v>
      </c>
      <c r="C25" s="3">
        <v>6820</v>
      </c>
      <c r="D25" s="3">
        <v>8344</v>
      </c>
    </row>
    <row r="26" spans="1:4" x14ac:dyDescent="0.3">
      <c r="A26" s="1" t="s">
        <v>38</v>
      </c>
      <c r="B26" s="3">
        <v>14716</v>
      </c>
      <c r="C26" s="3">
        <v>11131</v>
      </c>
      <c r="D26" s="3">
        <v>11844</v>
      </c>
    </row>
    <row r="27" spans="1:4" x14ac:dyDescent="0.3">
      <c r="A27" s="1" t="s">
        <v>39</v>
      </c>
      <c r="B27" s="3">
        <v>1202</v>
      </c>
      <c r="C27" s="1">
        <v>188</v>
      </c>
      <c r="D27" s="1">
        <v>105</v>
      </c>
    </row>
    <row r="28" spans="1:4" x14ac:dyDescent="0.3">
      <c r="A28" s="1" t="s">
        <v>40</v>
      </c>
      <c r="B28" s="3">
        <v>13258</v>
      </c>
      <c r="C28" s="3">
        <v>14725</v>
      </c>
      <c r="D28" s="3">
        <v>12603</v>
      </c>
    </row>
    <row r="29" spans="1:4" x14ac:dyDescent="0.3">
      <c r="A29" s="1" t="s">
        <v>41</v>
      </c>
      <c r="B29" s="1">
        <v>331</v>
      </c>
      <c r="C29" s="1">
        <v>631</v>
      </c>
      <c r="D29" s="1">
        <v>311</v>
      </c>
    </row>
    <row r="30" spans="1:4" x14ac:dyDescent="0.3">
      <c r="A30" s="1" t="s">
        <v>42</v>
      </c>
      <c r="B30" s="1">
        <v>170</v>
      </c>
      <c r="C30" s="1">
        <v>193</v>
      </c>
      <c r="D30" s="1">
        <v>263</v>
      </c>
    </row>
    <row r="31" spans="1:4" x14ac:dyDescent="0.3">
      <c r="A31" s="1" t="s">
        <v>43</v>
      </c>
      <c r="B31" s="3">
        <v>6185</v>
      </c>
      <c r="C31" s="3">
        <v>6572</v>
      </c>
      <c r="D31" s="3">
        <v>5978</v>
      </c>
    </row>
    <row r="32" spans="1:4" x14ac:dyDescent="0.3">
      <c r="A32" s="1" t="s">
        <v>44</v>
      </c>
      <c r="B32" s="4">
        <v>2</v>
      </c>
      <c r="C32" s="4">
        <v>35</v>
      </c>
      <c r="D32" s="4">
        <v>309</v>
      </c>
    </row>
    <row r="33" spans="1:4" x14ac:dyDescent="0.3">
      <c r="A33" s="2" t="s">
        <v>45</v>
      </c>
      <c r="B33" s="8">
        <f>SUM(B21:B32)</f>
        <v>61772</v>
      </c>
      <c r="C33" s="8">
        <f>SUM(C21:C32)</f>
        <v>60136</v>
      </c>
      <c r="D33" s="8">
        <f>SUM(D21:D32)</f>
        <v>58404</v>
      </c>
    </row>
    <row r="35" spans="1:4" x14ac:dyDescent="0.3">
      <c r="A35" s="2" t="s">
        <v>77</v>
      </c>
      <c r="B35" s="6">
        <v>2008</v>
      </c>
      <c r="C35" s="6">
        <v>2007</v>
      </c>
      <c r="D35" s="6">
        <v>2006</v>
      </c>
    </row>
    <row r="36" spans="1:4" ht="14.4" x14ac:dyDescent="0.3">
      <c r="A36" s="12" t="s">
        <v>78</v>
      </c>
    </row>
    <row r="37" spans="1:4" ht="14.4" x14ac:dyDescent="0.3">
      <c r="A37" s="13" t="s">
        <v>110</v>
      </c>
      <c r="B37" s="3">
        <f>MIN(5%*'Income statement'!B2,B16)</f>
        <v>2921.05</v>
      </c>
      <c r="C37" s="3">
        <f>MIN(5%*'Income statement'!C2,C16)</f>
        <v>2877.5</v>
      </c>
      <c r="D37" s="3">
        <f>MIN(5%*'Income statement'!D2,D16)</f>
        <v>2537.75</v>
      </c>
    </row>
    <row r="38" spans="1:4" ht="14.4" x14ac:dyDescent="0.3">
      <c r="A38" s="14" t="s">
        <v>79</v>
      </c>
      <c r="B38" s="3">
        <f>B11</f>
        <v>4390</v>
      </c>
      <c r="C38" s="3">
        <f>C11</f>
        <v>4384</v>
      </c>
      <c r="D38" s="3">
        <f>D11</f>
        <v>4944</v>
      </c>
    </row>
    <row r="39" spans="1:4" ht="14.4" x14ac:dyDescent="0.3">
      <c r="A39" s="13" t="s">
        <v>80</v>
      </c>
      <c r="B39" s="3">
        <f>B10</f>
        <v>11346</v>
      </c>
      <c r="C39" s="3">
        <f>C10</f>
        <v>9990</v>
      </c>
      <c r="D39" s="3">
        <f>D10</f>
        <v>8548</v>
      </c>
    </row>
    <row r="40" spans="1:4" ht="14.4" x14ac:dyDescent="0.3">
      <c r="A40" s="13" t="s">
        <v>81</v>
      </c>
      <c r="B40" s="3">
        <f>B13+B14</f>
        <v>3370</v>
      </c>
      <c r="C40" s="3">
        <f>C13+C14</f>
        <v>3444</v>
      </c>
      <c r="D40" s="3">
        <f>D13+D14</f>
        <v>3086</v>
      </c>
    </row>
    <row r="41" spans="1:4" ht="14.4" x14ac:dyDescent="0.3">
      <c r="A41" s="13" t="s">
        <v>82</v>
      </c>
      <c r="B41" s="3">
        <f>-B28</f>
        <v>-13258</v>
      </c>
      <c r="C41" s="3">
        <f>-C28</f>
        <v>-14725</v>
      </c>
      <c r="D41" s="3">
        <f>-D28</f>
        <v>-12603</v>
      </c>
    </row>
    <row r="42" spans="1:4" ht="14.4" x14ac:dyDescent="0.3">
      <c r="A42" s="13" t="s">
        <v>83</v>
      </c>
      <c r="B42" s="7">
        <f>-B29-B31</f>
        <v>-6516</v>
      </c>
      <c r="C42" s="7">
        <f>-C29-C31</f>
        <v>-7203</v>
      </c>
      <c r="D42" s="7">
        <f>-D29-D31</f>
        <v>-6289</v>
      </c>
    </row>
    <row r="43" spans="1:4" ht="14.4" x14ac:dyDescent="0.3">
      <c r="A43" s="15" t="s">
        <v>84</v>
      </c>
      <c r="B43" s="3">
        <f>SUM(B37:B42)</f>
        <v>2253.0499999999993</v>
      </c>
      <c r="C43" s="3">
        <f>SUM(C37:C42)</f>
        <v>-1232.5</v>
      </c>
      <c r="D43" s="3">
        <f>SUM(D37:D42)</f>
        <v>223.75</v>
      </c>
    </row>
    <row r="44" spans="1:4" ht="14.4" x14ac:dyDescent="0.3">
      <c r="A44" s="16" t="s">
        <v>85</v>
      </c>
    </row>
    <row r="45" spans="1:4" ht="14.4" x14ac:dyDescent="0.3">
      <c r="A45" s="13" t="s">
        <v>86</v>
      </c>
      <c r="B45" s="3">
        <f>B3+B6</f>
        <v>13112</v>
      </c>
      <c r="C45" s="3">
        <f>C3+C6</f>
        <v>11642</v>
      </c>
      <c r="D45" s="3">
        <f>D3+D6</f>
        <v>10787</v>
      </c>
    </row>
    <row r="46" spans="1:4" ht="14.4" x14ac:dyDescent="0.3">
      <c r="A46" s="13" t="s">
        <v>87</v>
      </c>
      <c r="B46" s="3">
        <f>B2</f>
        <v>7048</v>
      </c>
      <c r="C46" s="3">
        <f>C2</f>
        <v>6523</v>
      </c>
      <c r="D46" s="3">
        <f>D2</f>
        <v>6421</v>
      </c>
    </row>
    <row r="47" spans="1:4" ht="14.4" x14ac:dyDescent="0.3">
      <c r="A47" s="13" t="s">
        <v>88</v>
      </c>
      <c r="B47" s="1">
        <v>0</v>
      </c>
      <c r="C47" s="1">
        <v>0</v>
      </c>
      <c r="D47" s="1">
        <v>0</v>
      </c>
    </row>
    <row r="48" spans="1:4" ht="14.4" x14ac:dyDescent="0.3">
      <c r="A48" s="13" t="s">
        <v>89</v>
      </c>
      <c r="B48" s="3">
        <f>-(B30-B8)</f>
        <v>2216</v>
      </c>
      <c r="C48" s="3">
        <f>-(C30-C8)</f>
        <v>1699</v>
      </c>
      <c r="D48" s="3">
        <f>-(D30-D8)</f>
        <v>1597</v>
      </c>
    </row>
    <row r="49" spans="1:4" ht="28.8" x14ac:dyDescent="0.3">
      <c r="A49" s="13" t="s">
        <v>90</v>
      </c>
      <c r="B49" s="4">
        <v>0</v>
      </c>
      <c r="C49" s="4">
        <v>0</v>
      </c>
      <c r="D49" s="4">
        <v>0</v>
      </c>
    </row>
    <row r="50" spans="1:4" ht="28.8" x14ac:dyDescent="0.3">
      <c r="A50" s="15" t="s">
        <v>91</v>
      </c>
      <c r="B50" s="3">
        <f>SUM(B45:B49)</f>
        <v>22376</v>
      </c>
      <c r="C50" s="3">
        <f>SUM(C45:C49)</f>
        <v>19864</v>
      </c>
      <c r="D50" s="3">
        <f>SUM(D45:D49)</f>
        <v>18805</v>
      </c>
    </row>
    <row r="51" spans="1:4" ht="14.4" x14ac:dyDescent="0.3">
      <c r="A51" s="16" t="s">
        <v>92</v>
      </c>
    </row>
    <row r="52" spans="1:4" ht="14.4" x14ac:dyDescent="0.3">
      <c r="A52" s="13" t="s">
        <v>93</v>
      </c>
      <c r="B52" s="3">
        <f>MAX(0,B16-B37)</f>
        <v>761.94999999999982</v>
      </c>
      <c r="C52" s="3">
        <f>MAX(0,C16-C37)</f>
        <v>3761.5</v>
      </c>
      <c r="D52" s="3">
        <f>MAX(0,D16-D37)</f>
        <v>5198.25</v>
      </c>
    </row>
    <row r="53" spans="1:4" ht="14.4" x14ac:dyDescent="0.3">
      <c r="A53" s="13" t="s">
        <v>94</v>
      </c>
      <c r="B53" s="3">
        <f>B5</f>
        <v>2177</v>
      </c>
      <c r="C53" s="3">
        <f>C5</f>
        <v>2214</v>
      </c>
      <c r="D53" s="3">
        <f>D5</f>
        <v>2280</v>
      </c>
    </row>
    <row r="54" spans="1:4" ht="14.4" x14ac:dyDescent="0.3">
      <c r="A54" s="13" t="s">
        <v>95</v>
      </c>
      <c r="B54" s="7">
        <f>B4+B7+B12+B15</f>
        <v>14223</v>
      </c>
      <c r="C54" s="7">
        <f t="shared" ref="C54:D54" si="0">C4+C7+C12+C15</f>
        <v>13325</v>
      </c>
      <c r="D54" s="7">
        <f t="shared" si="0"/>
        <v>12410</v>
      </c>
    </row>
    <row r="55" spans="1:4" ht="14.4" x14ac:dyDescent="0.3">
      <c r="A55" s="15" t="s">
        <v>96</v>
      </c>
      <c r="B55" s="3">
        <f>SUM(B52:B54)</f>
        <v>17161.95</v>
      </c>
      <c r="C55" s="3">
        <f>SUM(C52:C54)</f>
        <v>19300.5</v>
      </c>
      <c r="D55" s="3">
        <f>SUM(D52:D54)</f>
        <v>19888.25</v>
      </c>
    </row>
    <row r="56" spans="1:4" ht="14.4" x14ac:dyDescent="0.3">
      <c r="A56" s="12" t="s">
        <v>97</v>
      </c>
      <c r="B56" s="3">
        <f>B43+B50+B55</f>
        <v>41791</v>
      </c>
      <c r="C56" s="3">
        <f>C43+C50+C55</f>
        <v>37932</v>
      </c>
      <c r="D56" s="3">
        <f>D43+D50+D55</f>
        <v>38917</v>
      </c>
    </row>
    <row r="57" spans="1:4" ht="14.4" x14ac:dyDescent="0.3">
      <c r="A57" s="12"/>
    </row>
    <row r="58" spans="1:4" ht="14.4" x14ac:dyDescent="0.3">
      <c r="A58" s="12" t="s">
        <v>98</v>
      </c>
    </row>
    <row r="59" spans="1:4" ht="14.4" x14ac:dyDescent="0.3">
      <c r="A59" s="13" t="s">
        <v>99</v>
      </c>
      <c r="B59" s="1">
        <f>0</f>
        <v>0</v>
      </c>
      <c r="C59" s="1">
        <f>0</f>
        <v>0</v>
      </c>
      <c r="D59" s="1">
        <f>0</f>
        <v>0</v>
      </c>
    </row>
    <row r="60" spans="1:4" ht="14.4" x14ac:dyDescent="0.3">
      <c r="A60" s="13" t="s">
        <v>100</v>
      </c>
      <c r="B60" s="3">
        <f>B23+B24+B25+B26+B27</f>
        <v>30725</v>
      </c>
      <c r="C60" s="3">
        <f>C23+C24+C25+C26+C27</f>
        <v>26701</v>
      </c>
      <c r="D60" s="3">
        <f>D23+D24+D25+D26+D27</f>
        <v>28904</v>
      </c>
    </row>
    <row r="61" spans="1:4" ht="14.4" x14ac:dyDescent="0.3">
      <c r="A61" s="14" t="s">
        <v>101</v>
      </c>
      <c r="B61" s="4">
        <v>0</v>
      </c>
      <c r="C61" s="4">
        <v>0</v>
      </c>
      <c r="D61" s="4">
        <v>0</v>
      </c>
    </row>
    <row r="62" spans="1:4" ht="14.4" x14ac:dyDescent="0.3">
      <c r="A62" s="15" t="s">
        <v>102</v>
      </c>
      <c r="B62" s="3">
        <f>SUM(B59:B61)</f>
        <v>30725</v>
      </c>
      <c r="C62" s="3">
        <f>SUM(C59:C61)</f>
        <v>26701</v>
      </c>
      <c r="D62" s="3">
        <f>SUM(D59:D61)</f>
        <v>28904</v>
      </c>
    </row>
    <row r="63" spans="1:4" ht="14.4" x14ac:dyDescent="0.3">
      <c r="A63" s="12" t="s">
        <v>103</v>
      </c>
    </row>
    <row r="64" spans="1:4" ht="14.4" x14ac:dyDescent="0.3">
      <c r="A64" s="13" t="s">
        <v>104</v>
      </c>
      <c r="B64" s="3">
        <f>B21</f>
        <v>10354</v>
      </c>
      <c r="C64" s="3">
        <f t="shared" ref="C64:D64" si="1">C21</f>
        <v>10606</v>
      </c>
      <c r="D64" s="3">
        <f t="shared" si="1"/>
        <v>9362</v>
      </c>
    </row>
    <row r="65" spans="1:4" ht="14.4" x14ac:dyDescent="0.3">
      <c r="A65" s="14" t="s">
        <v>105</v>
      </c>
      <c r="B65" s="1">
        <f>B22</f>
        <v>747</v>
      </c>
      <c r="C65" s="1">
        <f t="shared" ref="C65:D65" si="2">C22</f>
        <v>673</v>
      </c>
      <c r="D65" s="1">
        <f t="shared" si="2"/>
        <v>674</v>
      </c>
    </row>
    <row r="66" spans="1:4" ht="14.4" x14ac:dyDescent="0.3">
      <c r="A66" s="14" t="s">
        <v>106</v>
      </c>
      <c r="B66" s="4">
        <f>-(B18-B32)</f>
        <v>-35</v>
      </c>
      <c r="C66" s="4">
        <f t="shared" ref="C66:D66" si="3">-(C18-C32)</f>
        <v>-48</v>
      </c>
      <c r="D66" s="4">
        <f t="shared" si="3"/>
        <v>-23</v>
      </c>
    </row>
    <row r="67" spans="1:4" ht="14.4" x14ac:dyDescent="0.3">
      <c r="A67" s="17" t="s">
        <v>107</v>
      </c>
      <c r="B67" s="3">
        <f>SUM(B64:B66)</f>
        <v>11066</v>
      </c>
      <c r="C67" s="3">
        <f>SUM(C64:C66)</f>
        <v>11231</v>
      </c>
      <c r="D67" s="3">
        <f>SUM(D64:D66)</f>
        <v>10013</v>
      </c>
    </row>
    <row r="68" spans="1:4" ht="14.4" x14ac:dyDescent="0.3">
      <c r="A68" s="12" t="s">
        <v>108</v>
      </c>
      <c r="B68" s="3">
        <f>B62+B67</f>
        <v>41791</v>
      </c>
      <c r="C68" s="3">
        <f>C62+C67</f>
        <v>37932</v>
      </c>
      <c r="D68" s="3">
        <f>D62+D67</f>
        <v>38917</v>
      </c>
    </row>
  </sheetData>
  <phoneticPr fontId="1" type="noConversion"/>
  <pageMargins left="0.75" right="0.75" top="1" bottom="1" header="0.5" footer="0.5"/>
  <headerFooter alignWithMargins="0"/>
  <ignoredErrors>
    <ignoredError sqref="B9:D9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"/>
  <sheetViews>
    <sheetView workbookViewId="0"/>
  </sheetViews>
  <sheetFormatPr defaultRowHeight="13.8" x14ac:dyDescent="0.3"/>
  <cols>
    <col min="1" max="1" width="66.21875" style="1" bestFit="1" customWidth="1"/>
    <col min="2" max="16384" width="8.88671875" style="1"/>
  </cols>
  <sheetData>
    <row r="1" spans="1:4" x14ac:dyDescent="0.3">
      <c r="B1" s="2">
        <v>2008</v>
      </c>
      <c r="C1" s="2">
        <v>2007</v>
      </c>
      <c r="D1" s="2">
        <v>2006</v>
      </c>
    </row>
    <row r="2" spans="1:4" x14ac:dyDescent="0.3">
      <c r="A2" s="1" t="s">
        <v>14</v>
      </c>
      <c r="B2" s="3">
        <v>1721</v>
      </c>
      <c r="C2" s="3">
        <v>2054</v>
      </c>
      <c r="D2" s="1">
        <v>1151</v>
      </c>
    </row>
    <row r="3" spans="1:4" x14ac:dyDescent="0.3">
      <c r="A3" s="1" t="s">
        <v>46</v>
      </c>
      <c r="B3" s="3">
        <v>2901</v>
      </c>
      <c r="C3" s="3">
        <v>2738</v>
      </c>
      <c r="D3" s="1">
        <v>2969</v>
      </c>
    </row>
    <row r="4" spans="1:4" x14ac:dyDescent="0.3">
      <c r="A4" s="1" t="s">
        <v>47</v>
      </c>
      <c r="B4" s="1">
        <v>-50</v>
      </c>
      <c r="C4" s="1">
        <v>-297</v>
      </c>
      <c r="D4" s="1">
        <v>-575</v>
      </c>
    </row>
    <row r="5" spans="1:4" x14ac:dyDescent="0.3">
      <c r="A5" s="1" t="s">
        <v>48</v>
      </c>
      <c r="B5" s="1">
        <v>253</v>
      </c>
      <c r="C5" s="1">
        <v>-138</v>
      </c>
      <c r="D5" s="1">
        <v>7</v>
      </c>
    </row>
    <row r="6" spans="1:4" x14ac:dyDescent="0.3">
      <c r="A6" s="1" t="s">
        <v>49</v>
      </c>
      <c r="B6" s="1">
        <v>84</v>
      </c>
      <c r="C6" s="1">
        <v>81</v>
      </c>
      <c r="D6" s="1">
        <v>69</v>
      </c>
    </row>
    <row r="7" spans="1:4" x14ac:dyDescent="0.3">
      <c r="A7" s="1" t="s">
        <v>50</v>
      </c>
      <c r="B7" s="1">
        <v>-161</v>
      </c>
      <c r="C7" s="1">
        <v>6</v>
      </c>
      <c r="D7" s="1">
        <v>229</v>
      </c>
    </row>
    <row r="8" spans="1:4" x14ac:dyDescent="0.3">
      <c r="A8" s="1" t="s">
        <v>51</v>
      </c>
      <c r="B8" s="1">
        <v>-490</v>
      </c>
      <c r="C8" s="1">
        <v>-157</v>
      </c>
      <c r="D8" s="1">
        <v>-26</v>
      </c>
    </row>
    <row r="9" spans="1:4" x14ac:dyDescent="0.3">
      <c r="A9" s="1" t="s">
        <v>52</v>
      </c>
      <c r="B9" s="1">
        <v>-88</v>
      </c>
      <c r="C9" s="1">
        <v>34</v>
      </c>
      <c r="D9" s="1">
        <v>-18</v>
      </c>
    </row>
    <row r="10" spans="1:4" x14ac:dyDescent="0.3">
      <c r="A10" s="1" t="s">
        <v>53</v>
      </c>
      <c r="B10" s="7">
        <v>-3786</v>
      </c>
      <c r="C10" s="7">
        <v>1588</v>
      </c>
      <c r="D10" s="4">
        <v>812</v>
      </c>
    </row>
    <row r="11" spans="1:4" x14ac:dyDescent="0.3">
      <c r="A11" s="2" t="s">
        <v>63</v>
      </c>
      <c r="B11" s="8">
        <f>SUM(B2:B10)</f>
        <v>384</v>
      </c>
      <c r="C11" s="8">
        <f>SUM(C2:C10)</f>
        <v>5909</v>
      </c>
      <c r="D11" s="8">
        <f>SUM(D2:D10)</f>
        <v>4618</v>
      </c>
    </row>
    <row r="12" spans="1:4" x14ac:dyDescent="0.3">
      <c r="C12" s="3"/>
    </row>
    <row r="13" spans="1:4" x14ac:dyDescent="0.3">
      <c r="A13" s="2" t="s">
        <v>55</v>
      </c>
      <c r="B13" s="8">
        <v>-6310</v>
      </c>
      <c r="C13" s="8">
        <v>-4601</v>
      </c>
      <c r="D13" s="2">
        <v>-1390</v>
      </c>
    </row>
    <row r="15" spans="1:4" x14ac:dyDescent="0.3">
      <c r="A15" s="2" t="s">
        <v>54</v>
      </c>
      <c r="B15" s="8">
        <v>3127</v>
      </c>
      <c r="C15" s="8">
        <v>-2375</v>
      </c>
      <c r="D15" s="2">
        <v>-1731</v>
      </c>
    </row>
    <row r="16" spans="1:4" x14ac:dyDescent="0.3">
      <c r="B16" s="3"/>
      <c r="C16" s="3"/>
    </row>
    <row r="17" spans="1:4" x14ac:dyDescent="0.3">
      <c r="A17" s="1" t="s">
        <v>56</v>
      </c>
      <c r="B17" s="1">
        <v>-159</v>
      </c>
      <c r="C17" s="1">
        <v>-33</v>
      </c>
      <c r="D17" s="1">
        <v>-173</v>
      </c>
    </row>
    <row r="18" spans="1:4" x14ac:dyDescent="0.3">
      <c r="B18" s="4"/>
      <c r="C18" s="4"/>
      <c r="D18" s="4"/>
    </row>
    <row r="19" spans="1:4" x14ac:dyDescent="0.3">
      <c r="A19" s="2" t="s">
        <v>57</v>
      </c>
      <c r="B19" s="8">
        <f>SUM(B11,B13,B15,B17)</f>
        <v>-2958</v>
      </c>
      <c r="C19" s="8">
        <f>SUM(C11,C13,C15,C17)</f>
        <v>-1100</v>
      </c>
      <c r="D19" s="8">
        <f>SUM(D11,D13,D15,D17)</f>
        <v>1324</v>
      </c>
    </row>
  </sheetData>
  <phoneticPr fontId="1" type="noConversion"/>
  <pageMargins left="0.75" right="0.75" top="1" bottom="1" header="0.5" footer="0.5"/>
  <pageSetup paperSize="9" orientation="portrait" horizontalDpi="300" verticalDpi="300" r:id="rId1"/>
  <headerFooter alignWithMargins="0"/>
  <ignoredErrors>
    <ignoredError sqref="B11:D11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5"/>
  <sheetViews>
    <sheetView workbookViewId="0"/>
  </sheetViews>
  <sheetFormatPr defaultColWidth="9.109375" defaultRowHeight="14.4" x14ac:dyDescent="0.3"/>
  <cols>
    <col min="1" max="1" width="37.109375" style="18" customWidth="1"/>
    <col min="2" max="4" width="14" style="18" customWidth="1"/>
    <col min="5" max="16384" width="9.109375" style="18"/>
  </cols>
  <sheetData>
    <row r="1" spans="1:6" x14ac:dyDescent="0.3">
      <c r="A1" s="19"/>
      <c r="B1" s="29">
        <v>2008</v>
      </c>
      <c r="C1" s="29">
        <v>2007</v>
      </c>
      <c r="D1" s="29">
        <v>2006</v>
      </c>
    </row>
    <row r="2" spans="1:6" x14ac:dyDescent="0.3">
      <c r="A2" s="12" t="s">
        <v>111</v>
      </c>
      <c r="B2" s="21">
        <f>('Income statement'!B20+'Income statement'!B35)/'Balance sheet'!B67</f>
        <v>0.21525529452044437</v>
      </c>
      <c r="C2" s="21">
        <f>('Income statement'!C20+'Income statement'!C35)/'Balance sheet'!C67</f>
        <v>0.18183141087614157</v>
      </c>
      <c r="D2" s="21">
        <f>('Income statement'!D20+'Income statement'!D35)/'Balance sheet'!D67</f>
        <v>9.8909321599166669E-2</v>
      </c>
      <c r="F2" s="22"/>
    </row>
    <row r="3" spans="1:6" x14ac:dyDescent="0.3">
      <c r="A3" s="31"/>
      <c r="B3" s="20"/>
      <c r="C3" s="20"/>
      <c r="D3" s="20"/>
    </row>
    <row r="4" spans="1:6" x14ac:dyDescent="0.3">
      <c r="A4" s="30" t="s">
        <v>113</v>
      </c>
      <c r="B4" s="21">
        <f>'Income statement'!B41/'Income statement'!B23</f>
        <v>4.3143963451454784E-2</v>
      </c>
      <c r="C4" s="21">
        <f>'Income statement'!C41/'Income statement'!C23</f>
        <v>3.7608451610619091E-2</v>
      </c>
      <c r="D4" s="21">
        <f>'Income statement'!D41/'Income statement'!D23</f>
        <v>2.3023052696482985E-2</v>
      </c>
    </row>
    <row r="5" spans="1:6" x14ac:dyDescent="0.3">
      <c r="A5" s="30" t="s">
        <v>114</v>
      </c>
      <c r="B5" s="23">
        <f>'Income statement'!B23/SUM('Balance sheet'!B50,'Balance sheet'!B43)</f>
        <v>2.3720362742371308</v>
      </c>
      <c r="C5" s="23">
        <f>'Income statement'!C23/SUM('Balance sheet'!C50,'Balance sheet'!C43)</f>
        <v>3.0888548962778093</v>
      </c>
      <c r="D5" s="23">
        <f>'Income statement'!D23/SUM('Balance sheet'!D50,'Balance sheet'!D43)</f>
        <v>2.6672797740261447</v>
      </c>
    </row>
    <row r="6" spans="1:6" x14ac:dyDescent="0.3">
      <c r="A6" s="12" t="s">
        <v>115</v>
      </c>
      <c r="B6" s="21">
        <f t="shared" ref="B6:D6" si="0">B4*B5</f>
        <v>0.10233904632121175</v>
      </c>
      <c r="C6" s="21">
        <f t="shared" si="0"/>
        <v>0.11616704989888785</v>
      </c>
      <c r="D6" s="21">
        <f t="shared" si="0"/>
        <v>6.1408922793667158E-2</v>
      </c>
    </row>
    <row r="7" spans="1:6" x14ac:dyDescent="0.3">
      <c r="A7" s="30"/>
      <c r="B7" s="21"/>
      <c r="C7" s="21"/>
      <c r="D7" s="21"/>
    </row>
    <row r="8" spans="1:6" x14ac:dyDescent="0.3">
      <c r="A8" s="30" t="s">
        <v>116</v>
      </c>
      <c r="B8" s="21">
        <f t="shared" ref="B8:D8" si="1">B6</f>
        <v>0.10233904632121175</v>
      </c>
      <c r="C8" s="21">
        <f t="shared" si="1"/>
        <v>0.11616704989888785</v>
      </c>
      <c r="D8" s="21">
        <f t="shared" si="1"/>
        <v>6.1408922793667158E-2</v>
      </c>
    </row>
    <row r="9" spans="1:6" x14ac:dyDescent="0.3">
      <c r="A9" s="32" t="s">
        <v>117</v>
      </c>
      <c r="B9" s="24">
        <f>SUM('Balance sheet'!B43,'Balance sheet'!B50)/'Balance sheet'!B56</f>
        <v>0.58933861357708595</v>
      </c>
      <c r="C9" s="24">
        <f>SUM('Balance sheet'!C43,'Balance sheet'!C50)/'Balance sheet'!C56</f>
        <v>0.49118158810503004</v>
      </c>
      <c r="D9" s="24">
        <f>SUM('Balance sheet'!D43,'Balance sheet'!D50)/'Balance sheet'!D56</f>
        <v>0.48895726803196549</v>
      </c>
    </row>
    <row r="10" spans="1:6" x14ac:dyDescent="0.3">
      <c r="A10" s="33" t="s">
        <v>118</v>
      </c>
      <c r="B10" s="25">
        <f>'Income statement'!B31/'Balance sheet'!B55</f>
        <v>6.1901222122914101E-2</v>
      </c>
      <c r="C10" s="25">
        <f>'Income statement'!C31/'Balance sheet'!C55</f>
        <v>5.7029664816910131E-2</v>
      </c>
      <c r="D10" s="25">
        <f>'Income statement'!D31/'Balance sheet'!D55</f>
        <v>5.388818126093687E-2</v>
      </c>
    </row>
    <row r="11" spans="1:6" x14ac:dyDescent="0.3">
      <c r="A11" s="32" t="s">
        <v>119</v>
      </c>
      <c r="B11" s="23">
        <f t="shared" ref="B11:D11" si="2">1-B9</f>
        <v>0.41066138642291405</v>
      </c>
      <c r="C11" s="23">
        <f t="shared" si="2"/>
        <v>0.5088184118949699</v>
      </c>
      <c r="D11" s="23">
        <f t="shared" si="2"/>
        <v>0.51104273196803451</v>
      </c>
    </row>
    <row r="12" spans="1:6" x14ac:dyDescent="0.3">
      <c r="A12" s="16" t="s">
        <v>120</v>
      </c>
      <c r="B12" s="21">
        <f t="shared" ref="B12:D12" si="3">(B9*B6+B11*B10)</f>
        <v>8.5732793372012783E-2</v>
      </c>
      <c r="C12" s="21">
        <f t="shared" si="3"/>
        <v>8.6076859537854655E-2</v>
      </c>
      <c r="D12" s="21">
        <f t="shared" si="3"/>
        <v>5.7565502494355207E-2</v>
      </c>
    </row>
    <row r="13" spans="1:6" x14ac:dyDescent="0.3">
      <c r="A13" s="30"/>
      <c r="B13" s="21"/>
      <c r="C13" s="21"/>
      <c r="D13" s="21"/>
    </row>
    <row r="14" spans="1:6" x14ac:dyDescent="0.3">
      <c r="A14" s="30" t="s">
        <v>121</v>
      </c>
      <c r="B14" s="21">
        <f>B12-('Income statement'!B27/'Balance sheet'!B62)</f>
        <v>4.6649178119073882E-2</v>
      </c>
      <c r="C14" s="21">
        <f>C12-('Income statement'!C27/'Balance sheet'!C62)</f>
        <v>4.0276370401119824E-2</v>
      </c>
      <c r="D14" s="21">
        <f>D12-('Income statement'!D27/'Balance sheet'!D62)</f>
        <v>1.4322434981195585E-2</v>
      </c>
    </row>
    <row r="15" spans="1:6" x14ac:dyDescent="0.3">
      <c r="A15" s="30" t="s">
        <v>112</v>
      </c>
      <c r="B15" s="23">
        <f>'Balance sheet'!B62/'Balance sheet'!B67</f>
        <v>2.7765226820892823</v>
      </c>
      <c r="C15" s="23">
        <f>'Balance sheet'!C62/'Balance sheet'!C67</f>
        <v>2.3774374499154125</v>
      </c>
      <c r="D15" s="23">
        <f>'Balance sheet'!D62/'Balance sheet'!D67</f>
        <v>2.8866473584340357</v>
      </c>
    </row>
    <row r="16" spans="1:6" x14ac:dyDescent="0.3">
      <c r="A16" s="12" t="s">
        <v>122</v>
      </c>
      <c r="B16" s="21">
        <f t="shared" ref="B16:D16" si="4">B14*B15</f>
        <v>0.12952250114843167</v>
      </c>
      <c r="C16" s="21">
        <f t="shared" si="4"/>
        <v>9.575455133828692E-2</v>
      </c>
      <c r="D16" s="21">
        <f t="shared" si="4"/>
        <v>4.1343819104811462E-2</v>
      </c>
    </row>
    <row r="17" spans="1:4" x14ac:dyDescent="0.3">
      <c r="A17" s="30"/>
      <c r="B17" s="21"/>
      <c r="C17" s="21"/>
      <c r="D17" s="21"/>
    </row>
    <row r="18" spans="1:4" ht="28.8" x14ac:dyDescent="0.3">
      <c r="A18" s="34" t="s">
        <v>123</v>
      </c>
      <c r="B18" s="26">
        <f t="shared" ref="B18:D18" si="5">B12+B16</f>
        <v>0.21525529452044445</v>
      </c>
      <c r="C18" s="26">
        <f t="shared" si="5"/>
        <v>0.18183141087614157</v>
      </c>
      <c r="D18" s="26">
        <f t="shared" si="5"/>
        <v>9.8909321599166669E-2</v>
      </c>
    </row>
    <row r="19" spans="1:4" x14ac:dyDescent="0.3">
      <c r="A19" s="35"/>
      <c r="B19" s="35"/>
      <c r="C19" s="35"/>
      <c r="D19" s="35"/>
    </row>
    <row r="20" spans="1:4" x14ac:dyDescent="0.3">
      <c r="A20" s="12" t="s">
        <v>124</v>
      </c>
    </row>
    <row r="21" spans="1:4" x14ac:dyDescent="0.3">
      <c r="A21" s="30" t="s">
        <v>65</v>
      </c>
      <c r="B21" s="21">
        <f>'Income statement'!B2/'Income statement'!B$2</f>
        <v>1</v>
      </c>
      <c r="C21" s="21">
        <f>'Income statement'!C2/'Income statement'!C$2</f>
        <v>1</v>
      </c>
      <c r="D21" s="21">
        <f>'Income statement'!D2/'Income statement'!D$2</f>
        <v>1</v>
      </c>
    </row>
    <row r="22" spans="1:4" x14ac:dyDescent="0.3">
      <c r="A22" s="30" t="s">
        <v>1</v>
      </c>
      <c r="B22" s="21">
        <f>'Income statement'!B3/'Income statement'!B$2</f>
        <v>-0.83268002944146802</v>
      </c>
      <c r="C22" s="21">
        <f>'Income statement'!C3/'Income statement'!C$2</f>
        <v>-0.83697654213727191</v>
      </c>
      <c r="D22" s="21">
        <f>'Income statement'!D3/'Income statement'!D$2</f>
        <v>-0.84702984927593339</v>
      </c>
    </row>
    <row r="23" spans="1:4" x14ac:dyDescent="0.3">
      <c r="A23" s="30" t="s">
        <v>127</v>
      </c>
      <c r="B23" s="21">
        <f>'Income statement'!B4/'Income statement'!B$2</f>
        <v>-8.6869447630133004E-2</v>
      </c>
      <c r="C23" s="21">
        <f>'Income statement'!C4/'Income statement'!C$2</f>
        <v>-8.5560382276281488E-2</v>
      </c>
      <c r="D23" s="21">
        <f>'Income statement'!D4/'Income statement'!D$2</f>
        <v>-9.2542606639739927E-2</v>
      </c>
    </row>
    <row r="24" spans="1:4" x14ac:dyDescent="0.3">
      <c r="A24" s="30" t="s">
        <v>128</v>
      </c>
      <c r="B24" s="26">
        <f>'Income statement'!B5/'Income statement'!B$2</f>
        <v>-2.5624347409321992E-2</v>
      </c>
      <c r="C24" s="26">
        <f>'Income statement'!C5/'Income statement'!C$2</f>
        <v>-2.6689834926151172E-2</v>
      </c>
      <c r="D24" s="26">
        <f>'Income statement'!D5/'Income statement'!D$2</f>
        <v>-2.7603191803763177E-2</v>
      </c>
    </row>
    <row r="25" spans="1:4" x14ac:dyDescent="0.3">
      <c r="A25" s="30" t="s">
        <v>125</v>
      </c>
      <c r="B25" s="21">
        <f>SUM(B21:B24)</f>
        <v>5.4826175519076988E-2</v>
      </c>
      <c r="C25" s="21">
        <f>SUM(C21:C24)</f>
        <v>5.0773240660295434E-2</v>
      </c>
      <c r="D25" s="21">
        <f>SUM(D21:D24)</f>
        <v>3.2824352280563504E-2</v>
      </c>
    </row>
    <row r="26" spans="1:4" x14ac:dyDescent="0.3">
      <c r="A26" s="30" t="s">
        <v>142</v>
      </c>
      <c r="B26" s="21">
        <f>-'Income statement'!B33/'Income statement'!B$2</f>
        <v>-1.4378391331884083E-2</v>
      </c>
      <c r="C26" s="21">
        <f>-'Income statement'!C33/'Income statement'!C$2</f>
        <v>2.7801911381407471E-4</v>
      </c>
      <c r="D26" s="21">
        <f>-'Income statement'!D33/'Income statement'!D$2</f>
        <v>4.5118707516500836E-3</v>
      </c>
    </row>
    <row r="27" spans="1:4" x14ac:dyDescent="0.3">
      <c r="A27" s="30" t="s">
        <v>143</v>
      </c>
      <c r="B27" s="21">
        <f>'Income statement'!B29/'Income statement'!B$2</f>
        <v>2.3108128926242276E-2</v>
      </c>
      <c r="C27" s="21">
        <f>'Income statement'!C29/'Income statement'!C$2</f>
        <v>2.582102519548219E-2</v>
      </c>
      <c r="D27" s="21">
        <f>'Income statement'!D29/'Income statement'!D$2</f>
        <v>3.010540833415427E-2</v>
      </c>
    </row>
    <row r="28" spans="1:4" x14ac:dyDescent="0.3">
      <c r="A28" s="30" t="s">
        <v>59</v>
      </c>
      <c r="B28" s="21">
        <f>-'Income statement'!B25/'Income statement'!B$2</f>
        <v>-2.612074425292275E-2</v>
      </c>
      <c r="C28" s="21">
        <f>-'Income statement'!C25/'Income statement'!C$2</f>
        <v>-2.8688097306689836E-2</v>
      </c>
      <c r="D28" s="21">
        <f>-'Income statement'!D25/'Income statement'!D$2</f>
        <v>-3.5109841394936461E-2</v>
      </c>
    </row>
    <row r="29" spans="1:4" x14ac:dyDescent="0.3">
      <c r="A29" s="30" t="s">
        <v>126</v>
      </c>
      <c r="B29" s="26">
        <f>'Income statement'!B17/'Income statement'!B$2</f>
        <v>-7.9765837626880748E-3</v>
      </c>
      <c r="C29" s="26">
        <f>'Income statement'!C17/'Income statement'!C$2</f>
        <v>-1.2493483927019983E-2</v>
      </c>
      <c r="D29" s="26">
        <f>'Income statement'!D17/'Income statement'!D$2</f>
        <v>-9.6542212589892616E-3</v>
      </c>
    </row>
    <row r="30" spans="1:4" x14ac:dyDescent="0.3">
      <c r="A30" s="31" t="s">
        <v>61</v>
      </c>
      <c r="B30" s="26">
        <f>SUM(B25:B29)</f>
        <v>2.9458585097824341E-2</v>
      </c>
      <c r="C30" s="26">
        <f>SUM(C25:C29)</f>
        <v>3.569070373588188E-2</v>
      </c>
      <c r="D30" s="26">
        <f>SUM(D25:D29)</f>
        <v>2.2677568712442132E-2</v>
      </c>
    </row>
    <row r="31" spans="1:4" x14ac:dyDescent="0.3">
      <c r="A31" s="36"/>
      <c r="B31" s="37"/>
      <c r="C31" s="37"/>
      <c r="D31" s="37"/>
    </row>
    <row r="32" spans="1:4" x14ac:dyDescent="0.3">
      <c r="A32" s="12" t="s">
        <v>144</v>
      </c>
      <c r="B32" s="25"/>
      <c r="C32" s="25"/>
      <c r="D32" s="25"/>
    </row>
    <row r="33" spans="1:4" x14ac:dyDescent="0.3">
      <c r="A33" s="30" t="s">
        <v>129</v>
      </c>
      <c r="B33" s="21">
        <f>'Balance sheet'!B43/'Income statement'!B23</f>
        <v>3.8565755464644552E-2</v>
      </c>
      <c r="C33" s="21">
        <f>'Balance sheet'!C43/'Income statement'!C23</f>
        <v>-2.1416159860990443E-2</v>
      </c>
      <c r="D33" s="21">
        <f>'Balance sheet'!D43/'Income statement'!D23</f>
        <v>4.4084326667323415E-3</v>
      </c>
    </row>
    <row r="34" spans="1:4" x14ac:dyDescent="0.3">
      <c r="A34" s="30" t="s">
        <v>130</v>
      </c>
      <c r="B34" s="21">
        <f>'Balance sheet'!B50/'Income statement'!B23</f>
        <v>0.38301295766933124</v>
      </c>
      <c r="C34" s="21">
        <f>'Balance sheet'!C50/'Income statement'!C23</f>
        <v>0.34516072980017376</v>
      </c>
      <c r="D34" s="21">
        <f>'Balance sheet'!D50/'Income statement'!D23</f>
        <v>0.37050536892916952</v>
      </c>
    </row>
    <row r="35" spans="1:4" x14ac:dyDescent="0.3">
      <c r="A35" s="30" t="s">
        <v>131</v>
      </c>
      <c r="B35" s="21">
        <f>'Balance sheet'!B3/'Income statement'!B23</f>
        <v>0.21579568990602693</v>
      </c>
      <c r="C35" s="21">
        <f>'Balance sheet'!C3/'Income statement'!C23</f>
        <v>0.19541268462206776</v>
      </c>
      <c r="D35" s="21">
        <f>'Balance sheet'!D3/'Income statement'!D23</f>
        <v>0.20766426953009556</v>
      </c>
    </row>
    <row r="36" spans="1:4" x14ac:dyDescent="0.3">
      <c r="A36" s="30" t="s">
        <v>132</v>
      </c>
      <c r="B36" s="27">
        <f t="shared" ref="B36:D38" si="6">1/B33</f>
        <v>25.929739686203153</v>
      </c>
      <c r="C36" s="27">
        <f t="shared" si="6"/>
        <v>-46.693711967545639</v>
      </c>
      <c r="D36" s="27">
        <f t="shared" si="6"/>
        <v>226.83798882681566</v>
      </c>
    </row>
    <row r="37" spans="1:4" x14ac:dyDescent="0.3">
      <c r="A37" s="30" t="s">
        <v>133</v>
      </c>
      <c r="B37" s="27">
        <f t="shared" si="6"/>
        <v>2.6108777261351448</v>
      </c>
      <c r="C37" s="27">
        <f t="shared" si="6"/>
        <v>2.8972009665726945</v>
      </c>
      <c r="D37" s="27">
        <f t="shared" si="6"/>
        <v>2.6990162190906677</v>
      </c>
    </row>
    <row r="38" spans="1:4" x14ac:dyDescent="0.3">
      <c r="A38" s="30" t="s">
        <v>134</v>
      </c>
      <c r="B38" s="27">
        <f t="shared" si="6"/>
        <v>4.6340128500039661</v>
      </c>
      <c r="C38" s="27">
        <f t="shared" si="6"/>
        <v>5.1173750666903786</v>
      </c>
      <c r="D38" s="27">
        <f t="shared" si="6"/>
        <v>4.8154648956356736</v>
      </c>
    </row>
    <row r="39" spans="1:4" x14ac:dyDescent="0.3">
      <c r="A39" s="30" t="s">
        <v>135</v>
      </c>
      <c r="B39" s="27">
        <f>'Income statement'!B23/'Balance sheet'!B38</f>
        <v>13.307744874715262</v>
      </c>
      <c r="C39" s="27">
        <f>'Income statement'!C23/'Balance sheet'!C38</f>
        <v>13.12728102189781</v>
      </c>
      <c r="D39" s="27">
        <f>'Income statement'!D23/'Balance sheet'!D38</f>
        <v>10.265978964401295</v>
      </c>
    </row>
    <row r="40" spans="1:4" x14ac:dyDescent="0.3">
      <c r="A40" s="30" t="s">
        <v>136</v>
      </c>
      <c r="B40" s="28">
        <f t="shared" ref="B40:D40" si="7">360*(1/B39)</f>
        <v>27.051916262987625</v>
      </c>
      <c r="C40" s="28">
        <f t="shared" si="7"/>
        <v>27.423805386620334</v>
      </c>
      <c r="D40" s="28">
        <f t="shared" si="7"/>
        <v>35.067284011427439</v>
      </c>
    </row>
    <row r="41" spans="1:4" x14ac:dyDescent="0.3">
      <c r="A41" s="30" t="s">
        <v>137</v>
      </c>
      <c r="B41" s="27">
        <f>-'Income statement'!B3/'Balance sheet'!B39</f>
        <v>4.2875022034197077</v>
      </c>
      <c r="C41" s="27">
        <f>-'Income statement'!C3/'Balance sheet'!C39</f>
        <v>4.8216216216216212</v>
      </c>
      <c r="D41" s="27">
        <f>-'Income statement'!D3/'Balance sheet'!D39</f>
        <v>5.0293635938231169</v>
      </c>
    </row>
    <row r="42" spans="1:4" x14ac:dyDescent="0.3">
      <c r="A42" s="30" t="s">
        <v>138</v>
      </c>
      <c r="B42" s="28">
        <f t="shared" ref="B42:D42" si="8">360*(1/B41)</f>
        <v>83.964971426222093</v>
      </c>
      <c r="C42" s="28">
        <f t="shared" si="8"/>
        <v>74.663677130044846</v>
      </c>
      <c r="D42" s="28">
        <f t="shared" si="8"/>
        <v>71.579632946430635</v>
      </c>
    </row>
    <row r="43" spans="1:4" x14ac:dyDescent="0.3">
      <c r="A43" s="30" t="s">
        <v>139</v>
      </c>
      <c r="B43" s="27">
        <f>-'Income statement'!B3/-'Balance sheet'!B41</f>
        <v>3.6691808719263839</v>
      </c>
      <c r="C43" s="27">
        <f>-'Income statement'!C3/-'Balance sheet'!C41</f>
        <v>3.2711714770797964</v>
      </c>
      <c r="D43" s="27">
        <f>-'Income statement'!D3/-'Balance sheet'!D41</f>
        <v>3.4111719431881298</v>
      </c>
    </row>
    <row r="44" spans="1:4" x14ac:dyDescent="0.3">
      <c r="A44" s="30" t="s">
        <v>140</v>
      </c>
      <c r="B44" s="28">
        <f t="shared" ref="B44:D44" si="9">360*(1/B43)</f>
        <v>98.114541791719773</v>
      </c>
      <c r="C44" s="28">
        <f t="shared" si="9"/>
        <v>110.05231689088191</v>
      </c>
      <c r="D44" s="28">
        <f t="shared" si="9"/>
        <v>105.53557721383547</v>
      </c>
    </row>
    <row r="45" spans="1:4" x14ac:dyDescent="0.3">
      <c r="A45" s="31" t="s">
        <v>141</v>
      </c>
      <c r="B45" s="38">
        <f t="shared" ref="B45:D45" si="10">B42+B40-B44</f>
        <v>12.902345897489937</v>
      </c>
      <c r="C45" s="38">
        <f t="shared" si="10"/>
        <v>-7.9648343742167356</v>
      </c>
      <c r="D45" s="38">
        <f t="shared" si="10"/>
        <v>1.1113397440226152</v>
      </c>
    </row>
  </sheetData>
  <pageMargins left="0.7" right="0.7" top="0.75" bottom="0.75" header="0.3" footer="0.3"/>
  <pageSetup paperSize="9" orientation="portrait" verticalDpi="0" r:id="rId1"/>
  <ignoredErrors>
    <ignoredError sqref="B41:D41 B43:D43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Income statement</vt:lpstr>
      <vt:lpstr>Balance sheet</vt:lpstr>
      <vt:lpstr>Cash flow statement</vt:lpstr>
      <vt:lpstr>Ratio analysis</vt:lpstr>
    </vt:vector>
  </TitlesOfParts>
  <Company>UM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E. Peek</dc:creator>
  <cp:lastModifiedBy>Erik Peek</cp:lastModifiedBy>
  <dcterms:created xsi:type="dcterms:W3CDTF">2009-10-22T19:19:20Z</dcterms:created>
  <dcterms:modified xsi:type="dcterms:W3CDTF">2019-04-03T16:44:07Z</dcterms:modified>
</cp:coreProperties>
</file>